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Reg Light Regulated Assets\FY22\2. CGP\Roll Forward Model\z. Publication\"/>
    </mc:Choice>
  </mc:AlternateContent>
  <xr:revisionPtr revIDLastSave="0" documentId="13_ncr:1_{AD17E665-2EC4-444F-AB41-54538A5E0841}" xr6:coauthVersionLast="47" xr6:coauthVersionMax="47" xr10:uidLastSave="{00000000-0000-0000-0000-000000000000}"/>
  <bookViews>
    <workbookView xWindow="-120" yWindow="-120" windowWidth="29040" windowHeight="15840" tabRatio="925"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76" i="1" l="1"/>
  <c r="G385" i="1" s="1"/>
  <c r="E579" i="1"/>
  <c r="I585" i="1"/>
  <c r="I588" i="1" s="1"/>
  <c r="I385" i="1" s="1"/>
  <c r="E585" i="1"/>
  <c r="J591" i="1"/>
  <c r="J594" i="1" s="1"/>
  <c r="J385" i="1" s="1"/>
  <c r="E591" i="1"/>
  <c r="E597" i="1"/>
  <c r="K597" i="1"/>
  <c r="K600" i="1" s="1"/>
  <c r="K385" i="1" s="1"/>
  <c r="E603" i="1"/>
  <c r="L603" i="1"/>
  <c r="L606" i="1" s="1"/>
  <c r="L385" i="1" s="1"/>
  <c r="E609" i="1"/>
  <c r="M609" i="1"/>
  <c r="M612" i="1" s="1"/>
  <c r="M385" i="1" s="1"/>
  <c r="M290" i="1"/>
  <c r="H579" i="1" l="1"/>
  <c r="H582" i="1" s="1"/>
  <c r="H385" i="1" s="1"/>
  <c r="L290" i="1" l="1"/>
  <c r="L282" i="1" l="1"/>
  <c r="L281" i="1"/>
  <c r="L286" i="1"/>
  <c r="L285" i="1"/>
  <c r="L287" i="1"/>
  <c r="L284" i="1"/>
  <c r="L289" i="1"/>
  <c r="L283" i="1"/>
  <c r="L280" i="1"/>
  <c r="L279" i="1"/>
  <c r="L278" i="1" l="1"/>
  <c r="L277" i="1"/>
  <c r="L288" i="1" l="1"/>
  <c r="I277" i="1" l="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H277" i="1"/>
  <c r="G279" i="1"/>
  <c r="G280" i="1"/>
  <c r="G281" i="1"/>
  <c r="G282" i="1"/>
  <c r="G283" i="1"/>
  <c r="G284" i="1"/>
  <c r="G285" i="1"/>
  <c r="G286" i="1"/>
  <c r="G287" i="1"/>
  <c r="G288" i="1"/>
  <c r="G289" i="1"/>
  <c r="G290" i="1"/>
  <c r="G278" i="1"/>
  <c r="G277" i="1"/>
  <c r="L225" i="1" l="1"/>
  <c r="L226" i="1"/>
  <c r="L227" i="1"/>
  <c r="L228" i="1"/>
  <c r="L229" i="1"/>
  <c r="L230" i="1"/>
  <c r="L231" i="1"/>
  <c r="L232" i="1"/>
  <c r="L233" i="1"/>
  <c r="L234" i="1"/>
  <c r="L235" i="1"/>
  <c r="L236" i="1"/>
  <c r="L224" i="1"/>
  <c r="L223" i="1"/>
  <c r="J224" i="1" l="1"/>
  <c r="K224" i="1"/>
  <c r="J225" i="1"/>
  <c r="K225" i="1"/>
  <c r="J226" i="1"/>
  <c r="K226" i="1"/>
  <c r="J227" i="1"/>
  <c r="K227" i="1"/>
  <c r="J228" i="1"/>
  <c r="K228" i="1"/>
  <c r="J229" i="1"/>
  <c r="K229" i="1"/>
  <c r="J230" i="1"/>
  <c r="K230" i="1"/>
  <c r="J231" i="1"/>
  <c r="K231" i="1"/>
  <c r="J232" i="1"/>
  <c r="K232" i="1"/>
  <c r="J233" i="1"/>
  <c r="K233" i="1"/>
  <c r="J234" i="1"/>
  <c r="K234" i="1"/>
  <c r="J235" i="1"/>
  <c r="K235" i="1"/>
  <c r="J236" i="1"/>
  <c r="K236" i="1"/>
  <c r="I225" i="1"/>
  <c r="I226" i="1"/>
  <c r="I227" i="1"/>
  <c r="I228" i="1"/>
  <c r="I229" i="1"/>
  <c r="I230" i="1"/>
  <c r="I231" i="1"/>
  <c r="I232" i="1"/>
  <c r="I233" i="1"/>
  <c r="I234" i="1"/>
  <c r="I235" i="1"/>
  <c r="I236" i="1"/>
  <c r="I224" i="1"/>
  <c r="J223" i="1"/>
  <c r="K223" i="1"/>
  <c r="I223" i="1"/>
  <c r="H223" i="1"/>
  <c r="H236" i="1"/>
  <c r="H235" i="1"/>
  <c r="H234" i="1"/>
  <c r="H233" i="1"/>
  <c r="H232" i="1"/>
  <c r="H231" i="1"/>
  <c r="H230" i="1"/>
  <c r="H229" i="1"/>
  <c r="H228" i="1"/>
  <c r="H227" i="1"/>
  <c r="H226" i="1"/>
  <c r="H225" i="1"/>
  <c r="H224" i="1"/>
  <c r="G225" i="1"/>
  <c r="G226" i="1"/>
  <c r="G227" i="1"/>
  <c r="G228" i="1"/>
  <c r="G229" i="1"/>
  <c r="G230" i="1"/>
  <c r="G231" i="1"/>
  <c r="G232" i="1"/>
  <c r="G233" i="1"/>
  <c r="G234" i="1"/>
  <c r="G235" i="1"/>
  <c r="G236" i="1"/>
  <c r="G224" i="1"/>
  <c r="G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N166" i="7958"/>
  <c r="L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C121" i="7961"/>
  <c r="C125" i="7961"/>
  <c r="C102" i="7961" s="1"/>
  <c r="AK16" i="7960"/>
  <c r="AK17" i="7960"/>
  <c r="AK18" i="7960"/>
  <c r="AK19" i="7960"/>
  <c r="D26" i="7960"/>
  <c r="D27" i="7960"/>
  <c r="D30" i="7960"/>
  <c r="AL56" i="7962"/>
  <c r="C94" i="7961" l="1"/>
  <c r="C124" i="7961"/>
  <c r="C120" i="7961"/>
  <c r="C70" i="7961"/>
  <c r="C21" i="7961"/>
  <c r="BQ25" i="7962"/>
  <c r="C123" i="7961"/>
  <c r="C119" i="7961"/>
  <c r="C69" i="7961"/>
  <c r="C20" i="7961"/>
  <c r="BQ24" i="7962"/>
  <c r="C122" i="7961"/>
  <c r="C68" i="7961"/>
  <c r="C34" i="7961"/>
  <c r="AL24" i="7962"/>
  <c r="AL25" i="7962"/>
  <c r="C30" i="7961"/>
  <c r="C10" i="7961"/>
  <c r="BQ23" i="7962"/>
  <c r="C9" i="7961"/>
  <c r="AL23" i="7962"/>
  <c r="C26" i="7961"/>
  <c r="BQ26" i="7962"/>
  <c r="AL17" i="7962"/>
  <c r="C100" i="7961"/>
  <c r="C75" i="7961"/>
  <c r="C23" i="7961"/>
  <c r="C29" i="7961" s="1"/>
  <c r="AL26" i="7962"/>
  <c r="C76" i="7961"/>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3" i="7960"/>
  <c r="I46" i="7960"/>
  <c r="I45" i="7960"/>
  <c r="I49" i="7960"/>
  <c r="C43" i="7961"/>
  <c r="I43" i="7960"/>
  <c r="I52" i="7960"/>
  <c r="I50" i="7960"/>
  <c r="C49" i="7961"/>
  <c r="I51" i="7960"/>
  <c r="I55" i="7960"/>
  <c r="I47" i="7960"/>
  <c r="C46" i="7961"/>
  <c r="I48" i="7960"/>
  <c r="I42" i="7960"/>
  <c r="I41" i="7960"/>
  <c r="I44" i="7960"/>
  <c r="I54" i="7960"/>
  <c r="I40"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G40" i="7960"/>
  <c r="G47" i="7960"/>
  <c r="G46" i="7960"/>
  <c r="C47" i="7961"/>
  <c r="E48" i="7960"/>
  <c r="G50" i="7960"/>
  <c r="E54" i="7960"/>
  <c r="E51" i="7960"/>
  <c r="E42" i="7960"/>
  <c r="G42" i="7960"/>
  <c r="E43" i="7960"/>
  <c r="G49" i="7960"/>
  <c r="G44" i="7960"/>
  <c r="E50" i="7960"/>
  <c r="G54" i="7960"/>
  <c r="G51" i="7960"/>
  <c r="E41" i="7960"/>
  <c r="C44" i="7961"/>
  <c r="G45" i="7960"/>
  <c r="E46" i="7960"/>
  <c r="G48" i="7960"/>
  <c r="E53" i="7960"/>
  <c r="C45" i="7961"/>
  <c r="E55" i="7960"/>
  <c r="G43" i="7960"/>
  <c r="G55" i="7960"/>
  <c r="C48" i="7961"/>
  <c r="E52" i="7960"/>
  <c r="E47" i="7960"/>
  <c r="G53" i="7960"/>
  <c r="E45" i="7960"/>
  <c r="G52" i="7960"/>
  <c r="G41" i="7960"/>
  <c r="E49" i="7960"/>
  <c r="E40" i="7960"/>
  <c r="E44"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7" i="7960"/>
  <c r="E60" i="7960"/>
  <c r="E64" i="7960"/>
  <c r="E66" i="7960"/>
  <c r="E72" i="7960"/>
  <c r="E69" i="7960"/>
  <c r="E63" i="7960"/>
  <c r="E74" i="7960"/>
  <c r="E68" i="7960"/>
  <c r="E70" i="7960"/>
  <c r="E59" i="7960"/>
  <c r="E65" i="7960"/>
  <c r="E71" i="7960"/>
  <c r="E61" i="7960"/>
  <c r="E73" i="7960"/>
  <c r="E62"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L73" i="7944"/>
  <c r="K73" i="7944"/>
  <c r="J73" i="7944"/>
  <c r="I73" i="7944"/>
  <c r="H73" i="7944"/>
  <c r="C73" i="7944"/>
  <c r="Q72" i="7944"/>
  <c r="P72" i="7944"/>
  <c r="O72" i="7944"/>
  <c r="N72" i="7944"/>
  <c r="L72" i="7944"/>
  <c r="K72" i="7944"/>
  <c r="J72" i="7944"/>
  <c r="I72" i="7944"/>
  <c r="H72" i="7944"/>
  <c r="C72" i="7944"/>
  <c r="Q71" i="7944"/>
  <c r="P71" i="7944"/>
  <c r="O71" i="7944"/>
  <c r="N71" i="7944"/>
  <c r="L71" i="7944"/>
  <c r="K71" i="7944"/>
  <c r="J71" i="7944"/>
  <c r="I71" i="7944"/>
  <c r="H71" i="7944"/>
  <c r="C71" i="7944"/>
  <c r="Q70" i="7944"/>
  <c r="P70" i="7944"/>
  <c r="O70" i="7944"/>
  <c r="N70" i="7944"/>
  <c r="L70" i="7944"/>
  <c r="K70" i="7944"/>
  <c r="J70" i="7944"/>
  <c r="I70" i="7944"/>
  <c r="H70" i="7944"/>
  <c r="C70" i="7944"/>
  <c r="Q69" i="7944"/>
  <c r="P69" i="7944"/>
  <c r="O69" i="7944"/>
  <c r="N69" i="7944"/>
  <c r="L69" i="7944"/>
  <c r="K69" i="7944"/>
  <c r="J69" i="7944"/>
  <c r="I69" i="7944"/>
  <c r="H69" i="7944"/>
  <c r="C69" i="7944"/>
  <c r="Q68" i="7944"/>
  <c r="P68" i="7944"/>
  <c r="O68" i="7944"/>
  <c r="N68" i="7944"/>
  <c r="L68" i="7944"/>
  <c r="K68" i="7944"/>
  <c r="J68" i="7944"/>
  <c r="I68" i="7944"/>
  <c r="H68" i="7944"/>
  <c r="C68" i="7944"/>
  <c r="Q67" i="7944"/>
  <c r="P67" i="7944"/>
  <c r="O67" i="7944"/>
  <c r="N67" i="7944"/>
  <c r="L67" i="7944"/>
  <c r="K67" i="7944"/>
  <c r="J67" i="7944"/>
  <c r="I67" i="7944"/>
  <c r="H67" i="7944"/>
  <c r="C67" i="7944"/>
  <c r="Q66" i="7944"/>
  <c r="P66" i="7944"/>
  <c r="O66" i="7944"/>
  <c r="N66" i="7944"/>
  <c r="L66" i="7944"/>
  <c r="K66" i="7944"/>
  <c r="J66" i="7944"/>
  <c r="I66" i="7944"/>
  <c r="H66" i="7944"/>
  <c r="C66" i="7944"/>
  <c r="Q65" i="7944"/>
  <c r="P65" i="7944"/>
  <c r="O65" i="7944"/>
  <c r="N65" i="7944"/>
  <c r="L65" i="7944"/>
  <c r="K65" i="7944"/>
  <c r="J65" i="7944"/>
  <c r="I65" i="7944"/>
  <c r="H65" i="7944"/>
  <c r="C65" i="7944"/>
  <c r="Q64" i="7944"/>
  <c r="P64" i="7944"/>
  <c r="O64" i="7944"/>
  <c r="N64" i="7944"/>
  <c r="L64" i="7944"/>
  <c r="K64" i="7944"/>
  <c r="J64" i="7944"/>
  <c r="I64" i="7944"/>
  <c r="H64" i="7944"/>
  <c r="C64" i="7944"/>
  <c r="Q63" i="7944"/>
  <c r="P63" i="7944"/>
  <c r="O63" i="7944"/>
  <c r="N63" i="7944"/>
  <c r="L63" i="7944"/>
  <c r="K63" i="7944"/>
  <c r="J63" i="7944"/>
  <c r="I63" i="7944"/>
  <c r="H63" i="7944"/>
  <c r="C63" i="7944"/>
  <c r="Q62" i="7944"/>
  <c r="P62" i="7944"/>
  <c r="O62" i="7944"/>
  <c r="N62" i="7944"/>
  <c r="L62" i="7944"/>
  <c r="K62" i="7944"/>
  <c r="J62" i="7944"/>
  <c r="I62" i="7944"/>
  <c r="H62" i="7944"/>
  <c r="C62" i="7944"/>
  <c r="Q61" i="7944"/>
  <c r="P61" i="7944"/>
  <c r="O61" i="7944"/>
  <c r="N61" i="7944"/>
  <c r="L61" i="7944"/>
  <c r="K61" i="7944"/>
  <c r="J61" i="7944"/>
  <c r="I61" i="7944"/>
  <c r="H61" i="7944"/>
  <c r="C61" i="7944"/>
  <c r="Q60" i="7944"/>
  <c r="P60" i="7944"/>
  <c r="O60" i="7944"/>
  <c r="N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211" i="18"/>
  <c r="H1203" i="18"/>
  <c r="H776"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204" i="18"/>
  <c r="H1205" i="18"/>
  <c r="H1207" i="18"/>
  <c r="I3" i="18"/>
  <c r="H384" i="1"/>
  <c r="H276" i="1"/>
  <c r="H168" i="1"/>
  <c r="H330" i="1"/>
  <c r="H222" i="1"/>
  <c r="H114" i="1"/>
  <c r="H780" i="18"/>
  <c r="H788" i="18"/>
  <c r="H796" i="18"/>
  <c r="H1193" i="18"/>
  <c r="H1200" i="18"/>
  <c r="H1201" i="18"/>
  <c r="H1208" i="18"/>
  <c r="H1209" i="18"/>
  <c r="H1216" i="18"/>
  <c r="H1217" i="18"/>
  <c r="H800" i="18"/>
  <c r="H816" i="18"/>
  <c r="H1231" i="18"/>
  <c r="H802" i="18"/>
  <c r="H804" i="18"/>
  <c r="H806" i="18"/>
  <c r="H808" i="18"/>
  <c r="I60" i="1"/>
  <c r="G60" i="1"/>
  <c r="G77" i="7942"/>
  <c r="H774" i="18"/>
  <c r="H778" i="18"/>
  <c r="H782" i="18"/>
  <c r="H786" i="18"/>
  <c r="H790" i="18"/>
  <c r="H794" i="18"/>
  <c r="H798" i="18"/>
  <c r="H810" i="18"/>
  <c r="H812" i="18"/>
  <c r="H814" i="18"/>
  <c r="H1194" i="18"/>
  <c r="H1198" i="18"/>
  <c r="H1202" i="18"/>
  <c r="H1206" i="18"/>
  <c r="H1210" i="18"/>
  <c r="H1214" i="18"/>
  <c r="H1218" i="18"/>
  <c r="H1223" i="18"/>
  <c r="H1239" i="18"/>
  <c r="G629" i="7941"/>
  <c r="H1235" i="18"/>
  <c r="G621" i="7941"/>
  <c r="H1227" i="18"/>
  <c r="H818" i="18"/>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2" i="7941"/>
  <c r="G326" i="7941"/>
  <c r="H775" i="18"/>
  <c r="H14" i="7941"/>
  <c r="G328" i="7941"/>
  <c r="H777" i="18"/>
  <c r="H16" i="7941"/>
  <c r="G330" i="7941"/>
  <c r="H779" i="18"/>
  <c r="H18" i="7941"/>
  <c r="G332" i="7941"/>
  <c r="H781" i="18"/>
  <c r="H20" i="7941"/>
  <c r="G334" i="7941"/>
  <c r="H783" i="18"/>
  <c r="H22" i="7941"/>
  <c r="G336" i="7941"/>
  <c r="H785" i="18"/>
  <c r="H24" i="7941"/>
  <c r="G338" i="7941"/>
  <c r="H787" i="18"/>
  <c r="H26" i="7941"/>
  <c r="G340" i="7941"/>
  <c r="H789" i="18"/>
  <c r="H28" i="7941"/>
  <c r="G342" i="7941"/>
  <c r="H791" i="18"/>
  <c r="H30" i="7941"/>
  <c r="G344" i="7941"/>
  <c r="H793" i="18"/>
  <c r="H32" i="7941"/>
  <c r="G346" i="7941"/>
  <c r="H795" i="18"/>
  <c r="H34" i="7941"/>
  <c r="G348" i="7941"/>
  <c r="H797" i="18"/>
  <c r="H36" i="7941"/>
  <c r="G350" i="7941"/>
  <c r="H799" i="18"/>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G40" i="7941"/>
  <c r="G1168" i="18"/>
  <c r="G1116" i="18" s="1"/>
  <c r="H803" i="18"/>
  <c r="G42" i="7941"/>
  <c r="G1170" i="18"/>
  <c r="G1118" i="18" s="1"/>
  <c r="H805" i="18"/>
  <c r="G44" i="7941"/>
  <c r="G1172" i="18"/>
  <c r="G1120" i="18" s="1"/>
  <c r="H807" i="18"/>
  <c r="G46" i="7941"/>
  <c r="G1174" i="18"/>
  <c r="G1122" i="18" s="1"/>
  <c r="H809" i="18"/>
  <c r="G48" i="7941"/>
  <c r="G1176" i="18"/>
  <c r="G1124" i="18" s="1"/>
  <c r="H811" i="18"/>
  <c r="G50" i="7941"/>
  <c r="G1178" i="18"/>
  <c r="G1126" i="18" s="1"/>
  <c r="H813" i="18"/>
  <c r="G52" i="7941"/>
  <c r="G1180" i="18"/>
  <c r="G1128" i="18" s="1"/>
  <c r="H815" i="18"/>
  <c r="G54" i="7941"/>
  <c r="G1182" i="18"/>
  <c r="G1130" i="18" s="1"/>
  <c r="H817" i="18"/>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O59" i="7944"/>
  <c r="Q59" i="7944"/>
  <c r="H1183" i="18" l="1"/>
  <c r="H1175" i="18"/>
  <c r="H1167" i="18"/>
  <c r="H1161" i="18"/>
  <c r="H1153" i="18"/>
  <c r="H1145" i="18"/>
  <c r="H1180" i="18"/>
  <c r="H1160" i="18"/>
  <c r="H1144" i="18"/>
  <c r="H1168" i="18"/>
  <c r="H1154" i="18"/>
  <c r="H1150" i="18"/>
  <c r="H1158" i="18"/>
  <c r="H1177" i="18"/>
  <c r="H1169" i="18"/>
  <c r="H1163" i="18"/>
  <c r="H1155" i="18"/>
  <c r="H1147" i="18"/>
  <c r="H1139" i="18"/>
  <c r="H1178" i="18"/>
  <c r="H1156" i="18"/>
  <c r="H1140" i="18"/>
  <c r="H1174" i="18"/>
  <c r="H1146" i="18"/>
  <c r="H1142" i="18"/>
  <c r="H1179" i="18"/>
  <c r="H1171" i="18"/>
  <c r="H1165" i="18"/>
  <c r="H1157" i="18"/>
  <c r="H1149" i="18"/>
  <c r="H1141" i="18"/>
  <c r="H1184" i="18"/>
  <c r="H1176" i="18"/>
  <c r="H1152" i="18"/>
  <c r="H1172" i="18"/>
  <c r="H1182" i="18"/>
  <c r="H1181" i="18"/>
  <c r="H1173" i="18"/>
  <c r="H1159" i="18"/>
  <c r="H1151" i="18"/>
  <c r="H1143" i="18"/>
  <c r="H1164" i="18"/>
  <c r="H1148" i="18"/>
  <c r="H1170" i="18"/>
  <c r="H1166" i="18"/>
  <c r="H1162" i="18"/>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H606" i="7944"/>
  <c r="H618" i="7944" s="1"/>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143" i="7942" s="1"/>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502" i="7944"/>
  <c r="H514" i="7944" s="1"/>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499" i="7942"/>
  <c r="H529" i="7942"/>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51" i="18"/>
  <c r="H861" i="18" s="1"/>
  <c r="H23" i="18"/>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57" i="18"/>
  <c r="H867" i="18" s="1"/>
  <c r="H53" i="18"/>
  <c r="H863" i="18" s="1"/>
  <c r="H49" i="18"/>
  <c r="H859" i="18" s="1"/>
  <c r="H37" i="18"/>
  <c r="H847" i="18" s="1"/>
  <c r="H13" i="18"/>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20" i="18"/>
  <c r="H17" i="18"/>
  <c r="H15" i="18"/>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25" i="18"/>
  <c r="H835" i="18" s="1"/>
  <c r="H19" i="18"/>
  <c r="H12" i="18"/>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21" i="18"/>
  <c r="H18" i="18"/>
  <c r="H16" i="18"/>
  <c r="H14" i="18"/>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831" i="18" l="1"/>
  <c r="H829" i="18"/>
  <c r="H827" i="18"/>
  <c r="H834" i="18"/>
  <c r="H72" i="7941" s="1"/>
  <c r="H830" i="18"/>
  <c r="H823" i="18"/>
  <c r="H824" i="18"/>
  <c r="H826" i="18"/>
  <c r="H64" i="7941" s="1"/>
  <c r="H832" i="18"/>
  <c r="H828" i="18"/>
  <c r="H822" i="18"/>
  <c r="H825" i="18"/>
  <c r="H63" i="7941" s="1"/>
  <c r="H833" i="18"/>
  <c r="H99" i="7941"/>
  <c r="H105" i="7941"/>
  <c r="H107" i="7941"/>
  <c r="H91" i="7941"/>
  <c r="H109" i="7941"/>
  <c r="H97" i="794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12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H120"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118" i="7941" s="1"/>
  <c r="H362" i="18"/>
  <c r="H440" i="18"/>
  <c r="H310" i="18"/>
  <c r="H388" i="18"/>
  <c r="H1524" i="18" s="1"/>
  <c r="H1314" i="18" s="1"/>
  <c r="H708" i="7941" s="1"/>
  <c r="H258" i="18"/>
  <c r="H1514" i="18" s="1"/>
  <c r="H1304" i="18" s="1"/>
  <c r="H698" i="7941" s="1"/>
  <c r="H661" i="18"/>
  <c r="H1545" i="18" s="1"/>
  <c r="H1335" i="18" s="1"/>
  <c r="H729" i="7941" s="1"/>
  <c r="H271" i="18"/>
  <c r="H1095" i="18" s="1"/>
  <c r="H885" i="18" s="1"/>
  <c r="H123" i="7941" s="1"/>
  <c r="H622" i="18"/>
  <c r="H518" i="18"/>
  <c r="H1114" i="18" s="1"/>
  <c r="H904" i="18" s="1"/>
  <c r="H142" i="7941" s="1"/>
  <c r="H674" i="18"/>
  <c r="H1126" i="18" s="1"/>
  <c r="H916" i="18" s="1"/>
  <c r="H297" i="18"/>
  <c r="H1097" i="18" s="1"/>
  <c r="H887" i="18" s="1"/>
  <c r="H125" i="7941"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H117" i="7941" s="1"/>
  <c r="I14" i="18"/>
  <c r="I26" i="18"/>
  <c r="I836" i="18" s="1"/>
  <c r="I34" i="18"/>
  <c r="I844" i="18" s="1"/>
  <c r="I42" i="18"/>
  <c r="I852" i="18" s="1"/>
  <c r="I54" i="18"/>
  <c r="I864" i="18" s="1"/>
  <c r="G326" i="7942"/>
  <c r="I22" i="18"/>
  <c r="I30" i="18"/>
  <c r="I840" i="18" s="1"/>
  <c r="I46" i="18"/>
  <c r="I856" i="18" s="1"/>
  <c r="I58" i="18"/>
  <c r="I868" i="18" s="1"/>
  <c r="I18" i="18"/>
  <c r="I38" i="18"/>
  <c r="I848" i="18" s="1"/>
  <c r="I50" i="18"/>
  <c r="I860" i="18" s="1"/>
  <c r="I16" i="18"/>
  <c r="I20" i="18"/>
  <c r="I24" i="18"/>
  <c r="I28" i="18"/>
  <c r="I838" i="18" s="1"/>
  <c r="I32" i="18"/>
  <c r="I842" i="18" s="1"/>
  <c r="I36" i="18"/>
  <c r="I846" i="18" s="1"/>
  <c r="I40" i="18"/>
  <c r="I850" i="18" s="1"/>
  <c r="I44" i="18"/>
  <c r="I854" i="18" s="1"/>
  <c r="I48" i="18"/>
  <c r="I858" i="18" s="1"/>
  <c r="I52" i="18"/>
  <c r="I862" i="18" s="1"/>
  <c r="I56" i="18"/>
  <c r="I866" i="18" s="1"/>
  <c r="I60" i="18"/>
  <c r="I870" i="18"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I723" i="7944"/>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489" i="7944"/>
  <c r="I501" i="7944" s="1"/>
  <c r="I233" i="18"/>
  <c r="I467" i="18"/>
  <c r="I479" i="18" s="1"/>
  <c r="I246" i="18"/>
  <c r="I346" i="7944"/>
  <c r="I281" i="7944"/>
  <c r="I255" i="7944"/>
  <c r="I268" i="7944"/>
  <c r="I280" i="7944" s="1"/>
  <c r="I359" i="7944"/>
  <c r="I476" i="7944"/>
  <c r="I488" i="7944" s="1"/>
  <c r="I324" i="18"/>
  <c r="I363" i="18"/>
  <c r="I375" i="18" s="1"/>
  <c r="K60" i="1"/>
  <c r="K4" i="7941" s="1"/>
  <c r="J401" i="1"/>
  <c r="J4" i="7941"/>
  <c r="J168" i="1"/>
  <c r="I567" i="7944"/>
  <c r="H268" i="7942"/>
  <c r="J114" i="1"/>
  <c r="J330" i="1"/>
  <c r="I580" i="7944"/>
  <c r="I671" i="7944"/>
  <c r="I683" i="7944" s="1"/>
  <c r="I485" i="7942"/>
  <c r="I486" i="7942" s="1"/>
  <c r="I714" i="18"/>
  <c r="I740" i="18"/>
  <c r="J352" i="18"/>
  <c r="I649" i="18"/>
  <c r="H258" i="7942"/>
  <c r="I502" i="7944"/>
  <c r="I606" i="7944"/>
  <c r="I658" i="7944"/>
  <c r="I670" i="7944" s="1"/>
  <c r="I541" i="7944"/>
  <c r="I749" i="7944"/>
  <c r="I471" i="7942"/>
  <c r="I472" i="7942" s="1"/>
  <c r="I517" i="7942"/>
  <c r="I518" i="7942" s="1"/>
  <c r="I597" i="18"/>
  <c r="I701" i="18"/>
  <c r="A40" i="7946"/>
  <c r="I13" i="18"/>
  <c r="I15" i="18"/>
  <c r="I17" i="18"/>
  <c r="I19" i="18"/>
  <c r="I21" i="18"/>
  <c r="I23" i="18"/>
  <c r="I25" i="18"/>
  <c r="I835" i="18" s="1"/>
  <c r="I27" i="18"/>
  <c r="I837" i="18" s="1"/>
  <c r="I29" i="18"/>
  <c r="I839" i="18" s="1"/>
  <c r="I31" i="18"/>
  <c r="I841" i="18" s="1"/>
  <c r="I33" i="18"/>
  <c r="I843" i="18" s="1"/>
  <c r="I35" i="18"/>
  <c r="I845" i="18" s="1"/>
  <c r="I37" i="18"/>
  <c r="I847" i="18" s="1"/>
  <c r="I39" i="18"/>
  <c r="I849" i="18" s="1"/>
  <c r="I41" i="18"/>
  <c r="I851" i="18" s="1"/>
  <c r="I43" i="18"/>
  <c r="I853" i="18" s="1"/>
  <c r="I45" i="18"/>
  <c r="I855" i="18" s="1"/>
  <c r="I47" i="18"/>
  <c r="I857" i="18" s="1"/>
  <c r="I49" i="18"/>
  <c r="I859" i="18" s="1"/>
  <c r="I51" i="18"/>
  <c r="I861" i="18" s="1"/>
  <c r="I53" i="18"/>
  <c r="I863" i="18" s="1"/>
  <c r="I55" i="18"/>
  <c r="I865" i="18" s="1"/>
  <c r="I57" i="18"/>
  <c r="I867" i="18" s="1"/>
  <c r="I59" i="18"/>
  <c r="I869" i="18" s="1"/>
  <c r="I61" i="18"/>
  <c r="I871" i="18" s="1"/>
  <c r="I469" i="7942"/>
  <c r="I470" i="7942" s="1"/>
  <c r="I463" i="7942"/>
  <c r="I464" i="7942" s="1"/>
  <c r="H264" i="7942"/>
  <c r="H266" i="7942"/>
  <c r="H1329" i="18"/>
  <c r="H723" i="7941" s="1"/>
  <c r="H1096" i="18"/>
  <c r="H886" i="18" s="1"/>
  <c r="H124" i="7941" s="1"/>
  <c r="H1088" i="18"/>
  <c r="H878" i="18" s="1"/>
  <c r="H116" i="7941"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15" i="7941"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8" i="7941"/>
  <c r="H74" i="7941"/>
  <c r="H78" i="7941"/>
  <c r="H82" i="7941"/>
  <c r="H87" i="7941"/>
  <c r="H93" i="7941"/>
  <c r="H1250" i="18"/>
  <c r="H1258" i="18"/>
  <c r="H1266" i="18"/>
  <c r="H1274" i="18"/>
  <c r="H668" i="7941" s="1"/>
  <c r="H1282" i="18"/>
  <c r="H676" i="7941" s="1"/>
  <c r="K388" i="1"/>
  <c r="H61" i="7941"/>
  <c r="H85" i="7941"/>
  <c r="H101" i="7941"/>
  <c r="I495" i="7942"/>
  <c r="H491" i="7942"/>
  <c r="H230" i="7942"/>
  <c r="I684" i="7944" l="1"/>
  <c r="I696" i="7944" s="1"/>
  <c r="I697" i="7944"/>
  <c r="I333" i="7944"/>
  <c r="I829" i="18"/>
  <c r="I67" i="7941" s="1"/>
  <c r="I824" i="18"/>
  <c r="I62" i="7941" s="1"/>
  <c r="I827" i="18"/>
  <c r="I834" i="18"/>
  <c r="I833" i="18"/>
  <c r="I825" i="18"/>
  <c r="I830" i="18"/>
  <c r="I68" i="7941" s="1"/>
  <c r="I828" i="18"/>
  <c r="I66" i="7941" s="1"/>
  <c r="I832" i="18"/>
  <c r="I831" i="18"/>
  <c r="I69" i="7941" s="1"/>
  <c r="I823" i="18"/>
  <c r="I61" i="7941" s="1"/>
  <c r="I826" i="18"/>
  <c r="I64" i="7941" s="1"/>
  <c r="I103" i="7941"/>
  <c r="I95" i="7941"/>
  <c r="I87" i="7941"/>
  <c r="I79" i="7941"/>
  <c r="I71" i="7941"/>
  <c r="I63" i="7941"/>
  <c r="I100" i="7941"/>
  <c r="I84" i="7941"/>
  <c r="I70" i="7941"/>
  <c r="I82" i="7941"/>
  <c r="I109" i="7941"/>
  <c r="I101" i="7941"/>
  <c r="I93" i="7941"/>
  <c r="I85" i="7941"/>
  <c r="I77" i="7941"/>
  <c r="I96" i="7941"/>
  <c r="I80" i="7941"/>
  <c r="I106" i="7941"/>
  <c r="I74" i="7941"/>
  <c r="I107" i="7941"/>
  <c r="I99" i="7941"/>
  <c r="I91" i="7941"/>
  <c r="I83" i="7941"/>
  <c r="I75" i="7941"/>
  <c r="I108" i="7941"/>
  <c r="I92" i="7941"/>
  <c r="I76" i="7941"/>
  <c r="I98" i="7941"/>
  <c r="I94" i="7941"/>
  <c r="I102" i="7941"/>
  <c r="I105" i="7941"/>
  <c r="I97" i="7941"/>
  <c r="I89" i="7941"/>
  <c r="I81" i="7941"/>
  <c r="I73" i="7941"/>
  <c r="I65" i="7941"/>
  <c r="I104" i="7941"/>
  <c r="I88" i="7941"/>
  <c r="I72" i="7941"/>
  <c r="I86" i="7941"/>
  <c r="I78" i="7941"/>
  <c r="I90" i="7941"/>
  <c r="I398" i="7944"/>
  <c r="J398" i="7944" s="1"/>
  <c r="K398" i="7944" s="1"/>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J727" i="18"/>
  <c r="J739" i="18" s="1"/>
  <c r="J1551" i="18" s="1"/>
  <c r="H1091" i="18"/>
  <c r="H881" i="18" s="1"/>
  <c r="H119" i="7941" s="1"/>
  <c r="H329" i="7941" s="1"/>
  <c r="J519" i="18"/>
  <c r="J531" i="18" s="1"/>
  <c r="J1535" i="18" s="1"/>
  <c r="I180" i="18"/>
  <c r="J180" i="18" s="1"/>
  <c r="I167" i="18"/>
  <c r="J167" i="18" s="1"/>
  <c r="H154" i="7941"/>
  <c r="H364" i="7941" s="1"/>
  <c r="I812" i="18"/>
  <c r="H148" i="7941"/>
  <c r="I44" i="7941" s="1"/>
  <c r="I806" i="18"/>
  <c r="H138" i="7941"/>
  <c r="I34" i="7941" s="1"/>
  <c r="I796" i="18"/>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J450" i="7944"/>
  <c r="K450" i="7944" s="1"/>
  <c r="I462" i="7944"/>
  <c r="I424" i="7944"/>
  <c r="I436" i="7944" s="1"/>
  <c r="I385" i="7944"/>
  <c r="I397" i="7944" s="1"/>
  <c r="I554" i="7944"/>
  <c r="I566" i="7944" s="1"/>
  <c r="I632" i="7944"/>
  <c r="I644" i="7944" s="1"/>
  <c r="I800" i="18"/>
  <c r="H151" i="7941"/>
  <c r="H361" i="7941" s="1"/>
  <c r="I38" i="7941"/>
  <c r="J190" i="7944"/>
  <c r="J202" i="7944" s="1"/>
  <c r="B429" i="7950"/>
  <c r="K460" i="1"/>
  <c r="I775" i="18"/>
  <c r="J164" i="7944"/>
  <c r="J176" i="7944" s="1"/>
  <c r="I793" i="18"/>
  <c r="B699" i="7950"/>
  <c r="B243" i="7950"/>
  <c r="B807" i="7950"/>
  <c r="I791" i="18"/>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J736" i="7944"/>
  <c r="K736"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I785" i="18"/>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797" i="18"/>
  <c r="I591" i="7941"/>
  <c r="I781" i="18"/>
  <c r="I804" i="18"/>
  <c r="J558" i="18"/>
  <c r="J272" i="18"/>
  <c r="J476" i="7944"/>
  <c r="K476" i="7944" s="1"/>
  <c r="I783" i="18"/>
  <c r="I1197" i="18"/>
  <c r="I1563" i="18" s="1"/>
  <c r="J485" i="7942"/>
  <c r="K401" i="1"/>
  <c r="K4" i="7942"/>
  <c r="K4" i="7944"/>
  <c r="K168" i="1"/>
  <c r="K384" i="1"/>
  <c r="J684" i="7944"/>
  <c r="J696" i="7944" s="1"/>
  <c r="H930" i="7941"/>
  <c r="I782" i="18"/>
  <c r="J714" i="18"/>
  <c r="I789" i="18"/>
  <c r="I779" i="18"/>
  <c r="I818" i="18"/>
  <c r="I810" i="18"/>
  <c r="I1217" i="18"/>
  <c r="I1583" i="18" s="1"/>
  <c r="I1193" i="18"/>
  <c r="I1559" i="18" s="1"/>
  <c r="I798" i="18"/>
  <c r="I774" i="18"/>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786" i="18"/>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15" i="18"/>
  <c r="J19" i="18"/>
  <c r="J21" i="18"/>
  <c r="J23" i="18"/>
  <c r="J25" i="18"/>
  <c r="J835" i="18" s="1"/>
  <c r="J27" i="18"/>
  <c r="J837" i="18" s="1"/>
  <c r="J31" i="18"/>
  <c r="J841" i="18" s="1"/>
  <c r="J34" i="18"/>
  <c r="J844" i="18" s="1"/>
  <c r="J36" i="18"/>
  <c r="J846" i="18" s="1"/>
  <c r="J38" i="18"/>
  <c r="J848" i="18" s="1"/>
  <c r="J42" i="18"/>
  <c r="J852" i="18" s="1"/>
  <c r="J44" i="18"/>
  <c r="J854" i="18" s="1"/>
  <c r="J46" i="18"/>
  <c r="J856" i="18"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29" i="18"/>
  <c r="J839" i="18" s="1"/>
  <c r="J33" i="18"/>
  <c r="J843" i="18" s="1"/>
  <c r="J41" i="18"/>
  <c r="J851" i="18" s="1"/>
  <c r="J48" i="18"/>
  <c r="J858" i="18" s="1"/>
  <c r="J50" i="18"/>
  <c r="J860" i="18" s="1"/>
  <c r="J52" i="18"/>
  <c r="J862" i="18" s="1"/>
  <c r="J54" i="18"/>
  <c r="J864" i="18" s="1"/>
  <c r="J56" i="18"/>
  <c r="J866" i="18" s="1"/>
  <c r="J58" i="18"/>
  <c r="J868" i="18" s="1"/>
  <c r="J60" i="18"/>
  <c r="J870" i="18"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18" i="18"/>
  <c r="J20" i="18"/>
  <c r="J22" i="18"/>
  <c r="J24" i="18"/>
  <c r="J26" i="18"/>
  <c r="J836" i="18" s="1"/>
  <c r="J28" i="18"/>
  <c r="J838" i="18" s="1"/>
  <c r="J32" i="18"/>
  <c r="J842" i="18" s="1"/>
  <c r="J35" i="18"/>
  <c r="J845" i="18" s="1"/>
  <c r="J37" i="18"/>
  <c r="J847" i="18" s="1"/>
  <c r="J40" i="18"/>
  <c r="J850" i="18" s="1"/>
  <c r="J43" i="18"/>
  <c r="J853" i="18" s="1"/>
  <c r="J45" i="18"/>
  <c r="J855" i="18"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30" i="18"/>
  <c r="J840" i="18" s="1"/>
  <c r="J39" i="18"/>
  <c r="J849" i="18" s="1"/>
  <c r="J47" i="18"/>
  <c r="J857" i="18" s="1"/>
  <c r="J49" i="18"/>
  <c r="J859" i="18" s="1"/>
  <c r="J51" i="18"/>
  <c r="J861" i="18" s="1"/>
  <c r="J53" i="18"/>
  <c r="J863" i="18" s="1"/>
  <c r="J55" i="18"/>
  <c r="J865" i="18" s="1"/>
  <c r="J57" i="18"/>
  <c r="J867" i="18" s="1"/>
  <c r="J59" i="18"/>
  <c r="J869" i="18" s="1"/>
  <c r="J61" i="18"/>
  <c r="J871" i="18"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K623" i="18"/>
  <c r="K285" i="18"/>
  <c r="K298" i="18"/>
  <c r="K194" i="18"/>
  <c r="K168" i="18"/>
  <c r="K155" i="18"/>
  <c r="L3" i="18"/>
  <c r="K131" i="18"/>
  <c r="K118" i="18"/>
  <c r="I624" i="7941"/>
  <c r="L168" i="1"/>
  <c r="I620" i="7941"/>
  <c r="I1230" i="18"/>
  <c r="I1596" i="18" s="1"/>
  <c r="H652" i="7941"/>
  <c r="I1206" i="18"/>
  <c r="H644" i="7941"/>
  <c r="J12" i="18"/>
  <c r="J219" i="1"/>
  <c r="K133" i="18"/>
  <c r="J65" i="18"/>
  <c r="I1222" i="18"/>
  <c r="I1588" i="18" s="1"/>
  <c r="I35" i="7941"/>
  <c r="H349" i="7941"/>
  <c r="I16" i="7941"/>
  <c r="H330" i="7941"/>
  <c r="I11" i="7941"/>
  <c r="H325"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I48" i="7941"/>
  <c r="H636" i="7941"/>
  <c r="H1241" i="18"/>
  <c r="L391" i="1"/>
  <c r="H670" i="7941"/>
  <c r="H662" i="7941"/>
  <c r="H654" i="7941"/>
  <c r="H646" i="7941"/>
  <c r="I1200" i="18"/>
  <c r="I29" i="7941"/>
  <c r="H343" i="7941"/>
  <c r="I20" i="7941"/>
  <c r="H334" i="7941"/>
  <c r="I14" i="7941"/>
  <c r="H328" i="7941"/>
  <c r="I19" i="7941"/>
  <c r="H333" i="7941"/>
  <c r="H357" i="7941"/>
  <c r="I43" i="7941"/>
  <c r="I37" i="7941"/>
  <c r="H351" i="7941"/>
  <c r="I24" i="7941"/>
  <c r="H338" i="7941"/>
  <c r="I13" i="7941"/>
  <c r="H327" i="7941"/>
  <c r="H661" i="7941"/>
  <c r="H653" i="7941"/>
  <c r="I1207" i="18"/>
  <c r="H645" i="7941"/>
  <c r="H637" i="7941"/>
  <c r="H658" i="7941"/>
  <c r="H650" i="7941"/>
  <c r="I1204" i="18"/>
  <c r="H642" i="7941"/>
  <c r="H356" i="7941"/>
  <c r="I42" i="7941"/>
  <c r="H660" i="7941"/>
  <c r="I1242" i="18"/>
  <c r="I63" i="18"/>
  <c r="I822" i="18"/>
  <c r="I11" i="18"/>
  <c r="H681" i="7941"/>
  <c r="H673" i="7941"/>
  <c r="I1227" i="18"/>
  <c r="I1593" i="18" s="1"/>
  <c r="I21" i="7941"/>
  <c r="H335" i="794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17" i="7941"/>
  <c r="H331" i="7941"/>
  <c r="I12" i="7941"/>
  <c r="H326" i="7941"/>
  <c r="J469" i="7942"/>
  <c r="I633" i="7941"/>
  <c r="H947" i="7941"/>
  <c r="J832" i="18" l="1"/>
  <c r="J70" i="7941" s="1"/>
  <c r="J829" i="18"/>
  <c r="J67" i="7941" s="1"/>
  <c r="J830" i="18"/>
  <c r="J826" i="18"/>
  <c r="J64" i="7941" s="1"/>
  <c r="J825" i="18"/>
  <c r="J63" i="7941" s="1"/>
  <c r="J828" i="18"/>
  <c r="J66" i="7941" s="1"/>
  <c r="J833" i="18"/>
  <c r="J71" i="7941" s="1"/>
  <c r="J823" i="18"/>
  <c r="J61" i="7941" s="1"/>
  <c r="J827" i="18"/>
  <c r="J834" i="18"/>
  <c r="J72" i="7941" s="1"/>
  <c r="J824" i="18"/>
  <c r="J831" i="18"/>
  <c r="J69" i="7941" s="1"/>
  <c r="J65" i="7941"/>
  <c r="J83" i="7941"/>
  <c r="J62" i="7941"/>
  <c r="J108" i="7941"/>
  <c r="J79" i="7941"/>
  <c r="J103" i="7941"/>
  <c r="J95" i="7941"/>
  <c r="J91" i="7941"/>
  <c r="J80" i="7941"/>
  <c r="J106" i="7941"/>
  <c r="J98" i="7941"/>
  <c r="J77" i="7941"/>
  <c r="J86" i="7941"/>
  <c r="J75" i="7941"/>
  <c r="I1165" i="18"/>
  <c r="I1163" i="18"/>
  <c r="I1162" i="18"/>
  <c r="I1178" i="18"/>
  <c r="J105" i="7941"/>
  <c r="J81" i="7941"/>
  <c r="J90" i="7941"/>
  <c r="J109" i="7941"/>
  <c r="J101" i="7941"/>
  <c r="J87" i="7941"/>
  <c r="J88" i="7941"/>
  <c r="J76" i="7941"/>
  <c r="J68" i="7941"/>
  <c r="J104" i="7941"/>
  <c r="J96" i="7941"/>
  <c r="J94" i="7941"/>
  <c r="J84" i="7941"/>
  <c r="J73" i="7941"/>
  <c r="I1155" i="18"/>
  <c r="I1170" i="18"/>
  <c r="I1182" i="18"/>
  <c r="I1173" i="18"/>
  <c r="J107" i="7941"/>
  <c r="J99" i="7941"/>
  <c r="J78" i="7941"/>
  <c r="J85" i="7941"/>
  <c r="J74" i="7941"/>
  <c r="J102" i="7941"/>
  <c r="J89" i="7941"/>
  <c r="J92" i="7941"/>
  <c r="J82" i="7941"/>
  <c r="I1176" i="18"/>
  <c r="I1157" i="18"/>
  <c r="I1159" i="18"/>
  <c r="I1166" i="18"/>
  <c r="I1172" i="18"/>
  <c r="J97" i="7941"/>
  <c r="J93" i="7941"/>
  <c r="J100" i="7941"/>
  <c r="I1152" i="18"/>
  <c r="I1164" i="18"/>
  <c r="I902" i="18" s="1"/>
  <c r="I140" i="7941" s="1"/>
  <c r="I350" i="7941" s="1"/>
  <c r="I1184" i="18"/>
  <c r="I1151" i="18"/>
  <c r="I1140" i="18"/>
  <c r="I1147" i="18"/>
  <c r="I1148" i="18"/>
  <c r="I1144" i="18"/>
  <c r="I1145" i="18"/>
  <c r="I1141" i="18"/>
  <c r="I1149" i="18"/>
  <c r="I1142" i="18"/>
  <c r="I880" i="18" s="1"/>
  <c r="I118" i="7941" s="1"/>
  <c r="J14" i="7941" s="1"/>
  <c r="J463" i="7944"/>
  <c r="K463" i="7944" s="1"/>
  <c r="I410" i="7944"/>
  <c r="J410" i="7944" s="1"/>
  <c r="J345" i="7944"/>
  <c r="K345" i="7944" s="1"/>
  <c r="I1196" i="18"/>
  <c r="I1562" i="18" s="1"/>
  <c r="I228" i="7944"/>
  <c r="J228" i="7944" s="1"/>
  <c r="J267" i="7944"/>
  <c r="K267" i="7944" s="1"/>
  <c r="J709" i="7944"/>
  <c r="K709" i="7944" s="1"/>
  <c r="J579" i="7944"/>
  <c r="K579" i="7944" s="1"/>
  <c r="J618" i="7944"/>
  <c r="J553" i="7944"/>
  <c r="K553" i="7944" s="1"/>
  <c r="J358" i="7944"/>
  <c r="J371" i="7944"/>
  <c r="J748" i="7944"/>
  <c r="K748" i="7944" s="1"/>
  <c r="J683" i="7944"/>
  <c r="J761" i="7944"/>
  <c r="K761" i="7944" s="1"/>
  <c r="J189" i="7944"/>
  <c r="J514" i="7944"/>
  <c r="K514" i="7944" s="1"/>
  <c r="J735" i="7944"/>
  <c r="K735" i="7944" s="1"/>
  <c r="J462" i="7944"/>
  <c r="K462" i="7944" s="1"/>
  <c r="J293" i="7944"/>
  <c r="K293" i="7944" s="1"/>
  <c r="J488" i="7944"/>
  <c r="J280" i="7944"/>
  <c r="J592" i="7944"/>
  <c r="K592" i="7944" s="1"/>
  <c r="J670" i="7944"/>
  <c r="J528" i="7944"/>
  <c r="J540" i="7944" s="1"/>
  <c r="J372" i="7944"/>
  <c r="J384" i="7944" s="1"/>
  <c r="I657" i="7944"/>
  <c r="J242" i="7944"/>
  <c r="J254" i="7944" s="1"/>
  <c r="I1228" i="18"/>
  <c r="I1594" i="18" s="1"/>
  <c r="I1332" i="18" s="1"/>
  <c r="I726" i="7941" s="1"/>
  <c r="I626" i="7941"/>
  <c r="H360" i="7941"/>
  <c r="I1334" i="18"/>
  <c r="I527" i="7944"/>
  <c r="I1215" i="18"/>
  <c r="K519" i="18"/>
  <c r="L519" i="18" s="1"/>
  <c r="I1092" i="18"/>
  <c r="I280" i="7958"/>
  <c r="I60" i="7958"/>
  <c r="I115" i="7958"/>
  <c r="I225" i="7958"/>
  <c r="I5" i="7958"/>
  <c r="I170" i="7958"/>
  <c r="J411" i="7944"/>
  <c r="J423" i="7944" s="1"/>
  <c r="J583" i="18"/>
  <c r="J1539" i="18" s="1"/>
  <c r="I1203" i="18"/>
  <c r="I1569" i="18" s="1"/>
  <c r="I1547" i="18"/>
  <c r="I1237" i="18"/>
  <c r="I1603" i="18" s="1"/>
  <c r="I1341" i="18" s="1"/>
  <c r="J1237" i="18" s="1"/>
  <c r="K428" i="18"/>
  <c r="L428" i="18" s="1"/>
  <c r="J203" i="7944"/>
  <c r="K203" i="7944" s="1"/>
  <c r="I722" i="7944"/>
  <c r="I1235" i="18"/>
  <c r="I1601" i="18" s="1"/>
  <c r="I1339" i="18" s="1"/>
  <c r="I733" i="7941" s="1"/>
  <c r="I1510" i="18"/>
  <c r="I1208" i="18"/>
  <c r="I1574" i="18" s="1"/>
  <c r="I1195" i="18"/>
  <c r="I1561" i="18" s="1"/>
  <c r="I1530" i="18"/>
  <c r="H913" i="7941"/>
  <c r="H946" i="7941"/>
  <c r="I595" i="7941"/>
  <c r="I1226" i="18"/>
  <c r="I1592" i="18" s="1"/>
  <c r="I1330" i="18" s="1"/>
  <c r="I724" i="7941" s="1"/>
  <c r="J620" i="7941" s="1"/>
  <c r="I1511" i="18"/>
  <c r="I1301" i="18" s="1"/>
  <c r="I1516" i="18"/>
  <c r="I1238" i="18"/>
  <c r="I1604" i="18" s="1"/>
  <c r="I1342" i="18" s="1"/>
  <c r="I736" i="7941" s="1"/>
  <c r="J632" i="7941" s="1"/>
  <c r="I1232" i="18"/>
  <c r="I1598" i="18" s="1"/>
  <c r="I1336" i="18" s="1"/>
  <c r="I1130" i="18"/>
  <c r="J320" i="7944"/>
  <c r="J332" i="7944" s="1"/>
  <c r="I319" i="7944"/>
  <c r="B2674" i="7950"/>
  <c r="I1089" i="18"/>
  <c r="I819" i="18"/>
  <c r="I57" i="7941"/>
  <c r="I1220" i="18"/>
  <c r="I1586" i="18" s="1"/>
  <c r="I1214" i="18"/>
  <c r="I1580" i="18" s="1"/>
  <c r="I1212" i="18"/>
  <c r="I1578" i="18" s="1"/>
  <c r="I1198" i="18"/>
  <c r="I1564" i="18" s="1"/>
  <c r="I1126" i="18"/>
  <c r="I607" i="7941"/>
  <c r="I795" i="18"/>
  <c r="H149" i="7941"/>
  <c r="H359" i="7941" s="1"/>
  <c r="I1087" i="18"/>
  <c r="I449" i="7944"/>
  <c r="H937" i="7941"/>
  <c r="I1201" i="18"/>
  <c r="I1567" i="18" s="1"/>
  <c r="L4" i="18"/>
  <c r="L276" i="1"/>
  <c r="L4" i="7942"/>
  <c r="L4" i="7941"/>
  <c r="L222" i="1"/>
  <c r="L384" i="1"/>
  <c r="L114" i="1"/>
  <c r="M60" i="1"/>
  <c r="L4" i="7944"/>
  <c r="L330" i="1"/>
  <c r="J635" i="18"/>
  <c r="J1123" i="18" s="1"/>
  <c r="H358" i="7941"/>
  <c r="I15" i="7941"/>
  <c r="I1216" i="18"/>
  <c r="I1582" i="18" s="1"/>
  <c r="I1097" i="18"/>
  <c r="I1213" i="18"/>
  <c r="I1579" i="18" s="1"/>
  <c r="I1211" i="18"/>
  <c r="I1577" i="18" s="1"/>
  <c r="I1229" i="18"/>
  <c r="I1595" i="18" s="1"/>
  <c r="I808" i="18"/>
  <c r="I777" i="18"/>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H363" i="7941"/>
  <c r="I50" i="7941"/>
  <c r="H348" i="7941"/>
  <c r="H945" i="7941"/>
  <c r="J609" i="18"/>
  <c r="J1121" i="18" s="1"/>
  <c r="I1340" i="18"/>
  <c r="I734" i="7941" s="1"/>
  <c r="I1224" i="18"/>
  <c r="I1590" i="18" s="1"/>
  <c r="I1553" i="18"/>
  <c r="I1205" i="18"/>
  <c r="I1571" i="18" s="1"/>
  <c r="K167" i="18"/>
  <c r="K180" i="18"/>
  <c r="K1088" i="18" s="1"/>
  <c r="J349" i="18"/>
  <c r="K349" i="18" s="1"/>
  <c r="K1521" i="18" s="1"/>
  <c r="J453" i="18"/>
  <c r="J1109" i="18" s="1"/>
  <c r="J713" i="18"/>
  <c r="K713" i="18" s="1"/>
  <c r="J388" i="18"/>
  <c r="K388" i="18" s="1"/>
  <c r="K164" i="7944"/>
  <c r="L164" i="7944" s="1"/>
  <c r="I811" i="18"/>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J687" i="18"/>
  <c r="J1127" i="18" s="1"/>
  <c r="I1534" i="18"/>
  <c r="J674" i="18"/>
  <c r="J1126" i="18" s="1"/>
  <c r="J336" i="18"/>
  <c r="J1520" i="18" s="1"/>
  <c r="H129" i="7941"/>
  <c r="I787" i="18"/>
  <c r="J414" i="18"/>
  <c r="J1526" i="18" s="1"/>
  <c r="I1199" i="18"/>
  <c r="I1565" i="18" s="1"/>
  <c r="K350" i="18"/>
  <c r="K362" i="18" s="1"/>
  <c r="K259" i="18"/>
  <c r="L259" i="18" s="1"/>
  <c r="I1106" i="18"/>
  <c r="I886" i="18"/>
  <c r="I124" i="7941" s="1"/>
  <c r="I334" i="7941" s="1"/>
  <c r="I1122" i="18"/>
  <c r="H145" i="7941"/>
  <c r="I803" i="18"/>
  <c r="H126" i="7941"/>
  <c r="I784" i="18"/>
  <c r="J622" i="18"/>
  <c r="J1122" i="18" s="1"/>
  <c r="I1548" i="18"/>
  <c r="I1338" i="18" s="1"/>
  <c r="J505" i="18"/>
  <c r="J1533" i="18" s="1"/>
  <c r="K739" i="18"/>
  <c r="K1551" i="18" s="1"/>
  <c r="J466" i="18"/>
  <c r="J1530" i="18" s="1"/>
  <c r="I1538" i="18"/>
  <c r="I1100" i="18"/>
  <c r="H155" i="7941"/>
  <c r="I813" i="18"/>
  <c r="H136" i="7941"/>
  <c r="I794" i="18"/>
  <c r="J492" i="18"/>
  <c r="J1532" i="18" s="1"/>
  <c r="H156" i="7941"/>
  <c r="I814" i="18"/>
  <c r="H144" i="7941"/>
  <c r="I802" i="18"/>
  <c r="H122" i="7941"/>
  <c r="I780" i="18"/>
  <c r="H143" i="7941"/>
  <c r="I801" i="18"/>
  <c r="I1120" i="18"/>
  <c r="I1132" i="18"/>
  <c r="I922" i="18" s="1"/>
  <c r="J219" i="18"/>
  <c r="J1511" i="18" s="1"/>
  <c r="J752" i="18"/>
  <c r="J1132" i="18" s="1"/>
  <c r="I1113" i="18"/>
  <c r="I1536" i="18"/>
  <c r="I1326" i="18" s="1"/>
  <c r="J648" i="18"/>
  <c r="J1124" i="18" s="1"/>
  <c r="J206" i="18"/>
  <c r="J1510" i="18" s="1"/>
  <c r="J726" i="18"/>
  <c r="J1550" i="18" s="1"/>
  <c r="H132" i="7941"/>
  <c r="I790" i="18"/>
  <c r="J596" i="18"/>
  <c r="J1540" i="18" s="1"/>
  <c r="J570" i="18"/>
  <c r="J1538" i="18" s="1"/>
  <c r="K310" i="18"/>
  <c r="K1518" i="18" s="1"/>
  <c r="J518" i="18"/>
  <c r="J1534" i="18" s="1"/>
  <c r="J284" i="18"/>
  <c r="J1516" i="18" s="1"/>
  <c r="H159" i="7941"/>
  <c r="I817" i="18"/>
  <c r="J661" i="18"/>
  <c r="J1545" i="18" s="1"/>
  <c r="I1093" i="18"/>
  <c r="I1543" i="18"/>
  <c r="I1107" i="18"/>
  <c r="I897" i="18" s="1"/>
  <c r="H134" i="7941"/>
  <c r="I792" i="18"/>
  <c r="J619" i="7944"/>
  <c r="J631" i="7944" s="1"/>
  <c r="K441" i="18"/>
  <c r="L441" i="18" s="1"/>
  <c r="I163" i="7944"/>
  <c r="I47" i="7941"/>
  <c r="J385" i="7944"/>
  <c r="J397" i="7944" s="1"/>
  <c r="K294" i="7944"/>
  <c r="K306" i="7944" s="1"/>
  <c r="J593" i="7944"/>
  <c r="K593" i="7944" s="1"/>
  <c r="J229" i="7944"/>
  <c r="J241" i="7944" s="1"/>
  <c r="J424" i="7944"/>
  <c r="K424" i="7944" s="1"/>
  <c r="L424" i="7944" s="1"/>
  <c r="J554" i="7944"/>
  <c r="J566" i="7944" s="1"/>
  <c r="K190" i="7944"/>
  <c r="K202" i="7944" s="1"/>
  <c r="J632" i="7944"/>
  <c r="K632" i="7944" s="1"/>
  <c r="I1327" i="18"/>
  <c r="I721" i="7941" s="1"/>
  <c r="K233" i="18"/>
  <c r="L233" i="18" s="1"/>
  <c r="I1331" i="18"/>
  <c r="I725" i="7941" s="1"/>
  <c r="K242" i="7944"/>
  <c r="K489" i="7944"/>
  <c r="L489" i="7944" s="1"/>
  <c r="J1087" i="18"/>
  <c r="L460" i="1"/>
  <c r="H367" i="794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I901" i="18"/>
  <c r="J797"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J1108" i="18"/>
  <c r="K714" i="18"/>
  <c r="L714" i="18" s="1"/>
  <c r="H917" i="7941"/>
  <c r="I1337" i="18"/>
  <c r="J1233" i="18" s="1"/>
  <c r="I1514" i="18"/>
  <c r="I913" i="18"/>
  <c r="I151" i="7941" s="1"/>
  <c r="I908" i="18"/>
  <c r="I146" i="7941" s="1"/>
  <c r="J42" i="7941" s="1"/>
  <c r="L535" i="18"/>
  <c r="I900" i="18"/>
  <c r="J796" i="18" s="1"/>
  <c r="J1518" i="18"/>
  <c r="I893" i="18"/>
  <c r="I131" i="7941" s="1"/>
  <c r="J27" i="7941" s="1"/>
  <c r="I1329" i="18"/>
  <c r="J1225" i="18" s="1"/>
  <c r="K513" i="7942"/>
  <c r="K514" i="7942" s="1"/>
  <c r="I885" i="18"/>
  <c r="I123" i="7941" s="1"/>
  <c r="J19" i="7941" s="1"/>
  <c r="J1115" i="18"/>
  <c r="A42" i="7946"/>
  <c r="I895" i="18"/>
  <c r="J791"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J1548" i="18"/>
  <c r="L736" i="7944"/>
  <c r="L710" i="7944"/>
  <c r="L658" i="7944"/>
  <c r="L606" i="7944"/>
  <c r="L580" i="7944"/>
  <c r="L749" i="7944"/>
  <c r="L723" i="7944"/>
  <c r="L697" i="7944"/>
  <c r="L671" i="7944"/>
  <c r="L645" i="7944"/>
  <c r="L567" i="7944"/>
  <c r="L541" i="7944"/>
  <c r="L515" i="7944"/>
  <c r="L437" i="7944"/>
  <c r="L359" i="7944"/>
  <c r="L333" i="7944"/>
  <c r="L307" i="7944"/>
  <c r="L502" i="7944"/>
  <c r="L476" i="7944"/>
  <c r="L450" i="7944"/>
  <c r="L398" i="7944"/>
  <c r="L346" i="7944"/>
  <c r="L281" i="7944"/>
  <c r="L255" i="7944"/>
  <c r="L203" i="7944"/>
  <c r="L177" i="7944"/>
  <c r="L151" i="7944"/>
  <c r="L130" i="7944"/>
  <c r="L129" i="7944"/>
  <c r="L115" i="7944"/>
  <c r="L114" i="7944"/>
  <c r="M3" i="7944"/>
  <c r="L268" i="7944"/>
  <c r="L216" i="7944"/>
  <c r="L128" i="7944"/>
  <c r="L127" i="7944"/>
  <c r="L117" i="7944"/>
  <c r="L116" i="7944"/>
  <c r="L688" i="18"/>
  <c r="L662" i="18"/>
  <c r="L636" i="18"/>
  <c r="L610" i="18"/>
  <c r="L506" i="18"/>
  <c r="L493" i="18"/>
  <c r="L480" i="18"/>
  <c r="L454" i="18"/>
  <c r="L415" i="18"/>
  <c r="L402" i="18"/>
  <c r="L376" i="18"/>
  <c r="L363" i="18"/>
  <c r="L337" i="18"/>
  <c r="L324" i="18"/>
  <c r="L311" i="18"/>
  <c r="L298" i="18"/>
  <c r="L285" i="18"/>
  <c r="L246" i="18"/>
  <c r="L220" i="18"/>
  <c r="L207" i="18"/>
  <c r="L753" i="18"/>
  <c r="L701" i="18"/>
  <c r="L649" i="18"/>
  <c r="L597" i="18"/>
  <c r="L545" i="18"/>
  <c r="L194" i="18"/>
  <c r="L181" i="18"/>
  <c r="L168" i="18"/>
  <c r="L155" i="18"/>
  <c r="L727" i="18"/>
  <c r="L675" i="18"/>
  <c r="L623" i="18"/>
  <c r="L571" i="18"/>
  <c r="M3" i="18"/>
  <c r="L118" i="18"/>
  <c r="L131" i="18"/>
  <c r="L119" i="18"/>
  <c r="L132" i="18"/>
  <c r="M330" i="1"/>
  <c r="M222" i="1"/>
  <c r="M384" i="1"/>
  <c r="M276" i="1"/>
  <c r="M168"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0" i="18"/>
  <c r="I1573" i="18"/>
  <c r="I1581" i="18"/>
  <c r="K497" i="7942"/>
  <c r="J498" i="7942"/>
  <c r="H908" i="7941"/>
  <c r="I594" i="7941"/>
  <c r="H916" i="7941"/>
  <c r="I602" i="7941"/>
  <c r="H924" i="7941"/>
  <c r="I610" i="7941"/>
  <c r="L9" i="7942"/>
  <c r="L392" i="1"/>
  <c r="H903" i="7941"/>
  <c r="I589" i="7941"/>
  <c r="H911" i="7941"/>
  <c r="I597" i="7941"/>
  <c r="H919" i="7941"/>
  <c r="I605" i="7941"/>
  <c r="H927" i="7941"/>
  <c r="I613" i="7941"/>
  <c r="K13" i="18"/>
  <c r="K15" i="18"/>
  <c r="K17" i="18"/>
  <c r="K19" i="18"/>
  <c r="K21" i="18"/>
  <c r="K23" i="18"/>
  <c r="K25" i="18"/>
  <c r="K835" i="18" s="1"/>
  <c r="K27" i="18"/>
  <c r="K837" i="18" s="1"/>
  <c r="K29" i="18"/>
  <c r="K839" i="18" s="1"/>
  <c r="K31" i="18"/>
  <c r="K841" i="18" s="1"/>
  <c r="K33" i="18"/>
  <c r="K843" i="18" s="1"/>
  <c r="K35" i="18"/>
  <c r="K845" i="18" s="1"/>
  <c r="K37" i="18"/>
  <c r="K847" i="18" s="1"/>
  <c r="K39" i="18"/>
  <c r="K849" i="18" s="1"/>
  <c r="K41" i="18"/>
  <c r="K851" i="18" s="1"/>
  <c r="K43" i="18"/>
  <c r="K853" i="18" s="1"/>
  <c r="K45" i="18"/>
  <c r="K855" i="18" s="1"/>
  <c r="K47" i="18"/>
  <c r="K857" i="18" s="1"/>
  <c r="K49" i="18"/>
  <c r="K859" i="18" s="1"/>
  <c r="K51" i="18"/>
  <c r="K861" i="18" s="1"/>
  <c r="K53" i="18"/>
  <c r="K863" i="18" s="1"/>
  <c r="K55" i="18"/>
  <c r="K865" i="18" s="1"/>
  <c r="K57" i="18"/>
  <c r="K867" i="18" s="1"/>
  <c r="K59" i="18"/>
  <c r="K869" i="18" s="1"/>
  <c r="K61" i="18"/>
  <c r="K871" i="18"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317" i="18"/>
  <c r="I1572" i="18"/>
  <c r="K475" i="7942"/>
  <c r="K525" i="7942"/>
  <c r="K503" i="7942"/>
  <c r="J504" i="7942"/>
  <c r="J528" i="7942"/>
  <c r="K527" i="7942"/>
  <c r="M4" i="7944"/>
  <c r="M4" i="7941"/>
  <c r="M4" i="7942"/>
  <c r="M401" i="1"/>
  <c r="M4" i="18"/>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N387" i="1"/>
  <c r="H635" i="7941"/>
  <c r="I1585" i="18"/>
  <c r="K12" i="18"/>
  <c r="K219" i="1"/>
  <c r="K14" i="18"/>
  <c r="K16" i="18"/>
  <c r="K18" i="18"/>
  <c r="K20" i="18"/>
  <c r="K22" i="18"/>
  <c r="K24" i="18"/>
  <c r="K26" i="18"/>
  <c r="K836" i="18" s="1"/>
  <c r="K28" i="18"/>
  <c r="K838" i="18" s="1"/>
  <c r="K30" i="18"/>
  <c r="K840" i="18" s="1"/>
  <c r="K32" i="18"/>
  <c r="K842" i="18" s="1"/>
  <c r="K34" i="18"/>
  <c r="K844" i="18" s="1"/>
  <c r="K36" i="18"/>
  <c r="K846" i="18" s="1"/>
  <c r="K38" i="18"/>
  <c r="K848" i="18" s="1"/>
  <c r="K40" i="18"/>
  <c r="K850" i="18" s="1"/>
  <c r="K42" i="18"/>
  <c r="K852" i="18" s="1"/>
  <c r="K44" i="18"/>
  <c r="K854" i="18" s="1"/>
  <c r="K46" i="18"/>
  <c r="K856" i="18" s="1"/>
  <c r="K48" i="18"/>
  <c r="K858" i="18" s="1"/>
  <c r="K50" i="18"/>
  <c r="K860" i="18" s="1"/>
  <c r="K52" i="18"/>
  <c r="K862" i="18" s="1"/>
  <c r="K54" i="18"/>
  <c r="K864" i="18" s="1"/>
  <c r="K56" i="18"/>
  <c r="K866" i="18" s="1"/>
  <c r="K58" i="18"/>
  <c r="K868" i="18" s="1"/>
  <c r="K60" i="18"/>
  <c r="K870" i="18"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I1343" i="18"/>
  <c r="H928" i="7941"/>
  <c r="I614" i="7941"/>
  <c r="I728" i="7941"/>
  <c r="J624" i="7941" s="1"/>
  <c r="J1230" i="18"/>
  <c r="K372" i="7944" l="1"/>
  <c r="J1119" i="18"/>
  <c r="I890" i="18"/>
  <c r="J786" i="18" s="1"/>
  <c r="I914" i="18"/>
  <c r="I152" i="7941" s="1"/>
  <c r="J48" i="7941" s="1"/>
  <c r="L463" i="7944"/>
  <c r="I903" i="18"/>
  <c r="I141" i="7941" s="1"/>
  <c r="I910" i="18"/>
  <c r="I878" i="18"/>
  <c r="I879" i="18"/>
  <c r="J775" i="18" s="1"/>
  <c r="J1141" i="18" s="1"/>
  <c r="I882" i="18"/>
  <c r="I120" i="7941" s="1"/>
  <c r="I330" i="7941" s="1"/>
  <c r="I883" i="18"/>
  <c r="I121" i="7941" s="1"/>
  <c r="I887" i="18"/>
  <c r="J783" i="18" s="1"/>
  <c r="K830" i="18"/>
  <c r="K68" i="7941" s="1"/>
  <c r="K827" i="18"/>
  <c r="K65" i="7941" s="1"/>
  <c r="K828" i="18"/>
  <c r="K66" i="7941" s="1"/>
  <c r="K833" i="18"/>
  <c r="K71" i="7941" s="1"/>
  <c r="K825" i="18"/>
  <c r="K63" i="7941" s="1"/>
  <c r="K834" i="18"/>
  <c r="K72" i="7941" s="1"/>
  <c r="K826" i="18"/>
  <c r="K64" i="7941" s="1"/>
  <c r="K831" i="18"/>
  <c r="K69" i="7941" s="1"/>
  <c r="K823" i="18"/>
  <c r="K61" i="7941" s="1"/>
  <c r="K832" i="18"/>
  <c r="K70" i="7941" s="1"/>
  <c r="K824" i="18"/>
  <c r="K62" i="7941" s="1"/>
  <c r="K829" i="18"/>
  <c r="K67" i="7941" s="1"/>
  <c r="K88" i="7941"/>
  <c r="K93" i="7941"/>
  <c r="K77" i="7941"/>
  <c r="K94" i="7941"/>
  <c r="K99" i="7941"/>
  <c r="K91" i="7941"/>
  <c r="K75" i="7941"/>
  <c r="K108" i="7941"/>
  <c r="K100" i="7941"/>
  <c r="K92" i="7941"/>
  <c r="K84" i="7941"/>
  <c r="K76" i="7941"/>
  <c r="K105" i="7941"/>
  <c r="K97" i="7941"/>
  <c r="K89" i="7941"/>
  <c r="K81" i="7941"/>
  <c r="K73" i="7941"/>
  <c r="J1162" i="18"/>
  <c r="I1183" i="18"/>
  <c r="I921" i="18" s="1"/>
  <c r="I159" i="7941" s="1"/>
  <c r="I1180" i="18"/>
  <c r="I918" i="18" s="1"/>
  <c r="J814" i="18" s="1"/>
  <c r="I1169" i="18"/>
  <c r="I907" i="18" s="1"/>
  <c r="I145" i="7941" s="1"/>
  <c r="I916" i="18"/>
  <c r="I154" i="7941" s="1"/>
  <c r="I920" i="18"/>
  <c r="I158" i="7941" s="1"/>
  <c r="I368" i="7941" s="1"/>
  <c r="K96" i="7941"/>
  <c r="K101" i="7941"/>
  <c r="K102" i="7941"/>
  <c r="K86" i="7941"/>
  <c r="K78" i="7941"/>
  <c r="K107" i="7941"/>
  <c r="K83" i="7941"/>
  <c r="K106" i="7941"/>
  <c r="K98" i="7941"/>
  <c r="K90" i="7941"/>
  <c r="K82" i="7941"/>
  <c r="K74" i="7941"/>
  <c r="K103" i="7941"/>
  <c r="K95" i="7941"/>
  <c r="K87" i="7941"/>
  <c r="K79" i="7941"/>
  <c r="I1179" i="18"/>
  <c r="I917" i="18" s="1"/>
  <c r="J813" i="18" s="1"/>
  <c r="I1153" i="18"/>
  <c r="I891" i="18" s="1"/>
  <c r="I129" i="7941" s="1"/>
  <c r="J1163" i="18"/>
  <c r="I1158" i="18"/>
  <c r="I1167" i="18"/>
  <c r="I905" i="18" s="1"/>
  <c r="I143" i="7941" s="1"/>
  <c r="I1168" i="18"/>
  <c r="I906" i="18" s="1"/>
  <c r="I144" i="7941" s="1"/>
  <c r="I1150" i="18"/>
  <c r="I888" i="18" s="1"/>
  <c r="J784" i="18" s="1"/>
  <c r="I1177" i="18"/>
  <c r="I915" i="18" s="1"/>
  <c r="J811" i="18" s="1"/>
  <c r="I1174" i="18"/>
  <c r="I912" i="18" s="1"/>
  <c r="I150" i="7941" s="1"/>
  <c r="I360" i="7941" s="1"/>
  <c r="I1161" i="18"/>
  <c r="K104" i="7941"/>
  <c r="K80" i="7941"/>
  <c r="K109" i="7941"/>
  <c r="K85" i="7941"/>
  <c r="J1157" i="18"/>
  <c r="J1171" i="18"/>
  <c r="J909" i="18" s="1"/>
  <c r="K805" i="18" s="1"/>
  <c r="I1156" i="18"/>
  <c r="I894" i="18" s="1"/>
  <c r="J790" i="18" s="1"/>
  <c r="I1160" i="18"/>
  <c r="I898" i="18" s="1"/>
  <c r="I136" i="7941" s="1"/>
  <c r="I1154" i="18"/>
  <c r="I892" i="18" s="1"/>
  <c r="J788" i="18" s="1"/>
  <c r="I1185" i="18"/>
  <c r="I923" i="18" s="1"/>
  <c r="J819" i="18" s="1"/>
  <c r="I1146" i="18"/>
  <c r="I884" i="18" s="1"/>
  <c r="I122" i="7941" s="1"/>
  <c r="I1143" i="18"/>
  <c r="I881" i="18" s="1"/>
  <c r="J777" i="18" s="1"/>
  <c r="K528" i="7944"/>
  <c r="L528" i="7944" s="1"/>
  <c r="J475" i="7944"/>
  <c r="K475" i="7944" s="1"/>
  <c r="K410" i="7944"/>
  <c r="L410" i="7944" s="1"/>
  <c r="L345" i="7944"/>
  <c r="K501" i="7944"/>
  <c r="L501" i="7944" s="1"/>
  <c r="K696" i="7944"/>
  <c r="L696" i="7944" s="1"/>
  <c r="K228" i="7944"/>
  <c r="L228" i="7944" s="1"/>
  <c r="L293" i="7944"/>
  <c r="L592" i="7944"/>
  <c r="L735" i="7944"/>
  <c r="K254" i="7944"/>
  <c r="L709" i="7944"/>
  <c r="K384" i="7944"/>
  <c r="K358" i="7944"/>
  <c r="K618" i="7944"/>
  <c r="L618" i="7944" s="1"/>
  <c r="J215" i="7944"/>
  <c r="K683" i="7944"/>
  <c r="L683" i="7944" s="1"/>
  <c r="J644" i="7944"/>
  <c r="K189" i="7944"/>
  <c r="K371" i="7944"/>
  <c r="L371" i="7944" s="1"/>
  <c r="L761" i="7944"/>
  <c r="J657" i="7944"/>
  <c r="K657" i="7944" s="1"/>
  <c r="J449" i="7944"/>
  <c r="K449" i="7944" s="1"/>
  <c r="J319" i="7944"/>
  <c r="J722" i="7944"/>
  <c r="K722" i="7944" s="1"/>
  <c r="K280" i="7944"/>
  <c r="L462" i="7944"/>
  <c r="L514" i="7944"/>
  <c r="L748" i="7944"/>
  <c r="L553" i="7944"/>
  <c r="J527" i="7944"/>
  <c r="L579" i="7944"/>
  <c r="L267" i="7944"/>
  <c r="K176" i="7944"/>
  <c r="K670" i="7944"/>
  <c r="L670" i="7944" s="1"/>
  <c r="K488" i="7944"/>
  <c r="L488" i="7944" s="1"/>
  <c r="J436" i="7944"/>
  <c r="J163" i="7944"/>
  <c r="K163" i="7944" s="1"/>
  <c r="J605" i="7944"/>
  <c r="I328" i="7941"/>
  <c r="J776" i="18"/>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32" i="7944" s="1"/>
  <c r="K323" i="18"/>
  <c r="K1099" i="18" s="1"/>
  <c r="I45" i="7941"/>
  <c r="I877" i="18"/>
  <c r="J773" i="18" s="1"/>
  <c r="J1537" i="18"/>
  <c r="J1527" i="18"/>
  <c r="K245" i="18"/>
  <c r="K1513" i="18" s="1"/>
  <c r="K427" i="18"/>
  <c r="K1107" i="18" s="1"/>
  <c r="J1228" i="18"/>
  <c r="J1594" i="18" s="1"/>
  <c r="K258" i="18"/>
  <c r="L258" i="18" s="1"/>
  <c r="J1097" i="18"/>
  <c r="J1089" i="18"/>
  <c r="J1529" i="18"/>
  <c r="J1541" i="18"/>
  <c r="K193" i="18"/>
  <c r="K1509" i="18" s="1"/>
  <c r="K385" i="7944"/>
  <c r="L385" i="7944" s="1"/>
  <c r="J782" i="18"/>
  <c r="J20" i="7941"/>
  <c r="J1120" i="18"/>
  <c r="J1515" i="18"/>
  <c r="L294" i="7944"/>
  <c r="L306" i="7944" s="1"/>
  <c r="J1238" i="18"/>
  <c r="J1604" i="18" s="1"/>
  <c r="J1552" i="18"/>
  <c r="K271" i="18"/>
  <c r="K1515" i="18" s="1"/>
  <c r="I896" i="18"/>
  <c r="I134" i="7941" s="1"/>
  <c r="J818" i="18"/>
  <c r="I160" i="7941"/>
  <c r="I370" i="7941" s="1"/>
  <c r="J1236" i="18"/>
  <c r="J1602" i="18" s="1"/>
  <c r="J50" i="7941"/>
  <c r="J1096" i="18"/>
  <c r="K557" i="18"/>
  <c r="K1117" i="18" s="1"/>
  <c r="J1549" i="18"/>
  <c r="I128" i="7941"/>
  <c r="I338" i="7941" s="1"/>
  <c r="L180" i="18"/>
  <c r="L167" i="18"/>
  <c r="L388" i="18"/>
  <c r="L713" i="18"/>
  <c r="I148" i="7941"/>
  <c r="J806" i="18"/>
  <c r="I732" i="7941"/>
  <c r="J628" i="7941" s="1"/>
  <c r="J1234" i="18"/>
  <c r="J1600" i="18" s="1"/>
  <c r="J1222" i="18"/>
  <c r="J1588" i="18" s="1"/>
  <c r="I720" i="7941"/>
  <c r="J616" i="7941" s="1"/>
  <c r="K1522" i="18"/>
  <c r="J793" i="18"/>
  <c r="I135" i="7941"/>
  <c r="J31" i="7941" s="1"/>
  <c r="K661" i="18"/>
  <c r="L661" i="18" s="1"/>
  <c r="K284" i="18"/>
  <c r="K1516" i="18" s="1"/>
  <c r="L310" i="18"/>
  <c r="L1518" i="18" s="1"/>
  <c r="H342" i="7941"/>
  <c r="I28" i="7941"/>
  <c r="K219" i="18"/>
  <c r="K1091" i="18" s="1"/>
  <c r="J1091" i="18"/>
  <c r="H353" i="7941"/>
  <c r="I39" i="794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L202" i="7944" s="1"/>
  <c r="K229" i="7944"/>
  <c r="K241" i="7944" s="1"/>
  <c r="L593" i="7944"/>
  <c r="M593" i="7944" s="1"/>
  <c r="L632" i="7944"/>
  <c r="M632" i="7944" s="1"/>
  <c r="K619" i="7944"/>
  <c r="L619" i="7944" s="1"/>
  <c r="J802" i="18"/>
  <c r="K554" i="7944"/>
  <c r="L554" i="7944" s="1"/>
  <c r="J1223" i="18"/>
  <c r="J1589" i="18" s="1"/>
  <c r="J1235" i="18"/>
  <c r="J1601" i="18" s="1"/>
  <c r="J798" i="18"/>
  <c r="J36" i="7941"/>
  <c r="L372" i="7944"/>
  <c r="M372" i="7944" s="1"/>
  <c r="L242" i="7944"/>
  <c r="J1101" i="18"/>
  <c r="I364" i="7941"/>
  <c r="N460" i="1"/>
  <c r="K1101" i="18"/>
  <c r="J1524" i="18"/>
  <c r="K1524" i="18"/>
  <c r="J1125" i="18"/>
  <c r="J1507" i="18"/>
  <c r="K1507" i="18"/>
  <c r="J1112" i="18"/>
  <c r="I142" i="7941"/>
  <c r="J38" i="7941" s="1"/>
  <c r="I139" i="7941"/>
  <c r="J35" i="7941" s="1"/>
  <c r="I147" i="7941"/>
  <c r="J43" i="7941"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K1119" i="18"/>
  <c r="I361" i="7941"/>
  <c r="K1102" i="18"/>
  <c r="J804" i="18"/>
  <c r="J1129" i="18"/>
  <c r="J809" i="18"/>
  <c r="J1094" i="18"/>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508" i="18"/>
  <c r="J1088" i="18"/>
  <c r="J812" i="18"/>
  <c r="J787" i="18"/>
  <c r="J785" i="18"/>
  <c r="I333" i="7941"/>
  <c r="I133" i="7941"/>
  <c r="I343" i="7941" s="1"/>
  <c r="K198" i="7942"/>
  <c r="K199" i="7942" s="1"/>
  <c r="M134" i="18"/>
  <c r="J781" i="18"/>
  <c r="J794" i="18"/>
  <c r="J789" i="18"/>
  <c r="K1104" i="18"/>
  <c r="I126" i="7941"/>
  <c r="I367" i="7941"/>
  <c r="K1508" i="18"/>
  <c r="K1131" i="18"/>
  <c r="K443" i="7942"/>
  <c r="L443" i="7942" s="1"/>
  <c r="K451" i="7942"/>
  <c r="K452" i="7942" s="1"/>
  <c r="L513" i="7942"/>
  <c r="L514" i="7942" s="1"/>
  <c r="K459" i="7942"/>
  <c r="K460" i="7942" s="1"/>
  <c r="I117" i="7941"/>
  <c r="I327" i="7941" s="1"/>
  <c r="J815" i="18"/>
  <c r="J617" i="7941"/>
  <c r="J629" i="7941"/>
  <c r="J621" i="7941"/>
  <c r="J630" i="7941"/>
  <c r="J622" i="7941"/>
  <c r="A43" i="7946"/>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18" i="18"/>
  <c r="L23" i="18"/>
  <c r="L29" i="18"/>
  <c r="L839" i="18" s="1"/>
  <c r="L33" i="18"/>
  <c r="L843" i="18" s="1"/>
  <c r="L37" i="18"/>
  <c r="L847" i="18" s="1"/>
  <c r="L39" i="18"/>
  <c r="L849" i="18" s="1"/>
  <c r="L41" i="18"/>
  <c r="L851" i="18" s="1"/>
  <c r="L43" i="18"/>
  <c r="L853" i="18"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19" i="18"/>
  <c r="L21" i="18"/>
  <c r="L26" i="18"/>
  <c r="L836" i="18" s="1"/>
  <c r="L28" i="18"/>
  <c r="L838" i="18" s="1"/>
  <c r="L32" i="18"/>
  <c r="L842" i="18" s="1"/>
  <c r="L35" i="18"/>
  <c r="L845" i="18" s="1"/>
  <c r="L45" i="18"/>
  <c r="L855" i="18" s="1"/>
  <c r="L47" i="18"/>
  <c r="L857" i="18" s="1"/>
  <c r="L49" i="18"/>
  <c r="L859" i="18" s="1"/>
  <c r="L51" i="18"/>
  <c r="L861" i="18" s="1"/>
  <c r="L53" i="18"/>
  <c r="L863" i="18" s="1"/>
  <c r="L55" i="18"/>
  <c r="L865" i="18" s="1"/>
  <c r="L57" i="18"/>
  <c r="L867" i="18" s="1"/>
  <c r="L59" i="18"/>
  <c r="L869" i="18" s="1"/>
  <c r="L61" i="18"/>
  <c r="L871" i="18"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527" i="18"/>
  <c r="K1087" i="18"/>
  <c r="M749" i="7944"/>
  <c r="M723" i="7944"/>
  <c r="M697" i="7944"/>
  <c r="M671" i="7944"/>
  <c r="M645" i="7944"/>
  <c r="M567" i="7944"/>
  <c r="M541" i="7944"/>
  <c r="M736" i="7944"/>
  <c r="M710" i="7944"/>
  <c r="M684" i="7944"/>
  <c r="M658" i="7944"/>
  <c r="M606" i="7944"/>
  <c r="M580" i="7944"/>
  <c r="M592" i="7944" s="1"/>
  <c r="M528" i="7944"/>
  <c r="M502" i="7944"/>
  <c r="M476" i="7944"/>
  <c r="M450" i="7944"/>
  <c r="M424" i="7944"/>
  <c r="M398" i="7944"/>
  <c r="M346" i="7944"/>
  <c r="M515" i="7944"/>
  <c r="M489" i="7944"/>
  <c r="M463" i="7944"/>
  <c r="M437" i="7944"/>
  <c r="M359" i="7944"/>
  <c r="M333" i="7944"/>
  <c r="M345" i="7944" s="1"/>
  <c r="M307" i="7944"/>
  <c r="M268" i="7944"/>
  <c r="M216" i="7944"/>
  <c r="M164" i="7944"/>
  <c r="M131" i="7944"/>
  <c r="M128" i="7944"/>
  <c r="M127" i="7944"/>
  <c r="M117" i="7944"/>
  <c r="M116" i="7944"/>
  <c r="M281" i="7944"/>
  <c r="M255" i="7944"/>
  <c r="M203" i="7944"/>
  <c r="M177" i="7944"/>
  <c r="M151" i="7944"/>
  <c r="M130" i="7944"/>
  <c r="M129" i="7944"/>
  <c r="M118" i="7944"/>
  <c r="M115" i="7944"/>
  <c r="M114" i="7944"/>
  <c r="N3" i="7944"/>
  <c r="K1543" i="18"/>
  <c r="K1098" i="18"/>
  <c r="L17" i="18"/>
  <c r="L22" i="18"/>
  <c r="L24" i="18"/>
  <c r="L30" i="18"/>
  <c r="L840" i="18" s="1"/>
  <c r="L36" i="18"/>
  <c r="L846" i="18" s="1"/>
  <c r="L38" i="18"/>
  <c r="L848" i="18" s="1"/>
  <c r="L40" i="18"/>
  <c r="L850" i="18" s="1"/>
  <c r="L42" i="18"/>
  <c r="L852" i="18"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15" i="18"/>
  <c r="L20" i="18"/>
  <c r="L25" i="18"/>
  <c r="L835" i="18" s="1"/>
  <c r="L27" i="18"/>
  <c r="L837" i="18" s="1"/>
  <c r="L31" i="18"/>
  <c r="L841" i="18" s="1"/>
  <c r="L34" i="18"/>
  <c r="L844" i="18" s="1"/>
  <c r="L44" i="18"/>
  <c r="L854" i="18" s="1"/>
  <c r="L46" i="18"/>
  <c r="L856" i="18" s="1"/>
  <c r="L48" i="18"/>
  <c r="L858" i="18" s="1"/>
  <c r="L50" i="18"/>
  <c r="L860" i="18" s="1"/>
  <c r="L52" i="18"/>
  <c r="L862" i="18" s="1"/>
  <c r="L54" i="18"/>
  <c r="L864" i="18" s="1"/>
  <c r="L56" i="18"/>
  <c r="L866" i="18" s="1"/>
  <c r="L58" i="18"/>
  <c r="L868" i="18" s="1"/>
  <c r="L60" i="18"/>
  <c r="L870" i="18"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I1299" i="18"/>
  <c r="N391" i="1"/>
  <c r="O387"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L439" i="7942"/>
  <c r="K440" i="7942"/>
  <c r="K464" i="7942"/>
  <c r="L463" i="7942"/>
  <c r="K480" i="7942"/>
  <c r="L479" i="7942"/>
  <c r="I1322" i="18"/>
  <c r="I1306"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I940" i="7941"/>
  <c r="J1596" i="18"/>
  <c r="J1597" i="18"/>
  <c r="J1166" i="18"/>
  <c r="J810" i="18" l="1"/>
  <c r="I362" i="7941"/>
  <c r="L765" i="18"/>
  <c r="I156" i="7941"/>
  <c r="J816" i="18"/>
  <c r="J817" i="18"/>
  <c r="J801" i="18"/>
  <c r="J39" i="7941"/>
  <c r="J799" i="18"/>
  <c r="J1165" i="18" s="1"/>
  <c r="J903" i="18" s="1"/>
  <c r="I155" i="7941"/>
  <c r="I365" i="7941" s="1"/>
  <c r="I119" i="7941"/>
  <c r="I329" i="7941" s="1"/>
  <c r="J779" i="18"/>
  <c r="J1145" i="18" s="1"/>
  <c r="J883" i="18" s="1"/>
  <c r="J16" i="7941"/>
  <c r="J778" i="18"/>
  <c r="J1144" i="18" s="1"/>
  <c r="J882" i="18" s="1"/>
  <c r="J1149" i="18"/>
  <c r="J887" i="18" s="1"/>
  <c r="I125" i="7941"/>
  <c r="I335" i="7941" s="1"/>
  <c r="J879" i="18"/>
  <c r="K775" i="18" s="1"/>
  <c r="L834" i="18"/>
  <c r="L824" i="18"/>
  <c r="L62" i="7941" s="1"/>
  <c r="L830" i="18"/>
  <c r="L68" i="7941" s="1"/>
  <c r="L832" i="18"/>
  <c r="L833" i="18"/>
  <c r="L71" i="7941" s="1"/>
  <c r="L825" i="18"/>
  <c r="L63" i="7941" s="1"/>
  <c r="L827" i="18"/>
  <c r="L65" i="7941" s="1"/>
  <c r="L831" i="18"/>
  <c r="L69" i="7941" s="1"/>
  <c r="L828" i="18"/>
  <c r="L823" i="18"/>
  <c r="L829" i="18"/>
  <c r="L67" i="7941" s="1"/>
  <c r="L826" i="18"/>
  <c r="L64" i="7941" s="1"/>
  <c r="J780" i="18"/>
  <c r="J1146" i="18" s="1"/>
  <c r="J884" i="18" s="1"/>
  <c r="K780" i="18" s="1"/>
  <c r="J18" i="7941"/>
  <c r="J1156" i="18"/>
  <c r="L88" i="7941"/>
  <c r="L72" i="7941"/>
  <c r="L103" i="7941"/>
  <c r="L77" i="7941"/>
  <c r="L106" i="7941"/>
  <c r="L98" i="7941"/>
  <c r="L82" i="7941"/>
  <c r="L86" i="7941"/>
  <c r="L70" i="7941"/>
  <c r="L109" i="7941"/>
  <c r="L101" i="7941"/>
  <c r="L93" i="7941"/>
  <c r="L74" i="7941"/>
  <c r="L87" i="7941"/>
  <c r="J1160" i="18"/>
  <c r="J898" i="18" s="1"/>
  <c r="K794" i="18" s="1"/>
  <c r="J1178" i="18"/>
  <c r="J916" i="18" s="1"/>
  <c r="K812" i="18" s="1"/>
  <c r="J1182" i="18"/>
  <c r="J1168" i="18"/>
  <c r="J906" i="18" s="1"/>
  <c r="K802" i="18" s="1"/>
  <c r="J1177" i="18"/>
  <c r="J915" i="18" s="1"/>
  <c r="J1179" i="18"/>
  <c r="J917" i="18" s="1"/>
  <c r="K813" i="18" s="1"/>
  <c r="L95" i="7941"/>
  <c r="L89" i="7941"/>
  <c r="J1164" i="18"/>
  <c r="L104" i="7941"/>
  <c r="L96" i="7941"/>
  <c r="L79" i="7941"/>
  <c r="L84" i="7941"/>
  <c r="L107" i="7941"/>
  <c r="L99" i="7941"/>
  <c r="L83" i="7941"/>
  <c r="L85" i="7941"/>
  <c r="L66" i="7941"/>
  <c r="J1175" i="18"/>
  <c r="J913" i="18" s="1"/>
  <c r="K809" i="18" s="1"/>
  <c r="J1167" i="18"/>
  <c r="J905" i="18" s="1"/>
  <c r="K801" i="18" s="1"/>
  <c r="J1159" i="18"/>
  <c r="J897" i="18" s="1"/>
  <c r="K793" i="18" s="1"/>
  <c r="J1152" i="18"/>
  <c r="J890" i="18" s="1"/>
  <c r="K786" i="18" s="1"/>
  <c r="J1184" i="18"/>
  <c r="J922" i="18" s="1"/>
  <c r="K818" i="18" s="1"/>
  <c r="L108" i="7941"/>
  <c r="L100" i="7941"/>
  <c r="L92" i="7941"/>
  <c r="L73" i="7941"/>
  <c r="L76" i="7941"/>
  <c r="J1181" i="18"/>
  <c r="J919" i="18" s="1"/>
  <c r="K815" i="18" s="1"/>
  <c r="J1155" i="18"/>
  <c r="J893" i="18" s="1"/>
  <c r="K789" i="18" s="1"/>
  <c r="J1153" i="18"/>
  <c r="J1170" i="18"/>
  <c r="L102" i="7941"/>
  <c r="L94" i="7941"/>
  <c r="L75" i="7941"/>
  <c r="L61" i="7941"/>
  <c r="L90" i="7941"/>
  <c r="L78" i="7941"/>
  <c r="L105" i="7941"/>
  <c r="L97" i="7941"/>
  <c r="L80" i="7941"/>
  <c r="L91" i="7941"/>
  <c r="L81" i="7941"/>
  <c r="J1151" i="18"/>
  <c r="J889" i="18" s="1"/>
  <c r="K785" i="18" s="1"/>
  <c r="J1183" i="18"/>
  <c r="J921" i="18" s="1"/>
  <c r="K817" i="18" s="1"/>
  <c r="J1176" i="18"/>
  <c r="J914" i="18" s="1"/>
  <c r="K810" i="18" s="1"/>
  <c r="J1172" i="18"/>
  <c r="J910" i="18" s="1"/>
  <c r="K806" i="18" s="1"/>
  <c r="J1150" i="18"/>
  <c r="J888" i="18" s="1"/>
  <c r="K784" i="18" s="1"/>
  <c r="J1180" i="18"/>
  <c r="J918" i="18" s="1"/>
  <c r="K814" i="18" s="1"/>
  <c r="J1140" i="18"/>
  <c r="J878" i="18" s="1"/>
  <c r="K774" i="18" s="1"/>
  <c r="J1148" i="18"/>
  <c r="J886" i="18" s="1"/>
  <c r="K782" i="18" s="1"/>
  <c r="J1139" i="18"/>
  <c r="J877" i="18" s="1"/>
  <c r="K773" i="18" s="1"/>
  <c r="J1142" i="18"/>
  <c r="J880" i="18" s="1"/>
  <c r="J1147" i="18"/>
  <c r="J885" i="18" s="1"/>
  <c r="K781" i="18" s="1"/>
  <c r="J1143" i="18"/>
  <c r="J881" i="18" s="1"/>
  <c r="L475" i="7944"/>
  <c r="M475" i="7944" s="1"/>
  <c r="K540" i="7944"/>
  <c r="L540" i="7944" s="1"/>
  <c r="K1133" i="18"/>
  <c r="K1115" i="18"/>
  <c r="J45" i="7941"/>
  <c r="M696" i="7944"/>
  <c r="M761" i="7944"/>
  <c r="L384" i="7944"/>
  <c r="M384" i="7944" s="1"/>
  <c r="M709" i="7944"/>
  <c r="M735" i="7944"/>
  <c r="M713" i="18"/>
  <c r="K631" i="7944"/>
  <c r="L631" i="7944" s="1"/>
  <c r="M388" i="18"/>
  <c r="M1104" i="18" s="1"/>
  <c r="M748" i="7944"/>
  <c r="M410" i="7944"/>
  <c r="M765" i="18"/>
  <c r="M1133" i="18" s="1"/>
  <c r="M349" i="18"/>
  <c r="M362" i="18"/>
  <c r="M514" i="7944"/>
  <c r="M293" i="7944"/>
  <c r="M167" i="18"/>
  <c r="M258" i="18"/>
  <c r="M180" i="18"/>
  <c r="M228" i="7944"/>
  <c r="J1201" i="18"/>
  <c r="J1567" i="18" s="1"/>
  <c r="J1305" i="18" s="1"/>
  <c r="K1201" i="18" s="1"/>
  <c r="K1097" i="18"/>
  <c r="I909" i="7941"/>
  <c r="K1092" i="18"/>
  <c r="M670" i="7944"/>
  <c r="M501" i="7944"/>
  <c r="M683" i="7944"/>
  <c r="M579" i="7944"/>
  <c r="L163" i="7944"/>
  <c r="M163" i="7944" s="1"/>
  <c r="M618" i="7944"/>
  <c r="L657" i="7944"/>
  <c r="M657" i="7944" s="1"/>
  <c r="L280" i="7944"/>
  <c r="M280" i="7944" s="1"/>
  <c r="L176" i="7944"/>
  <c r="L254" i="7944"/>
  <c r="K527" i="7944"/>
  <c r="L527" i="7944" s="1"/>
  <c r="M527" i="7944" s="1"/>
  <c r="L449" i="7944"/>
  <c r="M449" i="7944" s="1"/>
  <c r="M462" i="7944"/>
  <c r="L358" i="7944"/>
  <c r="M371" i="7944"/>
  <c r="M540" i="7944"/>
  <c r="M488" i="7944"/>
  <c r="K644" i="7944"/>
  <c r="K423" i="7944"/>
  <c r="K566" i="7944"/>
  <c r="K605" i="7944"/>
  <c r="L605" i="7944" s="1"/>
  <c r="M605" i="7944" s="1"/>
  <c r="K436" i="7944"/>
  <c r="L722" i="7944"/>
  <c r="M722" i="7944" s="1"/>
  <c r="K319" i="7944"/>
  <c r="L189" i="7944"/>
  <c r="M267" i="7944"/>
  <c r="M553" i="7944"/>
  <c r="K215" i="7944"/>
  <c r="K397" i="7944"/>
  <c r="K1528" i="18"/>
  <c r="L440" i="18"/>
  <c r="M440" i="18" s="1"/>
  <c r="M411" i="7944"/>
  <c r="N411" i="7944" s="1"/>
  <c r="L583" i="18"/>
  <c r="M583" i="18" s="1"/>
  <c r="M1539" i="18" s="1"/>
  <c r="L609" i="18"/>
  <c r="M609" i="18" s="1"/>
  <c r="J795" i="18"/>
  <c r="L232" i="18"/>
  <c r="M232" i="18" s="1"/>
  <c r="L297" i="18"/>
  <c r="M297" i="18" s="1"/>
  <c r="L531" i="18"/>
  <c r="M531" i="18" s="1"/>
  <c r="J808" i="18"/>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L323" i="18"/>
  <c r="M323" i="18" s="1"/>
  <c r="M1099" i="18" s="1"/>
  <c r="L427" i="18"/>
  <c r="M427" i="18" s="1"/>
  <c r="M1107" i="18" s="1"/>
  <c r="J894" i="18"/>
  <c r="K790" i="18" s="1"/>
  <c r="K1514" i="18"/>
  <c r="J1224" i="18"/>
  <c r="J1590" i="18" s="1"/>
  <c r="J1328" i="18" s="1"/>
  <c r="K1224" i="18" s="1"/>
  <c r="L700" i="18"/>
  <c r="M700" i="18" s="1"/>
  <c r="M1548" i="18" s="1"/>
  <c r="L320" i="7944"/>
  <c r="M320" i="7944" s="1"/>
  <c r="B2676" i="7950"/>
  <c r="L1522" i="18"/>
  <c r="I344" i="7941"/>
  <c r="I345" i="7941"/>
  <c r="L1104" i="18"/>
  <c r="I930" i="7941"/>
  <c r="L1133" i="18"/>
  <c r="J56" i="7941"/>
  <c r="L245" i="18"/>
  <c r="M245" i="18" s="1"/>
  <c r="L1549" i="18"/>
  <c r="K1532" i="18"/>
  <c r="I132" i="7941"/>
  <c r="J28" i="7941" s="1"/>
  <c r="J908" i="18"/>
  <c r="K804" i="18" s="1"/>
  <c r="I366" i="7941"/>
  <c r="L1101" i="18"/>
  <c r="K1125" i="18"/>
  <c r="M294" i="7944"/>
  <c r="M306" i="7944" s="1"/>
  <c r="M385" i="7944"/>
  <c r="N385" i="7944" s="1"/>
  <c r="I363" i="7941"/>
  <c r="I346" i="7941"/>
  <c r="J55" i="7941"/>
  <c r="I942" i="7941"/>
  <c r="K1544" i="18"/>
  <c r="K1113" i="18"/>
  <c r="I332" i="7941"/>
  <c r="J803" i="18"/>
  <c r="K1096" i="18"/>
  <c r="J792" i="18"/>
  <c r="K1531" i="18"/>
  <c r="I347" i="7941"/>
  <c r="M190" i="7944"/>
  <c r="N190" i="7944" s="1"/>
  <c r="K1520" i="18"/>
  <c r="J24" i="7941"/>
  <c r="I339" i="7941"/>
  <c r="L193" i="18"/>
  <c r="L1509" i="18" s="1"/>
  <c r="K1089" i="18"/>
  <c r="M619" i="7944"/>
  <c r="N619" i="7944" s="1"/>
  <c r="K1511" i="18"/>
  <c r="K1537" i="18"/>
  <c r="I353" i="7941"/>
  <c r="L284" i="18"/>
  <c r="M284" i="18" s="1"/>
  <c r="I932" i="7941"/>
  <c r="K1550" i="18"/>
  <c r="K1536" i="18"/>
  <c r="L1539" i="18"/>
  <c r="L229" i="7944"/>
  <c r="M229" i="7944" s="1"/>
  <c r="L557" i="18"/>
  <c r="M557" i="18" s="1"/>
  <c r="M554" i="7944"/>
  <c r="N554" i="7944" s="1"/>
  <c r="L219" i="18"/>
  <c r="M219" i="18" s="1"/>
  <c r="M1091" i="18" s="1"/>
  <c r="L271" i="18"/>
  <c r="M271" i="18" s="1"/>
  <c r="M544" i="18"/>
  <c r="L1536" i="18"/>
  <c r="I355" i="7941"/>
  <c r="I354" i="7941"/>
  <c r="J30" i="7941"/>
  <c r="L466" i="18"/>
  <c r="L1110" i="18" s="1"/>
  <c r="L1508" i="18"/>
  <c r="J22" i="7941"/>
  <c r="J41" i="7941"/>
  <c r="L752" i="18"/>
  <c r="L1552" i="18" s="1"/>
  <c r="J26" i="7941"/>
  <c r="K1110" i="18"/>
  <c r="K1132" i="18"/>
  <c r="M661" i="18"/>
  <c r="M492" i="18"/>
  <c r="K1540" i="18"/>
  <c r="L596" i="18"/>
  <c r="L1540" i="18" s="1"/>
  <c r="K1525" i="18"/>
  <c r="L505" i="18"/>
  <c r="L1113" i="18" s="1"/>
  <c r="L336" i="18"/>
  <c r="M336" i="18" s="1"/>
  <c r="J44" i="7941"/>
  <c r="I358" i="7941"/>
  <c r="L401" i="18"/>
  <c r="L1525" i="18" s="1"/>
  <c r="K1106" i="18"/>
  <c r="L414" i="18"/>
  <c r="L1106" i="18" s="1"/>
  <c r="L206" i="18"/>
  <c r="L1510"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J902" i="18"/>
  <c r="K798" i="18" s="1"/>
  <c r="M242" i="7944"/>
  <c r="N242" i="7944" s="1"/>
  <c r="J891" i="18"/>
  <c r="K787" i="18" s="1"/>
  <c r="I357" i="7941"/>
  <c r="I352" i="7941"/>
  <c r="J34" i="7941"/>
  <c r="K1541" i="18"/>
  <c r="J52" i="7941"/>
  <c r="I359" i="7941"/>
  <c r="J807" i="18"/>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L1087" i="18"/>
  <c r="B462" i="7950"/>
  <c r="B1164" i="7950"/>
  <c r="B2460" i="7950"/>
  <c r="B1542" i="7950"/>
  <c r="B1380" i="7950"/>
  <c r="B1326" i="7950"/>
  <c r="B2190" i="7950"/>
  <c r="L1532" i="18"/>
  <c r="I349" i="7941"/>
  <c r="K1112" i="18"/>
  <c r="L459" i="7942"/>
  <c r="I933" i="7941"/>
  <c r="O114" i="1"/>
  <c r="B570" i="7950"/>
  <c r="B1758" i="7950"/>
  <c r="B1812" i="7950"/>
  <c r="B810" i="7950"/>
  <c r="B1650" i="7950"/>
  <c r="I941" i="794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L1514" i="18"/>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1553" i="18"/>
  <c r="L451" i="7942"/>
  <c r="L452" i="7942" s="1"/>
  <c r="L1119" i="18"/>
  <c r="I336" i="7941"/>
  <c r="J13" i="7941"/>
  <c r="J29" i="7941"/>
  <c r="K444" i="7942"/>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N135" i="18"/>
  <c r="L198" i="7942"/>
  <c r="L199" i="7942" s="1"/>
  <c r="L230" i="7942"/>
  <c r="L231" i="7942" s="1"/>
  <c r="L212" i="7942"/>
  <c r="L213" i="7942" s="1"/>
  <c r="L467" i="7942"/>
  <c r="L468" i="7942" s="1"/>
  <c r="L242" i="7942"/>
  <c r="L243" i="7942" s="1"/>
  <c r="A44" i="7946"/>
  <c r="N9" i="7942"/>
  <c r="N392" i="1"/>
  <c r="L194" i="7942"/>
  <c r="L195" i="7942" s="1"/>
  <c r="L224" i="7942"/>
  <c r="L225" i="7942" s="1"/>
  <c r="L1524" i="18"/>
  <c r="L1551" i="18"/>
  <c r="M1129"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7" i="7944"/>
  <c r="N284" i="7944"/>
  <c r="N283" i="7944"/>
  <c r="N273" i="7944"/>
  <c r="N272" i="7944"/>
  <c r="N375" i="7944"/>
  <c r="N374" i="7944"/>
  <c r="N364" i="7944"/>
  <c r="N352" i="7944"/>
  <c r="N337" i="7944"/>
  <c r="N301" i="7944"/>
  <c r="N300" i="7944"/>
  <c r="N285" i="7944"/>
  <c r="N261" i="7944"/>
  <c r="N258" i="7944"/>
  <c r="N257" i="7944"/>
  <c r="N247" i="7944"/>
  <c r="N246" i="7944"/>
  <c r="N235" i="7944"/>
  <c r="N232" i="7944"/>
  <c r="N231" i="7944"/>
  <c r="N221" i="7944"/>
  <c r="N220" i="7944"/>
  <c r="N389" i="7944"/>
  <c r="N353" i="7944"/>
  <c r="N323" i="7944"/>
  <c r="N322" i="7944"/>
  <c r="N312" i="7944"/>
  <c r="N297" i="7944"/>
  <c r="N296" i="7944"/>
  <c r="N286" i="7944"/>
  <c r="N274" i="7944"/>
  <c r="N271" i="7944"/>
  <c r="N270" i="7944"/>
  <c r="N260" i="7944"/>
  <c r="N259" i="7944"/>
  <c r="N248" i="7944"/>
  <c r="N245" i="7944"/>
  <c r="N244" i="7944"/>
  <c r="N234" i="7944"/>
  <c r="N233" i="7944"/>
  <c r="N222" i="7944"/>
  <c r="N219" i="7944"/>
  <c r="N218" i="7944"/>
  <c r="N208" i="7944"/>
  <c r="N207" i="7944"/>
  <c r="N196" i="7944"/>
  <c r="N193" i="7944"/>
  <c r="N192" i="7944"/>
  <c r="N182" i="7944"/>
  <c r="N181" i="7944"/>
  <c r="N170" i="7944"/>
  <c r="N167" i="7944"/>
  <c r="N166" i="7944"/>
  <c r="N156" i="7944"/>
  <c r="N155" i="7944"/>
  <c r="N144" i="7944"/>
  <c r="N141" i="7944"/>
  <c r="N140" i="7944"/>
  <c r="N210" i="7944"/>
  <c r="N209" i="7944"/>
  <c r="N206" i="7944"/>
  <c r="N205" i="7944"/>
  <c r="N195" i="7944"/>
  <c r="N194" i="7944"/>
  <c r="N183" i="7944"/>
  <c r="N180" i="7944"/>
  <c r="N179" i="7944"/>
  <c r="N169" i="7944"/>
  <c r="N16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L1289" i="18"/>
  <c r="L683" i="7941" s="1"/>
  <c r="L1273" i="18"/>
  <c r="L667" i="7941" s="1"/>
  <c r="L208" i="7942"/>
  <c r="L209" i="7942" s="1"/>
  <c r="L184" i="7942"/>
  <c r="L196" i="7942"/>
  <c r="L197" i="7942" s="1"/>
  <c r="U6" i="7949"/>
  <c r="B36" i="7949"/>
  <c r="B60" i="7949"/>
  <c r="L1253" i="18"/>
  <c r="L647" i="7941" s="1"/>
  <c r="L1288" i="18"/>
  <c r="L682" i="7941" s="1"/>
  <c r="L1272" i="18"/>
  <c r="L666" i="7941" s="1"/>
  <c r="L1248" i="18"/>
  <c r="L642" i="7941" s="1"/>
  <c r="L236" i="7942"/>
  <c r="L218" i="7942"/>
  <c r="L219" i="7942" s="1"/>
  <c r="L254" i="7942"/>
  <c r="L202" i="7942"/>
  <c r="L203" i="7942" s="1"/>
  <c r="L246" i="7942"/>
  <c r="L188" i="7942"/>
  <c r="L238" i="7942"/>
  <c r="L214" i="7942"/>
  <c r="L215" i="7942" s="1"/>
  <c r="L1285" i="18"/>
  <c r="L679" i="7941" s="1"/>
  <c r="L1261" i="18"/>
  <c r="L655" i="7941" s="1"/>
  <c r="L1254" i="18"/>
  <c r="L648" i="7941" s="1"/>
  <c r="L268" i="7942"/>
  <c r="L269" i="7942" s="1"/>
  <c r="L176" i="7942"/>
  <c r="N214" i="18"/>
  <c r="L248" i="7942"/>
  <c r="L252" i="7942"/>
  <c r="L1088" i="18"/>
  <c r="L1521" i="18"/>
  <c r="L1098" i="18"/>
  <c r="L1102" i="18"/>
  <c r="L1527" i="18"/>
  <c r="N736" i="7944"/>
  <c r="N710" i="7944"/>
  <c r="N684" i="7944"/>
  <c r="N658" i="7944"/>
  <c r="N632" i="7944"/>
  <c r="N606" i="7944"/>
  <c r="N580" i="7944"/>
  <c r="N592" i="7944" s="1"/>
  <c r="N749" i="7944"/>
  <c r="N723" i="7944"/>
  <c r="N697" i="7944"/>
  <c r="N671" i="7944"/>
  <c r="N683" i="7944" s="1"/>
  <c r="N645" i="7944"/>
  <c r="N515" i="7944"/>
  <c r="N489" i="7944"/>
  <c r="N463" i="7944"/>
  <c r="N437" i="7944"/>
  <c r="N359" i="7944"/>
  <c r="N333" i="7944"/>
  <c r="N307" i="7944"/>
  <c r="N593" i="7944"/>
  <c r="N567" i="7944"/>
  <c r="N541" i="7944"/>
  <c r="N528" i="7944"/>
  <c r="N502" i="7944"/>
  <c r="N476" i="7944"/>
  <c r="N450" i="7944"/>
  <c r="N424" i="7944"/>
  <c r="N398" i="7944"/>
  <c r="N410" i="7944" s="1"/>
  <c r="N372" i="7944"/>
  <c r="N346" i="7944"/>
  <c r="N281" i="7944"/>
  <c r="N255" i="7944"/>
  <c r="N203" i="7944"/>
  <c r="N177" i="7944"/>
  <c r="N151" i="7944"/>
  <c r="N130" i="7944"/>
  <c r="N129" i="7944"/>
  <c r="N118" i="7944"/>
  <c r="N115" i="7944"/>
  <c r="N114" i="7944"/>
  <c r="O3" i="7944"/>
  <c r="N294" i="7944"/>
  <c r="N268" i="7944"/>
  <c r="N216" i="7944"/>
  <c r="N164" i="7944"/>
  <c r="N131" i="7944"/>
  <c r="N128" i="7944"/>
  <c r="N127" i="7944"/>
  <c r="N117" i="7944"/>
  <c r="N116" i="7944"/>
  <c r="I340" i="7941"/>
  <c r="L1115" i="18"/>
  <c r="L1116" i="18"/>
  <c r="L1548"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N134" i="18"/>
  <c r="N121" i="18"/>
  <c r="O330" i="1"/>
  <c r="O222" i="1"/>
  <c r="O384" i="1"/>
  <c r="O276" i="1"/>
  <c r="O168" i="1"/>
  <c r="L498" i="7942"/>
  <c r="O388" i="1"/>
  <c r="L440" i="7942"/>
  <c r="L456" i="7942"/>
  <c r="L512" i="7942"/>
  <c r="I702" i="7941"/>
  <c r="J598" i="7941" s="1"/>
  <c r="J1204" i="18"/>
  <c r="J1579" i="18"/>
  <c r="I704" i="7941"/>
  <c r="J600" i="7941" s="1"/>
  <c r="J1206" i="18"/>
  <c r="L458" i="7942"/>
  <c r="L450" i="7942"/>
  <c r="L486" i="7942"/>
  <c r="J1559" i="18"/>
  <c r="L484" i="7942"/>
  <c r="L516" i="7942"/>
  <c r="I693" i="7941"/>
  <c r="J589" i="7941" s="1"/>
  <c r="J1195" i="18"/>
  <c r="I709" i="7941"/>
  <c r="J605" i="7941" s="1"/>
  <c r="J1211" i="18"/>
  <c r="L1242" i="18"/>
  <c r="L63" i="18"/>
  <c r="L822" i="18"/>
  <c r="L11" i="18"/>
  <c r="I905" i="7941"/>
  <c r="I925" i="7941"/>
  <c r="L494" i="7942"/>
  <c r="L500" i="7942"/>
  <c r="L438" i="7942"/>
  <c r="L446" i="7942"/>
  <c r="I692" i="7941"/>
  <c r="J588" i="7941" s="1"/>
  <c r="J1194" i="18"/>
  <c r="I708" i="7941"/>
  <c r="J604" i="7941" s="1"/>
  <c r="J1210" i="18"/>
  <c r="L488" i="7942"/>
  <c r="L448" i="7942"/>
  <c r="I694" i="7941"/>
  <c r="J590" i="7941" s="1"/>
  <c r="J1196" i="18"/>
  <c r="I710" i="7941"/>
  <c r="J606" i="7941" s="1"/>
  <c r="J1212" i="18"/>
  <c r="I696" i="7941"/>
  <c r="J592" i="7941" s="1"/>
  <c r="J1198" i="18"/>
  <c r="L466" i="7942"/>
  <c r="I701" i="7941"/>
  <c r="J597" i="7941" s="1"/>
  <c r="J1203" i="18"/>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L472" i="7942"/>
  <c r="L474" i="7942"/>
  <c r="I700" i="7941"/>
  <c r="J596" i="7941" s="1"/>
  <c r="J1202" i="18"/>
  <c r="I716" i="7941"/>
  <c r="J612" i="7941" s="1"/>
  <c r="J1218" i="18"/>
  <c r="L480" i="7942"/>
  <c r="L464" i="7942"/>
  <c r="I705" i="7941"/>
  <c r="J601" i="7941" s="1"/>
  <c r="J1207" i="18"/>
  <c r="I921" i="7941"/>
  <c r="L476" i="7942"/>
  <c r="L504" i="7942"/>
  <c r="O4" i="7944"/>
  <c r="O4" i="7941"/>
  <c r="O4" i="7942"/>
  <c r="O4" i="18"/>
  <c r="O401" i="1"/>
  <c r="P60" i="1"/>
  <c r="L442" i="7942"/>
  <c r="I901" i="7941"/>
  <c r="I698" i="7941"/>
  <c r="J594" i="7941" s="1"/>
  <c r="J1200" i="18"/>
  <c r="I714" i="7941"/>
  <c r="J610" i="7941" s="1"/>
  <c r="J1216" i="18"/>
  <c r="O391" i="1"/>
  <c r="P387" i="1"/>
  <c r="K60" i="7941"/>
  <c r="K59" i="7941" s="1"/>
  <c r="K821" i="18"/>
  <c r="J1563" i="18"/>
  <c r="J1583" i="18"/>
  <c r="L454" i="7942"/>
  <c r="I697" i="7941"/>
  <c r="J593" i="7941" s="1"/>
  <c r="J1199" i="18"/>
  <c r="I713" i="7941"/>
  <c r="J609" i="7941" s="1"/>
  <c r="J1215" i="18"/>
  <c r="L506" i="7942"/>
  <c r="I913" i="7941"/>
  <c r="L526" i="7942"/>
  <c r="I712" i="7941"/>
  <c r="J608" i="7941" s="1"/>
  <c r="J1214" i="18"/>
  <c r="L444" i="7942"/>
  <c r="L524" i="7942"/>
  <c r="I706" i="7941"/>
  <c r="J602" i="7941" s="1"/>
  <c r="J1208" i="18"/>
  <c r="L1243" i="18"/>
  <c r="L637" i="7941" s="1"/>
  <c r="I917" i="7941"/>
  <c r="J117" i="7941"/>
  <c r="J133" i="7941"/>
  <c r="J130" i="7941"/>
  <c r="J138" i="7941"/>
  <c r="J127" i="7941"/>
  <c r="J337" i="7941" s="1"/>
  <c r="J139" i="7941"/>
  <c r="J136" i="7941"/>
  <c r="J1185" i="18"/>
  <c r="I947" i="7941"/>
  <c r="I371"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48" i="7941"/>
  <c r="J154" i="7941"/>
  <c r="J364" i="7941" s="1"/>
  <c r="J156" i="7941"/>
  <c r="J152" i="7941"/>
  <c r="J362" i="7941" s="1"/>
  <c r="J904" i="18"/>
  <c r="K800" i="18" s="1"/>
  <c r="J143" i="7941"/>
  <c r="J147" i="7941"/>
  <c r="K778" i="18" l="1"/>
  <c r="J120" i="7941"/>
  <c r="J330" i="7941" s="1"/>
  <c r="N345" i="7944"/>
  <c r="N501" i="7944"/>
  <c r="J51" i="7941"/>
  <c r="N709" i="7944"/>
  <c r="J159" i="7941"/>
  <c r="J132" i="7941"/>
  <c r="N514" i="7944"/>
  <c r="K779" i="18"/>
  <c r="J121" i="7941"/>
  <c r="J331" i="7941" s="1"/>
  <c r="J21" i="7941"/>
  <c r="K811" i="18"/>
  <c r="J153" i="7941"/>
  <c r="K783" i="18"/>
  <c r="J125" i="7941"/>
  <c r="K799" i="18"/>
  <c r="J141" i="7941"/>
  <c r="L1108" i="18"/>
  <c r="J1158" i="18"/>
  <c r="J896" i="18" s="1"/>
  <c r="K792" i="18" s="1"/>
  <c r="J1161" i="18"/>
  <c r="J899" i="18" s="1"/>
  <c r="J126" i="7941"/>
  <c r="K22" i="7941" s="1"/>
  <c r="L1528" i="18"/>
  <c r="J155" i="7941"/>
  <c r="J160" i="7941"/>
  <c r="J115" i="7941"/>
  <c r="J1173" i="18"/>
  <c r="J911" i="18" s="1"/>
  <c r="K807" i="18" s="1"/>
  <c r="J123" i="7941"/>
  <c r="J333" i="7941" s="1"/>
  <c r="J151" i="7941"/>
  <c r="J361" i="7941" s="1"/>
  <c r="J135" i="7941"/>
  <c r="J1169" i="18"/>
  <c r="J907" i="18" s="1"/>
  <c r="K803" i="18" s="1"/>
  <c r="J1174" i="18"/>
  <c r="J912" i="18" s="1"/>
  <c r="K808" i="18" s="1"/>
  <c r="K777" i="18"/>
  <c r="K1143" i="18" s="1"/>
  <c r="J119" i="7941"/>
  <c r="K776" i="18"/>
  <c r="J118" i="7941"/>
  <c r="J328" i="7941" s="1"/>
  <c r="J11" i="7941"/>
  <c r="L1541" i="18"/>
  <c r="N618" i="7944"/>
  <c r="N696" i="7944"/>
  <c r="N306" i="7944"/>
  <c r="N371" i="7944"/>
  <c r="N670" i="7944"/>
  <c r="N748" i="7944"/>
  <c r="N735" i="7944"/>
  <c r="N553" i="7944"/>
  <c r="M631" i="7944"/>
  <c r="N631" i="7944" s="1"/>
  <c r="N488" i="7944"/>
  <c r="N462" i="7944"/>
  <c r="N475" i="7944"/>
  <c r="N579" i="7944"/>
  <c r="N761" i="7944"/>
  <c r="L1092" i="18"/>
  <c r="M254" i="7944"/>
  <c r="M202" i="7944"/>
  <c r="L1535" i="18"/>
  <c r="L644" i="7944"/>
  <c r="M644" i="7944" s="1"/>
  <c r="N722" i="7944"/>
  <c r="N605" i="7944"/>
  <c r="L423" i="7944"/>
  <c r="M423" i="7944" s="1"/>
  <c r="L332" i="7944"/>
  <c r="N527" i="7944"/>
  <c r="N657" i="7944"/>
  <c r="L397" i="7944"/>
  <c r="L215" i="7944"/>
  <c r="N384" i="7944"/>
  <c r="M176" i="7944"/>
  <c r="L241" i="7944"/>
  <c r="N449" i="7944"/>
  <c r="L436" i="7944"/>
  <c r="M436" i="7944" s="1"/>
  <c r="N436" i="7944" s="1"/>
  <c r="N540" i="7944"/>
  <c r="M358" i="7944"/>
  <c r="N358" i="7944" s="1"/>
  <c r="L319" i="7944"/>
  <c r="M319" i="7944" s="1"/>
  <c r="L566" i="7944"/>
  <c r="M566" i="7944" s="1"/>
  <c r="M189" i="7944"/>
  <c r="L1107" i="18"/>
  <c r="L1547" i="18"/>
  <c r="L1114" i="18"/>
  <c r="L1127" i="18"/>
  <c r="L1512" i="18"/>
  <c r="J158" i="7941"/>
  <c r="J368" i="7941" s="1"/>
  <c r="L1128" i="18"/>
  <c r="J128" i="7941"/>
  <c r="J338" i="7941" s="1"/>
  <c r="N320" i="7944"/>
  <c r="O320" i="7944" s="1"/>
  <c r="L1097" i="18"/>
  <c r="J363" i="7941"/>
  <c r="L1123" i="18"/>
  <c r="L1543" i="18"/>
  <c r="M1123" i="18"/>
  <c r="L1517" i="18"/>
  <c r="M280" i="7958"/>
  <c r="M60" i="7958"/>
  <c r="M225" i="7958"/>
  <c r="M5" i="7958"/>
  <c r="M115" i="7958"/>
  <c r="M170" i="7958"/>
  <c r="L1530" i="18"/>
  <c r="L1099" i="18"/>
  <c r="L1519" i="18"/>
  <c r="J623" i="7941"/>
  <c r="I937" i="7941"/>
  <c r="J353" i="7941"/>
  <c r="J146" i="7941"/>
  <c r="J356" i="7941" s="1"/>
  <c r="L1513" i="18"/>
  <c r="L1093" i="18"/>
  <c r="B2647" i="7950"/>
  <c r="L1091" i="18"/>
  <c r="L1511" i="18"/>
  <c r="L1531" i="18"/>
  <c r="M1534" i="18"/>
  <c r="L1111" i="18"/>
  <c r="L1534" i="18"/>
  <c r="L1103" i="18"/>
  <c r="J345" i="7941"/>
  <c r="I342" i="7941"/>
  <c r="J342" i="7941" s="1"/>
  <c r="J124" i="7941"/>
  <c r="J334" i="7941" s="1"/>
  <c r="L1089" i="18"/>
  <c r="J370" i="7941"/>
  <c r="J346" i="7941"/>
  <c r="L1117" i="18"/>
  <c r="M193" i="18"/>
  <c r="J140" i="7941"/>
  <c r="J350" i="7941" s="1"/>
  <c r="L1537" i="18"/>
  <c r="M1518" i="18"/>
  <c r="N229" i="7944"/>
  <c r="O229" i="7944" s="1"/>
  <c r="J369" i="7941"/>
  <c r="L1533" i="18"/>
  <c r="L1516" i="18"/>
  <c r="L1095" i="18"/>
  <c r="M1095" i="18"/>
  <c r="L1515" i="18"/>
  <c r="N43" i="18"/>
  <c r="N853" i="18" s="1"/>
  <c r="N91" i="7941" s="1"/>
  <c r="N46" i="18"/>
  <c r="N856" i="18" s="1"/>
  <c r="N94" i="7941" s="1"/>
  <c r="N50" i="18"/>
  <c r="N860" i="18" s="1"/>
  <c r="N98" i="7941" s="1"/>
  <c r="N54" i="18"/>
  <c r="N864" i="18" s="1"/>
  <c r="N102" i="7941" s="1"/>
  <c r="N58" i="18"/>
  <c r="N868" i="18" s="1"/>
  <c r="N106" i="7941" s="1"/>
  <c r="L1096" i="18"/>
  <c r="L460" i="7942"/>
  <c r="J358" i="7941"/>
  <c r="L1132" i="18"/>
  <c r="J357" i="7941"/>
  <c r="M1117" i="18"/>
  <c r="J144" i="7941"/>
  <c r="J354" i="7941" s="1"/>
  <c r="J351" i="7941"/>
  <c r="N219" i="18"/>
  <c r="M752"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M726" i="18"/>
  <c r="M1550" i="18" s="1"/>
  <c r="L1130" i="18"/>
  <c r="M570" i="18"/>
  <c r="L1118" i="18"/>
  <c r="M453" i="18"/>
  <c r="L1109" i="18"/>
  <c r="M648" i="18"/>
  <c r="L1124" i="18"/>
  <c r="M206" i="18"/>
  <c r="M1510" i="18" s="1"/>
  <c r="L1090" i="18"/>
  <c r="M596" i="18"/>
  <c r="M1120" i="18" s="1"/>
  <c r="L1120" i="18"/>
  <c r="M375" i="18"/>
  <c r="M414" i="18"/>
  <c r="L1526" i="18"/>
  <c r="M674" i="18"/>
  <c r="M1546" i="18" s="1"/>
  <c r="L1126" i="18"/>
  <c r="M622" i="18"/>
  <c r="M1122" i="18" s="1"/>
  <c r="L1542" i="18"/>
  <c r="M401" i="18"/>
  <c r="M1105" i="18" s="1"/>
  <c r="L1105" i="18"/>
  <c r="J366" i="7941"/>
  <c r="M1541" i="18"/>
  <c r="L1121" i="18"/>
  <c r="L1507" i="18"/>
  <c r="M1087" i="18"/>
  <c r="L1112" i="18"/>
  <c r="J157" i="7941"/>
  <c r="J367" i="7941" s="1"/>
  <c r="M1545" i="18"/>
  <c r="J349" i="7941"/>
  <c r="L1545" i="18"/>
  <c r="M1125" i="18"/>
  <c r="P460" i="1"/>
  <c r="J116" i="7941"/>
  <c r="J326" i="7941" s="1"/>
  <c r="L265" i="7942"/>
  <c r="J365" i="7941"/>
  <c r="J329" i="7941"/>
  <c r="J327" i="7941"/>
  <c r="M1094" i="18"/>
  <c r="L1094" i="18"/>
  <c r="J122" i="7941"/>
  <c r="J332" i="7941" s="1"/>
  <c r="J343" i="794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L191" i="7942"/>
  <c r="M1537" i="18"/>
  <c r="M1531" i="18"/>
  <c r="M1514"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P388" i="1"/>
  <c r="M1128" i="18"/>
  <c r="M1119" i="18"/>
  <c r="M1511" i="18"/>
  <c r="M1114" i="18"/>
  <c r="M1524" i="18"/>
  <c r="M1127" i="18"/>
  <c r="M1520" i="18"/>
  <c r="L261" i="7942"/>
  <c r="L241" i="7942"/>
  <c r="M1507" i="18"/>
  <c r="M1515" i="18"/>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553" i="18"/>
  <c r="L217" i="7942"/>
  <c r="J340" i="7941"/>
  <c r="A45" i="7946"/>
  <c r="O9" i="7942"/>
  <c r="O392" i="1"/>
  <c r="N8" i="7942"/>
  <c r="L201"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4" i="7944"/>
  <c r="O391" i="7944"/>
  <c r="O376" i="7944"/>
  <c r="O354" i="7944"/>
  <c r="O340" i="7944"/>
  <c r="O310" i="7944"/>
  <c r="O309" i="7944"/>
  <c r="O302" i="7944"/>
  <c r="O299" i="7944"/>
  <c r="O287" i="7944"/>
  <c r="O272" i="7944"/>
  <c r="O271" i="7944"/>
  <c r="O270" i="7944"/>
  <c r="O263" i="7944"/>
  <c r="O260" i="7944"/>
  <c r="O259" i="7944"/>
  <c r="O248" i="7944"/>
  <c r="O245" i="7944"/>
  <c r="O244" i="7944"/>
  <c r="O237" i="7944"/>
  <c r="O234" i="7944"/>
  <c r="O233" i="7944"/>
  <c r="O222" i="7944"/>
  <c r="O219" i="7944"/>
  <c r="O218" i="7944"/>
  <c r="O211" i="7944"/>
  <c r="O392" i="7944"/>
  <c r="O362" i="7944"/>
  <c r="O361" i="7944"/>
  <c r="O351" i="7944"/>
  <c r="O339" i="7944"/>
  <c r="O324" i="7944"/>
  <c r="O298" i="7944"/>
  <c r="O284" i="7944"/>
  <c r="O283" i="7944"/>
  <c r="O276" i="7944"/>
  <c r="O273" i="7944"/>
  <c r="O261" i="7944"/>
  <c r="O258" i="7944"/>
  <c r="O257" i="7944"/>
  <c r="O250" i="7944"/>
  <c r="O247" i="7944"/>
  <c r="O246" i="7944"/>
  <c r="O235" i="7944"/>
  <c r="O232" i="7944"/>
  <c r="O231" i="7944"/>
  <c r="O224" i="7944"/>
  <c r="O221" i="7944"/>
  <c r="O220" i="7944"/>
  <c r="O210" i="7944"/>
  <c r="O209" i="7944"/>
  <c r="O206" i="7944"/>
  <c r="O205" i="7944"/>
  <c r="O198" i="7944"/>
  <c r="O195" i="7944"/>
  <c r="O194" i="7944"/>
  <c r="O183" i="7944"/>
  <c r="O180" i="7944"/>
  <c r="O179" i="7944"/>
  <c r="O172" i="7944"/>
  <c r="O169" i="7944"/>
  <c r="O168" i="7944"/>
  <c r="O157" i="7944"/>
  <c r="O154" i="7944"/>
  <c r="O153" i="7944"/>
  <c r="O146" i="7944"/>
  <c r="O143" i="7944"/>
  <c r="O142" i="7944"/>
  <c r="O208" i="7944"/>
  <c r="O207" i="7944"/>
  <c r="O196" i="7944"/>
  <c r="O193" i="7944"/>
  <c r="O192" i="7944"/>
  <c r="O185" i="7944"/>
  <c r="O182" i="7944"/>
  <c r="O181" i="7944"/>
  <c r="O170" i="7944"/>
  <c r="O167" i="7944"/>
  <c r="O166" i="7944"/>
  <c r="O159" i="7944"/>
  <c r="O156" i="7944"/>
  <c r="O15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L185" i="7942"/>
  <c r="O58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214"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4" i="18"/>
  <c r="O551" i="18"/>
  <c r="O732" i="18"/>
  <c r="O745" i="18"/>
  <c r="O705" i="18"/>
  <c r="O744" i="18"/>
  <c r="O681" i="18"/>
  <c r="O746" i="18"/>
  <c r="O603" i="18"/>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L189" i="7942"/>
  <c r="L247" i="7942"/>
  <c r="L237" i="7942"/>
  <c r="V6" i="7949"/>
  <c r="B37" i="7949"/>
  <c r="B61" i="7949"/>
  <c r="N91" i="18"/>
  <c r="N1269" i="18" s="1"/>
  <c r="N663" i="7941" s="1"/>
  <c r="O475" i="18"/>
  <c r="N92" i="18"/>
  <c r="O488" i="18"/>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1098" i="18"/>
  <c r="M1522" i="18"/>
  <c r="M1102" i="18"/>
  <c r="M1512" i="18"/>
  <c r="M1096" i="18"/>
  <c r="M1508" i="18"/>
  <c r="O749" i="7944"/>
  <c r="O723" i="7944"/>
  <c r="O697" i="7944"/>
  <c r="O709" i="7944" s="1"/>
  <c r="O671" i="7944"/>
  <c r="O683" i="7944" s="1"/>
  <c r="O645" i="7944"/>
  <c r="O619" i="7944"/>
  <c r="O593" i="7944"/>
  <c r="O567" i="7944"/>
  <c r="O541" i="7944"/>
  <c r="O736" i="7944"/>
  <c r="O710" i="7944"/>
  <c r="O684" i="7944"/>
  <c r="O658" i="7944"/>
  <c r="O632" i="7944"/>
  <c r="O606" i="7944"/>
  <c r="O618" i="7944" s="1"/>
  <c r="O528" i="7944"/>
  <c r="O502" i="7944"/>
  <c r="O514" i="7944" s="1"/>
  <c r="O476" i="7944"/>
  <c r="O488" i="7944" s="1"/>
  <c r="O450" i="7944"/>
  <c r="O424" i="7944"/>
  <c r="O398" i="7944"/>
  <c r="O410" i="7944" s="1"/>
  <c r="O372" i="7944"/>
  <c r="O346" i="7944"/>
  <c r="O580" i="7944"/>
  <c r="O592" i="7944" s="1"/>
  <c r="O554" i="7944"/>
  <c r="O515" i="7944"/>
  <c r="O489" i="7944"/>
  <c r="O501" i="7944" s="1"/>
  <c r="O463" i="7944"/>
  <c r="O437" i="7944"/>
  <c r="O411" i="7944"/>
  <c r="O385" i="7944"/>
  <c r="O359" i="7944"/>
  <c r="O294" i="7944"/>
  <c r="O306" i="7944" s="1"/>
  <c r="O268" i="7944"/>
  <c r="O242" i="7944"/>
  <c r="O216" i="7944"/>
  <c r="O190" i="7944"/>
  <c r="O164" i="7944"/>
  <c r="O131" i="7944"/>
  <c r="O128" i="7944"/>
  <c r="O127" i="7944"/>
  <c r="O120" i="7944"/>
  <c r="O117" i="7944"/>
  <c r="O116" i="7944"/>
  <c r="O333" i="7944"/>
  <c r="O345" i="7944" s="1"/>
  <c r="O307" i="7944"/>
  <c r="O281" i="7944"/>
  <c r="O255" i="7944"/>
  <c r="O203" i="7944"/>
  <c r="O177" i="7944"/>
  <c r="O151" i="7944"/>
  <c r="O133" i="7944"/>
  <c r="O130" i="7944"/>
  <c r="O129" i="7944"/>
  <c r="O118" i="7944"/>
  <c r="O115" i="7944"/>
  <c r="O114" i="7944"/>
  <c r="P3" i="7944"/>
  <c r="M1528" i="18"/>
  <c r="M1093" i="18"/>
  <c r="M1097" i="18"/>
  <c r="M1513" i="18"/>
  <c r="M1517" i="18"/>
  <c r="M1116" i="18"/>
  <c r="M1536" i="18"/>
  <c r="M1088" i="18"/>
  <c r="M1532" i="18"/>
  <c r="M1516" i="18"/>
  <c r="M109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O134" i="18"/>
  <c r="O121" i="18"/>
  <c r="O135" i="18"/>
  <c r="O122" i="18"/>
  <c r="P384" i="1"/>
  <c r="P276" i="1"/>
  <c r="P168" i="1"/>
  <c r="P330" i="1"/>
  <c r="P222" i="1"/>
  <c r="J1574" i="18"/>
  <c r="I922" i="7941"/>
  <c r="I923" i="7941"/>
  <c r="I907" i="7941"/>
  <c r="J1301" i="18"/>
  <c r="K1197" i="18" s="1"/>
  <c r="I924" i="7941"/>
  <c r="I908" i="7941"/>
  <c r="P4" i="7944"/>
  <c r="P4" i="7941"/>
  <c r="P4" i="18"/>
  <c r="P401" i="1"/>
  <c r="Q60" i="1"/>
  <c r="P4" i="7942"/>
  <c r="J1573" i="18"/>
  <c r="I926" i="7941"/>
  <c r="I910" i="7941"/>
  <c r="J1313" i="18"/>
  <c r="K1209" i="18" s="1"/>
  <c r="N12" i="18"/>
  <c r="N219" i="1"/>
  <c r="N833" i="18"/>
  <c r="N71" i="7941" s="1"/>
  <c r="N381" i="1"/>
  <c r="O124" i="18"/>
  <c r="N64" i="18"/>
  <c r="I927" i="7941"/>
  <c r="I911" i="7941"/>
  <c r="J1564" i="18"/>
  <c r="J1309" i="18"/>
  <c r="K1205" i="18" s="1"/>
  <c r="J1578" i="18"/>
  <c r="J1562" i="18"/>
  <c r="I918" i="7941"/>
  <c r="I902" i="7941"/>
  <c r="L636" i="7941"/>
  <c r="L635" i="7941" s="1"/>
  <c r="L1241" i="18"/>
  <c r="I919" i="7941"/>
  <c r="I903" i="7941"/>
  <c r="J1297" i="18"/>
  <c r="K1193" i="18" s="1"/>
  <c r="I914" i="7941"/>
  <c r="J1570" i="18"/>
  <c r="I916" i="7941"/>
  <c r="J1580" i="18"/>
  <c r="J1581" i="18"/>
  <c r="J1565" i="18"/>
  <c r="J1321" i="18"/>
  <c r="K1217" i="18" s="1"/>
  <c r="P391" i="1"/>
  <c r="Q387" i="1"/>
  <c r="Q391" i="1" s="1"/>
  <c r="J1582" i="18"/>
  <c r="J1566" i="18"/>
  <c r="I915" i="7941"/>
  <c r="J1584" i="18"/>
  <c r="J1568" i="18"/>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J1585" i="18"/>
  <c r="J1569" i="18"/>
  <c r="I906" i="7941"/>
  <c r="I920" i="7941"/>
  <c r="I904" i="7941"/>
  <c r="J1576" i="18"/>
  <c r="J1560" i="18"/>
  <c r="J699" i="7941"/>
  <c r="J909" i="7941" s="1"/>
  <c r="L60" i="7941"/>
  <c r="L59" i="7941" s="1"/>
  <c r="L821" i="18"/>
  <c r="J1577" i="18"/>
  <c r="J1561" i="18"/>
  <c r="J1572" i="18"/>
  <c r="J1317" i="18"/>
  <c r="K1213" i="18" s="1"/>
  <c r="I912" i="7941"/>
  <c r="K1164" i="18"/>
  <c r="K1160" i="18"/>
  <c r="K1156" i="18"/>
  <c r="K1152" i="18"/>
  <c r="K1148" i="18"/>
  <c r="K1144" i="18"/>
  <c r="K1140" i="18"/>
  <c r="K1163" i="18"/>
  <c r="K1159" i="18"/>
  <c r="K1155" i="18"/>
  <c r="K1151" i="18"/>
  <c r="K1147" i="18"/>
  <c r="K1139" i="18"/>
  <c r="K1162" i="18"/>
  <c r="K1154" i="18"/>
  <c r="K1150" i="18"/>
  <c r="K1146" i="18"/>
  <c r="K1165" i="18"/>
  <c r="K1157" i="18"/>
  <c r="K1153" i="18"/>
  <c r="K1149" i="18"/>
  <c r="K1145" i="18"/>
  <c r="K1141" i="18"/>
  <c r="K36" i="7941"/>
  <c r="K32" i="7941"/>
  <c r="K28" i="7941"/>
  <c r="K16" i="7941"/>
  <c r="K35" i="7941"/>
  <c r="K31" i="7941"/>
  <c r="K23" i="7941"/>
  <c r="K15" i="7941"/>
  <c r="K34" i="7941"/>
  <c r="K26" i="7941"/>
  <c r="K37" i="7941"/>
  <c r="K29"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39" i="7941"/>
  <c r="J142" i="7941"/>
  <c r="J352" i="7941" s="1"/>
  <c r="K1169" i="18"/>
  <c r="K1184" i="18"/>
  <c r="K1176" i="18"/>
  <c r="K1180" i="18"/>
  <c r="K50" i="7941"/>
  <c r="K1172" i="18"/>
  <c r="K1177" i="18"/>
  <c r="K55" i="7941"/>
  <c r="K1171" i="18"/>
  <c r="K1173" i="18"/>
  <c r="K1179" i="18"/>
  <c r="K1175" i="18"/>
  <c r="K1167" i="18"/>
  <c r="K1170" i="18"/>
  <c r="K1181" i="18"/>
  <c r="K56" i="7941"/>
  <c r="K48" i="7941"/>
  <c r="K1168" i="18"/>
  <c r="K52" i="7941"/>
  <c r="K1178" i="18"/>
  <c r="K44" i="7941"/>
  <c r="K49" i="7941"/>
  <c r="K1182" i="18"/>
  <c r="K19" i="7941" l="1"/>
  <c r="K21" i="7941"/>
  <c r="J149" i="7941"/>
  <c r="J359" i="7941" s="1"/>
  <c r="J145" i="7941"/>
  <c r="J355" i="7941" s="1"/>
  <c r="J335" i="7941"/>
  <c r="K14" i="7941"/>
  <c r="J325" i="7941"/>
  <c r="K47" i="7941"/>
  <c r="K11" i="7941"/>
  <c r="J336" i="7941"/>
  <c r="J134" i="7941"/>
  <c r="K30" i="7941" s="1"/>
  <c r="K1174" i="18"/>
  <c r="K41" i="7941"/>
  <c r="K1142" i="18"/>
  <c r="K1158" i="18"/>
  <c r="K795" i="18"/>
  <c r="J137" i="7941"/>
  <c r="J150" i="7941"/>
  <c r="O696" i="7944"/>
  <c r="N566" i="7944"/>
  <c r="O566" i="7944" s="1"/>
  <c r="O540" i="7944"/>
  <c r="O462" i="7944"/>
  <c r="O631" i="7944"/>
  <c r="O436" i="7944"/>
  <c r="O722" i="7944"/>
  <c r="O761" i="7944"/>
  <c r="O670" i="7944"/>
  <c r="O449" i="7944"/>
  <c r="O657" i="7944"/>
  <c r="O605" i="7944"/>
  <c r="O579" i="7944"/>
  <c r="O553" i="7944"/>
  <c r="O735" i="7944"/>
  <c r="O371" i="7944"/>
  <c r="O358" i="7944"/>
  <c r="O384" i="7944"/>
  <c r="O527" i="7944"/>
  <c r="N644" i="7944"/>
  <c r="O644" i="7944" s="1"/>
  <c r="O475" i="7944"/>
  <c r="O748" i="7944"/>
  <c r="O219" i="18"/>
  <c r="N319" i="7944"/>
  <c r="O319" i="7944" s="1"/>
  <c r="M215" i="7944"/>
  <c r="N215" i="7944" s="1"/>
  <c r="O215" i="7944" s="1"/>
  <c r="P137" i="18"/>
  <c r="M241" i="7944"/>
  <c r="N423" i="7944"/>
  <c r="O423" i="7944" s="1"/>
  <c r="M397" i="7944"/>
  <c r="N397" i="7944" s="1"/>
  <c r="O397" i="7944" s="1"/>
  <c r="M332" i="7944"/>
  <c r="N332" i="7944" s="1"/>
  <c r="O332" i="7944" s="1"/>
  <c r="K24" i="7941"/>
  <c r="K54"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D1198" i="7950"/>
  <c r="D1227" i="7950" s="1"/>
  <c r="E1227" i="7950" s="1"/>
  <c r="F1227" i="7950" s="1"/>
  <c r="G1227" i="7950" s="1"/>
  <c r="H1227" i="7950" s="1"/>
  <c r="I1227" i="7950" s="1"/>
  <c r="J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M1509" i="18"/>
  <c r="J344" i="7941"/>
  <c r="M1089" i="18"/>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497" i="7950"/>
  <c r="K1983" i="7950"/>
  <c r="K1389"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903" i="7950"/>
  <c r="K36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T2387" i="7950"/>
  <c r="K2469" i="7950"/>
  <c r="K2253" i="7950"/>
  <c r="K2361" i="7950"/>
  <c r="K471" i="7950"/>
  <c r="K1929"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U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U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U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227" i="7950"/>
  <c r="K957" i="7950"/>
  <c r="K1551" i="7950"/>
  <c r="K2091" i="7950"/>
  <c r="K525" i="7950"/>
  <c r="K1713" i="7950"/>
  <c r="K2631" i="7950"/>
  <c r="K1821" i="7950"/>
  <c r="K1875" i="7950"/>
  <c r="K147" i="7950"/>
  <c r="K579"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2539" i="7950"/>
  <c r="V2539" i="7950" s="1"/>
  <c r="W2539" i="7950" s="1"/>
  <c r="U541" i="7950"/>
  <c r="U1297" i="7950"/>
  <c r="U1999" i="7950"/>
  <c r="U1189" i="7950"/>
  <c r="V1189" i="7950" s="1"/>
  <c r="U865" i="7950"/>
  <c r="V865" i="7950" s="1"/>
  <c r="U2485" i="7950"/>
  <c r="V2485" i="7950" s="1"/>
  <c r="W2485" i="7950" s="1"/>
  <c r="U2161" i="7950"/>
  <c r="V2161" i="7950" s="1"/>
  <c r="W2161" i="7950" s="1"/>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M1538" i="18"/>
  <c r="M1544" i="18"/>
  <c r="M2694" i="7950"/>
  <c r="M1106" i="18"/>
  <c r="O42" i="18"/>
  <c r="O852" i="18" s="1"/>
  <c r="O90" i="7941" s="1"/>
  <c r="O46" i="18"/>
  <c r="O856" i="18" s="1"/>
  <c r="O94" i="7941" s="1"/>
  <c r="O50" i="18"/>
  <c r="O860" i="18" s="1"/>
  <c r="O98" i="7941" s="1"/>
  <c r="O54" i="18"/>
  <c r="O864" i="18" s="1"/>
  <c r="O102" i="7941" s="1"/>
  <c r="O58" i="18"/>
  <c r="O868" i="18" s="1"/>
  <c r="O106" i="7941" s="1"/>
  <c r="M1525" i="18"/>
  <c r="M1526" i="18"/>
  <c r="M1109" i="18"/>
  <c r="M1529" i="18"/>
  <c r="M1090" i="18"/>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K45" i="7941"/>
  <c r="M1530"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M1542" i="18"/>
  <c r="M1113" i="18"/>
  <c r="M1103" i="18"/>
  <c r="M1540" i="18"/>
  <c r="M1130" i="18"/>
  <c r="K53" i="7941"/>
  <c r="B194" i="7950"/>
  <c r="K12" i="7941"/>
  <c r="K18" i="7941"/>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P124" i="18"/>
  <c r="V6" i="7950"/>
  <c r="A46" i="7946"/>
  <c r="Q9" i="7942"/>
  <c r="Q392" i="1"/>
  <c r="P9" i="7942"/>
  <c r="P392" i="1"/>
  <c r="O8" i="7942"/>
  <c r="O151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7" i="7944"/>
  <c r="P284" i="7944"/>
  <c r="P283" i="7944"/>
  <c r="P277" i="7944"/>
  <c r="P276" i="7944"/>
  <c r="P273" i="7944"/>
  <c r="P272" i="7944"/>
  <c r="P379" i="7944"/>
  <c r="P368" i="7944"/>
  <c r="P349" i="7944"/>
  <c r="P348" i="7944"/>
  <c r="P338" i="7944"/>
  <c r="P326" i="7944"/>
  <c r="P311" i="7944"/>
  <c r="P297" i="7944"/>
  <c r="P296" i="7944"/>
  <c r="P289" i="7944"/>
  <c r="P286" i="7944"/>
  <c r="P274" i="7944"/>
  <c r="P261" i="7944"/>
  <c r="P258" i="7944"/>
  <c r="P257" i="7944"/>
  <c r="P251" i="7944"/>
  <c r="P250" i="7944"/>
  <c r="P247" i="7944"/>
  <c r="P24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8" i="7944"/>
  <c r="P245" i="7944"/>
  <c r="P244" i="7944"/>
  <c r="P238" i="7944"/>
  <c r="P237" i="7944"/>
  <c r="P234" i="7944"/>
  <c r="P233" i="7944"/>
  <c r="P222" i="7944"/>
  <c r="P212" i="7944"/>
  <c r="P208" i="7944"/>
  <c r="P207" i="7944"/>
  <c r="P196" i="7944"/>
  <c r="P193" i="7944"/>
  <c r="P192" i="7944"/>
  <c r="P186" i="7944"/>
  <c r="P185" i="7944"/>
  <c r="P182" i="7944"/>
  <c r="P181" i="7944"/>
  <c r="P170" i="7944"/>
  <c r="P167" i="7944"/>
  <c r="P166" i="7944"/>
  <c r="P160" i="7944"/>
  <c r="P159" i="7944"/>
  <c r="P156" i="7944"/>
  <c r="P155" i="7944"/>
  <c r="P144" i="7944"/>
  <c r="P141" i="7944"/>
  <c r="P140" i="7944"/>
  <c r="P219" i="7944"/>
  <c r="P218" i="7944"/>
  <c r="P211" i="7944"/>
  <c r="P210" i="7944"/>
  <c r="P209" i="7944"/>
  <c r="P206" i="7944"/>
  <c r="P205" i="7944"/>
  <c r="P199" i="7944"/>
  <c r="P198" i="7944"/>
  <c r="P195" i="7944"/>
  <c r="P194" i="7944"/>
  <c r="P183" i="7944"/>
  <c r="P180" i="7944"/>
  <c r="P179" i="7944"/>
  <c r="P173" i="7944"/>
  <c r="P172" i="7944"/>
  <c r="P169" i="7944"/>
  <c r="P16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551" i="18"/>
  <c r="P524" i="18"/>
  <c r="P704"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214" i="18"/>
  <c r="P561" i="18"/>
  <c r="P600" i="18"/>
  <c r="P693" i="18"/>
  <c r="P589" i="18"/>
  <c r="P587" i="18"/>
  <c r="P640" i="18"/>
  <c r="P655" i="18"/>
  <c r="P641" i="18"/>
  <c r="P719" i="18"/>
  <c r="P690" i="18"/>
  <c r="P562" i="18"/>
  <c r="P509" i="18"/>
  <c r="P718"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720" i="18"/>
  <c r="P668" i="18"/>
  <c r="P549" i="18"/>
  <c r="P511" i="18"/>
  <c r="P677" i="18"/>
  <c r="P694" i="18"/>
  <c r="P642" i="18"/>
  <c r="P616" i="18"/>
  <c r="P522" i="18"/>
  <c r="P612" i="18"/>
  <c r="P639" i="18"/>
  <c r="P716" i="18"/>
  <c r="P534" i="18"/>
  <c r="P510" i="18"/>
  <c r="P564" i="18"/>
  <c r="P654" i="18"/>
  <c r="P679" i="18"/>
  <c r="P652" i="18"/>
  <c r="P628" i="18"/>
  <c r="P592" i="18"/>
  <c r="P735" i="18"/>
  <c r="P670" i="18"/>
  <c r="P618" i="18"/>
  <c r="P566" i="18"/>
  <c r="P514" i="18"/>
  <c r="P761" i="18"/>
  <c r="P644" i="18"/>
  <c r="P540" i="18"/>
  <c r="P745" i="18"/>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O82" i="18"/>
  <c r="P359" i="18"/>
  <c r="P736" i="7944"/>
  <c r="P710" i="7944"/>
  <c r="P684" i="7944"/>
  <c r="P696" i="7944" s="1"/>
  <c r="P658" i="7944"/>
  <c r="P632" i="7944"/>
  <c r="P606" i="7944"/>
  <c r="P618" i="7944" s="1"/>
  <c r="P580" i="7944"/>
  <c r="P592" i="7944" s="1"/>
  <c r="P554" i="7944"/>
  <c r="P749" i="7944"/>
  <c r="P723" i="7944"/>
  <c r="P697" i="7944"/>
  <c r="P709" i="7944" s="1"/>
  <c r="P671" i="7944"/>
  <c r="P645" i="7944"/>
  <c r="P619" i="7944"/>
  <c r="P631" i="7944" s="1"/>
  <c r="P593" i="7944"/>
  <c r="P567" i="7944"/>
  <c r="P541" i="7944"/>
  <c r="P515" i="7944"/>
  <c r="P489" i="7944"/>
  <c r="P501" i="7944" s="1"/>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30" i="7944"/>
  <c r="P129" i="7944"/>
  <c r="P118" i="7944"/>
  <c r="P115" i="7944"/>
  <c r="P114" i="7944"/>
  <c r="Q3" i="7944"/>
  <c r="P294" i="7944"/>
  <c r="P306" i="7944" s="1"/>
  <c r="P268" i="7944"/>
  <c r="P242" i="7944"/>
  <c r="P216" i="7944"/>
  <c r="P190" i="7944"/>
  <c r="P164" i="7944"/>
  <c r="P131" i="7944"/>
  <c r="P128" i="7944"/>
  <c r="P127" i="7944"/>
  <c r="P121" i="7944"/>
  <c r="P120"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P134" i="18"/>
  <c r="P121" i="18"/>
  <c r="P135" i="18"/>
  <c r="P122" i="18"/>
  <c r="Q330" i="1"/>
  <c r="Q222" i="1"/>
  <c r="M1526" i="7949" s="1"/>
  <c r="M1521" i="7950" s="1"/>
  <c r="M1536" i="7950" s="1"/>
  <c r="Q384" i="1"/>
  <c r="M9" i="7949" s="1"/>
  <c r="Q276" i="1"/>
  <c r="Q168" i="1"/>
  <c r="K1567" i="18"/>
  <c r="J1298" i="18"/>
  <c r="K1194" i="18" s="1"/>
  <c r="J1323" i="18"/>
  <c r="K1219" i="18" s="1"/>
  <c r="J711" i="7941"/>
  <c r="J921" i="7941" s="1"/>
  <c r="J1310" i="18"/>
  <c r="K1206" i="18" s="1"/>
  <c r="J1315" i="18"/>
  <c r="K1211" i="18" s="1"/>
  <c r="K595" i="7941"/>
  <c r="J1314" i="18"/>
  <c r="K1210" i="18" s="1"/>
  <c r="J1307" i="18"/>
  <c r="K1203" i="18" s="1"/>
  <c r="O12" i="18"/>
  <c r="O219" i="1"/>
  <c r="P125" i="18"/>
  <c r="O64" i="18"/>
  <c r="O381" i="1"/>
  <c r="N1243" i="18"/>
  <c r="N637" i="7941" s="1"/>
  <c r="J1322" i="18"/>
  <c r="K1218" i="18" s="1"/>
  <c r="J1320" i="18"/>
  <c r="K1216" i="18" s="1"/>
  <c r="J715" i="7941"/>
  <c r="J925" i="7941" s="1"/>
  <c r="J1303" i="18"/>
  <c r="K1199" i="18" s="1"/>
  <c r="J1318" i="18"/>
  <c r="K1214" i="18" s="1"/>
  <c r="J691" i="7941"/>
  <c r="J901" i="7941" s="1"/>
  <c r="J1300" i="18"/>
  <c r="K1196" i="18" s="1"/>
  <c r="J703" i="7941"/>
  <c r="J913" i="7941" s="1"/>
  <c r="J1302" i="18"/>
  <c r="K1198" i="18" s="1"/>
  <c r="N822" i="18"/>
  <c r="N11" i="18"/>
  <c r="J1311" i="18"/>
  <c r="K1207" i="18" s="1"/>
  <c r="Q4" i="7944"/>
  <c r="R4" i="7944" s="1"/>
  <c r="Q7" i="7946" s="1"/>
  <c r="E5" i="7946" s="1"/>
  <c r="Q4" i="7941"/>
  <c r="Q4" i="7942"/>
  <c r="Q401" i="1"/>
  <c r="Q4" i="18"/>
  <c r="R4" i="18" s="1"/>
  <c r="J695" i="7941"/>
  <c r="J905" i="7941" s="1"/>
  <c r="J1299" i="18"/>
  <c r="K1195"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06" i="18"/>
  <c r="K1202" i="18" s="1"/>
  <c r="J1304" i="18"/>
  <c r="K1200" i="18" s="1"/>
  <c r="J1319" i="18"/>
  <c r="K1215" i="18" s="1"/>
  <c r="J1308" i="18"/>
  <c r="K1204" i="18" s="1"/>
  <c r="J1316" i="18"/>
  <c r="K1212" i="18" s="1"/>
  <c r="N1242" i="18"/>
  <c r="N63" i="18"/>
  <c r="J707" i="7941"/>
  <c r="J917" i="7941" s="1"/>
  <c r="J1312" i="18"/>
  <c r="K1208" i="18" s="1"/>
  <c r="Q388" i="1"/>
  <c r="K879" i="18"/>
  <c r="K883" i="18"/>
  <c r="K887" i="18"/>
  <c r="K891" i="18"/>
  <c r="K895"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527" i="7944" l="1"/>
  <c r="P488" i="7944"/>
  <c r="P345" i="7944"/>
  <c r="P410" i="7944"/>
  <c r="P514" i="7944"/>
  <c r="P683" i="7944"/>
  <c r="J360" i="7941"/>
  <c r="K46" i="7941"/>
  <c r="K33" i="7941"/>
  <c r="J347" i="7941"/>
  <c r="K1161" i="18"/>
  <c r="K899" i="18" s="1"/>
  <c r="P384" i="7944"/>
  <c r="P332" i="7944"/>
  <c r="P566" i="7944"/>
  <c r="P358" i="7944"/>
  <c r="P553" i="7944"/>
  <c r="P657" i="7944"/>
  <c r="P397" i="7944"/>
  <c r="P644" i="7944"/>
  <c r="P449" i="7944"/>
  <c r="P761" i="7944"/>
  <c r="P540" i="7944"/>
  <c r="P423" i="7944"/>
  <c r="P475" i="7944"/>
  <c r="P371" i="7944"/>
  <c r="P579" i="7944"/>
  <c r="P722" i="7944"/>
  <c r="P748" i="7944"/>
  <c r="P735" i="7944"/>
  <c r="P605" i="7944"/>
  <c r="P670" i="7944"/>
  <c r="P436" i="7944"/>
  <c r="P462" i="7944"/>
  <c r="P219" i="18"/>
  <c r="P1091" i="18" s="1"/>
  <c r="P215" i="7944"/>
  <c r="P319" i="7944"/>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44" i="18"/>
  <c r="P854" i="18" s="1"/>
  <c r="P92" i="7941" s="1"/>
  <c r="P48" i="18"/>
  <c r="P858" i="18" s="1"/>
  <c r="P96" i="7941" s="1"/>
  <c r="P52" i="18"/>
  <c r="P56" i="18"/>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368"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38" i="7950"/>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184"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1489" i="7950"/>
  <c r="W1489" i="7950" s="1"/>
  <c r="V841" i="7950"/>
  <c r="W841"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2569" i="7950"/>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U54" i="7950"/>
  <c r="V1945" i="7950"/>
  <c r="V1675" i="7950"/>
  <c r="V703" i="7950"/>
  <c r="W703" i="7950" s="1"/>
  <c r="V1027" i="7950"/>
  <c r="V2215" i="7950"/>
  <c r="V1597" i="7950"/>
  <c r="V1621" i="7950"/>
  <c r="V1057" i="7950"/>
  <c r="W1057" i="7950" s="1"/>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P852" i="18"/>
  <c r="P90" i="7941" s="1"/>
  <c r="P862" i="18"/>
  <c r="P100" i="7941" s="1"/>
  <c r="P866" i="18"/>
  <c r="P104"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8" i="7944"/>
  <c r="Q245" i="7944"/>
  <c r="Q244" i="7944"/>
  <c r="Q238" i="7944"/>
  <c r="Q237" i="7944"/>
  <c r="Q234" i="7944"/>
  <c r="Q233" i="7944"/>
  <c r="Q226" i="7944"/>
  <c r="Q222" i="7944"/>
  <c r="Q219" i="7944"/>
  <c r="Q218" i="7944"/>
  <c r="Q212" i="7944"/>
  <c r="Q211" i="7944"/>
  <c r="Q380" i="7944"/>
  <c r="Q366" i="7944"/>
  <c r="Q355" i="7944"/>
  <c r="Q336" i="7944"/>
  <c r="Q335" i="7944"/>
  <c r="Q325" i="7944"/>
  <c r="Q313" i="7944"/>
  <c r="Q302" i="7944"/>
  <c r="Q299" i="7944"/>
  <c r="Q287" i="7944"/>
  <c r="Q277" i="7944"/>
  <c r="Q272" i="7944"/>
  <c r="Q265" i="7944"/>
  <c r="Q261" i="7944"/>
  <c r="Q258" i="7944"/>
  <c r="Q257" i="7944"/>
  <c r="Q251" i="7944"/>
  <c r="Q250" i="7944"/>
  <c r="Q247" i="7944"/>
  <c r="Q246" i="7944"/>
  <c r="Q239" i="7944"/>
  <c r="Q235" i="7944"/>
  <c r="Q232" i="7944"/>
  <c r="Q231" i="7944"/>
  <c r="Q225" i="7944"/>
  <c r="Q224" i="7944"/>
  <c r="Q221" i="7944"/>
  <c r="Q210" i="7944"/>
  <c r="Q209" i="7944"/>
  <c r="Q206" i="7944"/>
  <c r="Q205" i="7944"/>
  <c r="Q199" i="7944"/>
  <c r="Q198" i="7944"/>
  <c r="Q195" i="7944"/>
  <c r="Q194" i="7944"/>
  <c r="Q187" i="7944"/>
  <c r="Q183" i="7944"/>
  <c r="Q180" i="7944"/>
  <c r="Q179" i="7944"/>
  <c r="Q173" i="7944"/>
  <c r="Q172" i="7944"/>
  <c r="Q169" i="7944"/>
  <c r="Q168" i="7944"/>
  <c r="Q161" i="7944"/>
  <c r="Q157" i="7944"/>
  <c r="Q154" i="7944"/>
  <c r="Q153" i="7944"/>
  <c r="Q147" i="7944"/>
  <c r="Q146" i="7944"/>
  <c r="Q143" i="7944"/>
  <c r="Q142" i="7944"/>
  <c r="Q220" i="7944"/>
  <c r="Q213" i="7944"/>
  <c r="Q208" i="7944"/>
  <c r="Q207" i="7944"/>
  <c r="Q200" i="7944"/>
  <c r="Q196" i="7944"/>
  <c r="Q193" i="7944"/>
  <c r="Q192" i="7944"/>
  <c r="Q186" i="7944"/>
  <c r="Q185" i="7944"/>
  <c r="Q182" i="7944"/>
  <c r="Q181" i="7944"/>
  <c r="Q174" i="7944"/>
  <c r="Q170" i="7944"/>
  <c r="Q167" i="7944"/>
  <c r="Q166" i="7944"/>
  <c r="Q160" i="7944"/>
  <c r="Q159" i="7944"/>
  <c r="Q156" i="7944"/>
  <c r="Q155" i="7944"/>
  <c r="Q148"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214" i="18"/>
  <c r="Q757" i="18"/>
  <c r="Q574" i="18"/>
  <c r="Q664" i="18"/>
  <c r="Q626" i="18"/>
  <c r="Q535" i="18"/>
  <c r="Q651" i="18"/>
  <c r="Q627" i="18"/>
  <c r="Q573" i="18"/>
  <c r="Q653" i="18"/>
  <c r="Q512" i="18"/>
  <c r="Q694" i="18"/>
  <c r="Q536" i="18"/>
  <c r="Q562" i="18"/>
  <c r="Q576" i="18"/>
  <c r="Q612" i="18"/>
  <c r="Q550" i="18"/>
  <c r="Q704" i="18"/>
  <c r="Q707" i="18"/>
  <c r="Q501" i="18"/>
  <c r="Q306" i="18"/>
  <c r="Q423" i="18"/>
  <c r="Q150" i="18"/>
  <c r="Q228" i="18"/>
  <c r="Q488" i="18"/>
  <c r="Q319" i="18"/>
  <c r="Q176" i="18"/>
  <c r="Q332" i="18"/>
  <c r="Q384" i="18"/>
  <c r="Q397" i="18"/>
  <c r="Q163" i="18"/>
  <c r="Q254" i="18"/>
  <c r="Q215" i="18"/>
  <c r="Q371" i="18"/>
  <c r="Q449" i="18"/>
  <c r="Q410" i="18"/>
  <c r="Q522" i="18"/>
  <c r="Q564"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745"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24" i="18"/>
  <c r="Q551" i="18"/>
  <c r="Q615" i="18"/>
  <c r="Q746" i="18"/>
  <c r="Q540" i="18"/>
  <c r="Q748" i="18"/>
  <c r="Q605" i="18"/>
  <c r="Q514" i="18"/>
  <c r="Q618" i="18"/>
  <c r="Q735" i="18"/>
  <c r="Q744" i="18"/>
  <c r="Q668" i="18"/>
  <c r="Q657" i="18"/>
  <c r="Q527" i="18"/>
  <c r="Q631" i="18"/>
  <c r="Q642" i="18"/>
  <c r="Q511" i="18"/>
  <c r="Q563" i="18"/>
  <c r="Q603" i="18"/>
  <c r="Q722" i="18"/>
  <c r="Q718" i="18"/>
  <c r="Q693" i="18"/>
  <c r="Q665" i="18"/>
  <c r="Q537" i="18"/>
  <c r="Q525" i="18"/>
  <c r="Q588" i="18"/>
  <c r="Q599" i="18"/>
  <c r="Q703" i="18"/>
  <c r="Q743" i="18"/>
  <c r="Q75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88" i="7944" s="1"/>
  <c r="Q450" i="7944"/>
  <c r="Q424" i="7944"/>
  <c r="Q398" i="7944"/>
  <c r="Q372" i="7944"/>
  <c r="Q384" i="7944" s="1"/>
  <c r="Q346" i="7944"/>
  <c r="Q320" i="7944"/>
  <c r="Q515" i="7944"/>
  <c r="Q489" i="7944"/>
  <c r="Q501" i="7944" s="1"/>
  <c r="Q463" i="7944"/>
  <c r="Q437" i="7944"/>
  <c r="Q411" i="7944"/>
  <c r="Q385" i="7944"/>
  <c r="Q359" i="7944"/>
  <c r="Q333" i="7944"/>
  <c r="Q307" i="7944"/>
  <c r="Q294" i="7944"/>
  <c r="Q306" i="7944" s="1"/>
  <c r="Q268" i="7944"/>
  <c r="Q242" i="7944"/>
  <c r="Q216" i="7944"/>
  <c r="Q190" i="7944"/>
  <c r="Q164" i="7944"/>
  <c r="Q135" i="7944"/>
  <c r="Q131" i="7944"/>
  <c r="Q128" i="7944"/>
  <c r="Q127" i="7944"/>
  <c r="Q121" i="7944"/>
  <c r="Q120" i="7944"/>
  <c r="Q117" i="7944"/>
  <c r="Q116" i="7944"/>
  <c r="Q281" i="7944"/>
  <c r="Q255" i="7944"/>
  <c r="Q229" i="7944"/>
  <c r="Q203" i="7944"/>
  <c r="Q177" i="7944"/>
  <c r="Q151" i="7944"/>
  <c r="Q134" i="7944"/>
  <c r="Q133" i="7944"/>
  <c r="Q130" i="7944"/>
  <c r="Q129" i="7944"/>
  <c r="Q122"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Q134" i="18"/>
  <c r="Q121" i="18"/>
  <c r="Q135" i="18"/>
  <c r="Q122" i="18"/>
  <c r="Q124" i="18"/>
  <c r="Q137" i="18"/>
  <c r="J706" i="7941"/>
  <c r="J916" i="7941" s="1"/>
  <c r="N636" i="7941"/>
  <c r="N635" i="7941" s="1"/>
  <c r="N1241" i="18"/>
  <c r="J713" i="7941"/>
  <c r="J923" i="7941" s="1"/>
  <c r="K1575" i="18"/>
  <c r="J710" i="7941"/>
  <c r="J920" i="7941" s="1"/>
  <c r="J702" i="7941"/>
  <c r="J912" i="7941" s="1"/>
  <c r="P12" i="18"/>
  <c r="P219" i="1"/>
  <c r="Q126" i="18"/>
  <c r="P64" i="18"/>
  <c r="P381" i="1"/>
  <c r="O1243" i="18"/>
  <c r="O637" i="7941" s="1"/>
  <c r="K591" i="7941"/>
  <c r="N60" i="7941"/>
  <c r="N59" i="7941" s="1"/>
  <c r="N821" i="18"/>
  <c r="K1571" i="18"/>
  <c r="K1559" i="18"/>
  <c r="K1583" i="18"/>
  <c r="J708" i="7941"/>
  <c r="J918" i="7941" s="1"/>
  <c r="J709" i="7941"/>
  <c r="J919" i="7941" s="1"/>
  <c r="J704" i="7941"/>
  <c r="J914" i="7941" s="1"/>
  <c r="K607" i="7941"/>
  <c r="J717" i="7941"/>
  <c r="J927" i="7941" s="1"/>
  <c r="J692" i="7941"/>
  <c r="J902" i="7941" s="1"/>
  <c r="K603" i="7941"/>
  <c r="J698" i="7941"/>
  <c r="J908" i="7941" s="1"/>
  <c r="J700" i="7941"/>
  <c r="J910" i="7941" s="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867" i="18" s="1"/>
  <c r="Q105" i="7941" s="1"/>
  <c r="Q213" i="1"/>
  <c r="Q56" i="18" s="1"/>
  <c r="Q212" i="1"/>
  <c r="Q55" i="18" s="1"/>
  <c r="Q211" i="1"/>
  <c r="Q54" i="18" s="1"/>
  <c r="Q210" i="1"/>
  <c r="Q53" i="18" s="1"/>
  <c r="Q863" i="18" s="1"/>
  <c r="Q101" i="7941" s="1"/>
  <c r="Q209" i="1"/>
  <c r="Q52" i="18" s="1"/>
  <c r="Q208" i="1"/>
  <c r="Q51" i="18" s="1"/>
  <c r="Q207" i="1"/>
  <c r="Q50" i="18" s="1"/>
  <c r="Q206" i="1"/>
  <c r="Q49" i="18" s="1"/>
  <c r="Q859" i="18" s="1"/>
  <c r="Q97" i="7941" s="1"/>
  <c r="Q205" i="1"/>
  <c r="Q48" i="18" s="1"/>
  <c r="Q204" i="1"/>
  <c r="Q47" i="18" s="1"/>
  <c r="Q203" i="1"/>
  <c r="Q46" i="18" s="1"/>
  <c r="Q202" i="1"/>
  <c r="Q45" i="18" s="1"/>
  <c r="Q855" i="18" s="1"/>
  <c r="Q93" i="7941"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693" i="7941"/>
  <c r="J903" i="7941" s="1"/>
  <c r="K1563" i="18"/>
  <c r="J705" i="7941"/>
  <c r="J915" i="7941" s="1"/>
  <c r="J696" i="7941"/>
  <c r="J906" i="7941" s="1"/>
  <c r="K599" i="7941"/>
  <c r="J694" i="7941"/>
  <c r="J904" i="7941" s="1"/>
  <c r="K587" i="7941"/>
  <c r="J712" i="7941"/>
  <c r="J922" i="7941" s="1"/>
  <c r="J697" i="7941"/>
  <c r="J907" i="7941" s="1"/>
  <c r="K611" i="7941"/>
  <c r="J714" i="7941"/>
  <c r="J924" i="7941" s="1"/>
  <c r="J716" i="7941"/>
  <c r="J926" i="7941" s="1"/>
  <c r="O1242" i="18"/>
  <c r="O63" i="18"/>
  <c r="O822" i="18"/>
  <c r="O11" i="18"/>
  <c r="J701" i="7941"/>
  <c r="J911" i="7941" s="1"/>
  <c r="K1579" i="18"/>
  <c r="K1305" i="18"/>
  <c r="K140" i="7941"/>
  <c r="L798" i="18"/>
  <c r="K132" i="7941"/>
  <c r="L790" i="18"/>
  <c r="K124" i="7941"/>
  <c r="L782" i="18"/>
  <c r="K116" i="7941"/>
  <c r="L774" i="18"/>
  <c r="K139" i="7941"/>
  <c r="L797" i="18"/>
  <c r="K131" i="7941"/>
  <c r="L789" i="18"/>
  <c r="K123" i="7941"/>
  <c r="L781" i="18"/>
  <c r="K115" i="7941"/>
  <c r="L773" i="18"/>
  <c r="K134" i="7941"/>
  <c r="L792" i="18"/>
  <c r="K126" i="7941"/>
  <c r="L784" i="18"/>
  <c r="K118" i="7941"/>
  <c r="L776" i="18"/>
  <c r="K141" i="7941"/>
  <c r="L799" i="18"/>
  <c r="K133" i="7941"/>
  <c r="L791" i="18"/>
  <c r="K125" i="7941"/>
  <c r="L783" i="18"/>
  <c r="K117" i="7941"/>
  <c r="L775" i="18"/>
  <c r="K136" i="7941"/>
  <c r="L794" i="18"/>
  <c r="K128" i="7941"/>
  <c r="L786" i="18"/>
  <c r="K120" i="7941"/>
  <c r="L778" i="18"/>
  <c r="K135" i="7941"/>
  <c r="L793" i="18"/>
  <c r="K127" i="7941"/>
  <c r="L785" i="18"/>
  <c r="K119" i="7941"/>
  <c r="L777" i="18"/>
  <c r="K138" i="7941"/>
  <c r="L796" i="18"/>
  <c r="K130" i="7941"/>
  <c r="L788" i="18"/>
  <c r="K122" i="7941"/>
  <c r="L780" i="18"/>
  <c r="K137" i="7941"/>
  <c r="L795" i="18"/>
  <c r="K129" i="7941"/>
  <c r="L787" i="18"/>
  <c r="K121" i="7941"/>
  <c r="L779"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592" i="7944" l="1"/>
  <c r="Q696" i="7944"/>
  <c r="Q683" i="7944"/>
  <c r="Q345" i="7944"/>
  <c r="Q631" i="7944"/>
  <c r="Q358" i="7944"/>
  <c r="Q527" i="7944"/>
  <c r="Q410" i="7944"/>
  <c r="Q514" i="7944"/>
  <c r="Q618" i="7944"/>
  <c r="Q709" i="7944"/>
  <c r="Q371" i="7944"/>
  <c r="Q319" i="7944"/>
  <c r="Q462" i="7944"/>
  <c r="Q748" i="7944"/>
  <c r="Q423" i="7944"/>
  <c r="Q553" i="7944"/>
  <c r="Q566" i="7944"/>
  <c r="Q605" i="7944"/>
  <c r="Q332" i="7944"/>
  <c r="Q436" i="7944"/>
  <c r="Q735" i="7944"/>
  <c r="Q579" i="7944"/>
  <c r="Q475" i="7944"/>
  <c r="Q761" i="7944"/>
  <c r="Q644" i="7944"/>
  <c r="Q670" i="7944"/>
  <c r="Q722" i="7944"/>
  <c r="Q540" i="7944"/>
  <c r="Q449" i="7944"/>
  <c r="Q397" i="7944"/>
  <c r="Q657" i="7944"/>
  <c r="Q219" i="18"/>
  <c r="Q1091" i="18" s="1"/>
  <c r="Q215"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H672" i="7949"/>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422" i="7950"/>
  <c r="L2073" i="7950"/>
  <c r="L2097" i="7950"/>
  <c r="K584" i="7950"/>
  <c r="J1069" i="7950"/>
  <c r="J1045" i="7950"/>
  <c r="J1717" i="7950"/>
  <c r="J1693" i="7950"/>
  <c r="M586" i="7950"/>
  <c r="M562" i="7950"/>
  <c r="M316" i="7950"/>
  <c r="M292" i="7950"/>
  <c r="N1589" i="7950"/>
  <c r="N1613"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H1482" i="7949"/>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H1806" i="7949"/>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H2076" i="7949"/>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H1644" i="7949"/>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H618" i="7949"/>
  <c r="J289" i="7950"/>
  <c r="J313" i="7950"/>
  <c r="K368" i="7950"/>
  <c r="K260"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1569" i="18"/>
  <c r="K612" i="7941"/>
  <c r="K610" i="7941"/>
  <c r="K1565" i="18"/>
  <c r="K1580" i="18"/>
  <c r="K1562" i="18"/>
  <c r="K1564" i="18"/>
  <c r="K601" i="7941"/>
  <c r="K1301" i="18"/>
  <c r="K1561" i="18"/>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K1560" i="18"/>
  <c r="K1585" i="18"/>
  <c r="K600" i="7941"/>
  <c r="K1577" i="18"/>
  <c r="K604" i="7941"/>
  <c r="K1321" i="18"/>
  <c r="K1297" i="18"/>
  <c r="K1309" i="18"/>
  <c r="K598" i="7941"/>
  <c r="K1578" i="18"/>
  <c r="K1313" i="18"/>
  <c r="K1581" i="18"/>
  <c r="K602" i="7941"/>
  <c r="K699" i="7941"/>
  <c r="L1201" i="18"/>
  <c r="K1317" i="18"/>
  <c r="K597" i="7941"/>
  <c r="O60" i="7941"/>
  <c r="O59" i="7941" s="1"/>
  <c r="O821" i="18"/>
  <c r="O636" i="7941"/>
  <c r="O635" i="7941" s="1"/>
  <c r="O1241" i="18"/>
  <c r="K1584" i="18"/>
  <c r="K1582" i="18"/>
  <c r="K593" i="7941"/>
  <c r="K608" i="7941"/>
  <c r="K590" i="7941"/>
  <c r="K592" i="7941"/>
  <c r="K1573" i="18"/>
  <c r="K589" i="7941"/>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596" i="7941"/>
  <c r="K594" i="7941"/>
  <c r="K588" i="7941"/>
  <c r="K613" i="7941"/>
  <c r="K1572" i="18"/>
  <c r="K605" i="7941"/>
  <c r="K1576" i="18"/>
  <c r="P1242" i="18"/>
  <c r="P63" i="18"/>
  <c r="P822" i="18"/>
  <c r="P11" i="18"/>
  <c r="K1570" i="18"/>
  <c r="K606" i="7941"/>
  <c r="K609" i="7941"/>
  <c r="K1574" i="18"/>
  <c r="K331" i="7941"/>
  <c r="L17" i="7941"/>
  <c r="K339" i="7941"/>
  <c r="L25" i="7941"/>
  <c r="K347" i="7941"/>
  <c r="L33" i="7941"/>
  <c r="K332" i="7941"/>
  <c r="L18" i="7941"/>
  <c r="K340" i="7941"/>
  <c r="L26" i="7941"/>
  <c r="L34" i="7941"/>
  <c r="K348" i="7941"/>
  <c r="L15" i="7941"/>
  <c r="K329" i="7941"/>
  <c r="L23" i="7941"/>
  <c r="K337" i="7941"/>
  <c r="L31" i="7941"/>
  <c r="K345" i="7941"/>
  <c r="L16" i="7941"/>
  <c r="K330" i="7941"/>
  <c r="L24" i="7941"/>
  <c r="K338" i="7941"/>
  <c r="L32" i="7941"/>
  <c r="K346" i="7941"/>
  <c r="K327" i="7941"/>
  <c r="L13" i="7941"/>
  <c r="K335" i="7941"/>
  <c r="L21" i="7941"/>
  <c r="K343" i="7941"/>
  <c r="L29" i="7941"/>
  <c r="K351" i="7941"/>
  <c r="L37" i="7941"/>
  <c r="K328" i="7941"/>
  <c r="L14" i="7941"/>
  <c r="K336" i="7941"/>
  <c r="L22" i="7941"/>
  <c r="L30" i="7941"/>
  <c r="K344" i="7941"/>
  <c r="K325" i="7941"/>
  <c r="L11" i="7941"/>
  <c r="K333" i="7941"/>
  <c r="L19" i="7941"/>
  <c r="K341" i="7941"/>
  <c r="L27" i="7941"/>
  <c r="K349" i="7941"/>
  <c r="L35" i="7941"/>
  <c r="K326" i="7941"/>
  <c r="L12" i="7941"/>
  <c r="K334" i="7941"/>
  <c r="L20" i="7941"/>
  <c r="K342" i="7941"/>
  <c r="L28" i="7941"/>
  <c r="K350" i="7941"/>
  <c r="L36" i="7941"/>
  <c r="L1145" i="18"/>
  <c r="L1153" i="18"/>
  <c r="L1161" i="18"/>
  <c r="L1146" i="18"/>
  <c r="L1154" i="18"/>
  <c r="L1162" i="18"/>
  <c r="L1143" i="18"/>
  <c r="L1151" i="18"/>
  <c r="L1159" i="18"/>
  <c r="L1144" i="18"/>
  <c r="L1152" i="18"/>
  <c r="L1160" i="18"/>
  <c r="L1141" i="18"/>
  <c r="L1149" i="18"/>
  <c r="L1157" i="18"/>
  <c r="L1165" i="18"/>
  <c r="L1142" i="18"/>
  <c r="L1150" i="18"/>
  <c r="L1158" i="18"/>
  <c r="L1139" i="18"/>
  <c r="L1147" i="18"/>
  <c r="L1155" i="18"/>
  <c r="L1163" i="18"/>
  <c r="L1140" i="18"/>
  <c r="L1148"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I67" i="7950" l="1"/>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288"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K1312" i="18"/>
  <c r="P60" i="7941"/>
  <c r="P59" i="7941" s="1"/>
  <c r="P821" i="18"/>
  <c r="K1314" i="18"/>
  <c r="K1310" i="18"/>
  <c r="L1567" i="18"/>
  <c r="K707" i="7941"/>
  <c r="L1209" i="18"/>
  <c r="K691" i="7941"/>
  <c r="L1193" i="18"/>
  <c r="K1315" i="18"/>
  <c r="Q1242" i="18"/>
  <c r="Q63" i="18"/>
  <c r="K1299" i="18"/>
  <c r="K695" i="7941"/>
  <c r="L1197" i="18"/>
  <c r="K1308" i="18"/>
  <c r="P636" i="7941"/>
  <c r="P635" i="7941" s="1"/>
  <c r="P1241" i="18"/>
  <c r="K1311" i="18"/>
  <c r="K1320" i="18"/>
  <c r="K1322" i="18"/>
  <c r="K711" i="7941"/>
  <c r="L1213" i="18"/>
  <c r="K909" i="7941"/>
  <c r="L595" i="7941"/>
  <c r="K1319" i="18"/>
  <c r="K1316" i="18"/>
  <c r="K703" i="7941"/>
  <c r="L1205" i="18"/>
  <c r="K715" i="7941"/>
  <c r="L1217" i="18"/>
  <c r="K1323" i="18"/>
  <c r="K1298" i="18"/>
  <c r="K1304" i="18"/>
  <c r="K1306" i="18"/>
  <c r="Q822" i="18"/>
  <c r="Q11" i="18"/>
  <c r="K1302" i="18"/>
  <c r="K1300" i="18"/>
  <c r="K1318" i="18"/>
  <c r="K1303" i="18"/>
  <c r="K1307" i="18"/>
  <c r="L894" i="18"/>
  <c r="L878" i="18"/>
  <c r="L893" i="18"/>
  <c r="L877" i="18"/>
  <c r="L888" i="18"/>
  <c r="L903" i="18"/>
  <c r="L887" i="18"/>
  <c r="L898" i="18"/>
  <c r="L882" i="18"/>
  <c r="L897" i="18"/>
  <c r="L881" i="18"/>
  <c r="L892" i="18"/>
  <c r="L891" i="18"/>
  <c r="L902" i="18"/>
  <c r="L886" i="18"/>
  <c r="L901" i="18"/>
  <c r="L885" i="18"/>
  <c r="L896" i="18"/>
  <c r="L880" i="18"/>
  <c r="L895" i="18"/>
  <c r="L879" i="18"/>
  <c r="L890" i="18"/>
  <c r="L889" i="18"/>
  <c r="L900" i="18"/>
  <c r="L884" i="18"/>
  <c r="L899" i="18"/>
  <c r="L883"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Q672" i="7950"/>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L2311" i="7950"/>
  <c r="L2287" i="7950"/>
  <c r="O2098" i="7950"/>
  <c r="O2074" i="7950"/>
  <c r="P1967" i="7950"/>
  <c r="P1991" i="7950"/>
  <c r="O957" i="7950"/>
  <c r="O933" i="7950"/>
  <c r="U44"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884" i="7950"/>
  <c r="M908" i="7950"/>
  <c r="S2102" i="7950"/>
  <c r="S2078" i="7950"/>
  <c r="I1444" i="7950"/>
  <c r="I1420" i="7950"/>
  <c r="O154" i="7950"/>
  <c r="O130" i="7950"/>
  <c r="R1237" i="7950"/>
  <c r="R1213" i="7950"/>
  <c r="J1769" i="7950"/>
  <c r="J1745" i="7950"/>
  <c r="N1287" i="7950"/>
  <c r="N1263" i="7950"/>
  <c r="I94" i="7950"/>
  <c r="I70"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I44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697" i="7941"/>
  <c r="L1199" i="18"/>
  <c r="K694" i="7941"/>
  <c r="L1196" i="18"/>
  <c r="Q60" i="7941"/>
  <c r="Q59" i="7941" s="1"/>
  <c r="Q821" i="18"/>
  <c r="K698" i="7941"/>
  <c r="L1200" i="18"/>
  <c r="K692" i="7941"/>
  <c r="L1194" i="18"/>
  <c r="L611" i="7941"/>
  <c r="K925" i="7941"/>
  <c r="L1571" i="18"/>
  <c r="K710" i="7941"/>
  <c r="L1212" i="18"/>
  <c r="K713" i="7941"/>
  <c r="L1215" i="18"/>
  <c r="K921" i="7941"/>
  <c r="L607" i="7941"/>
  <c r="K714" i="7941"/>
  <c r="L1216" i="18"/>
  <c r="K705" i="7941"/>
  <c r="L1207" i="18"/>
  <c r="L591" i="7941"/>
  <c r="K905" i="7941"/>
  <c r="L1559" i="18"/>
  <c r="L1575" i="18"/>
  <c r="K704" i="7941"/>
  <c r="L1206" i="18"/>
  <c r="K701" i="7941"/>
  <c r="L1203" i="18"/>
  <c r="K712" i="7941"/>
  <c r="L1214" i="18"/>
  <c r="K696" i="7941"/>
  <c r="L1198" i="18"/>
  <c r="K700" i="7941"/>
  <c r="L1202" i="18"/>
  <c r="K717" i="7941"/>
  <c r="L1219" i="18"/>
  <c r="L1583" i="18"/>
  <c r="L599" i="7941"/>
  <c r="K913" i="7941"/>
  <c r="L1579" i="18"/>
  <c r="K716" i="7941"/>
  <c r="L1218" i="18"/>
  <c r="K702" i="7941"/>
  <c r="L1204" i="18"/>
  <c r="L1563" i="18"/>
  <c r="K693" i="7941"/>
  <c r="L1195" i="18"/>
  <c r="Q636" i="7941"/>
  <c r="Q635" i="7941" s="1"/>
  <c r="Q1241" i="18"/>
  <c r="K709" i="7941"/>
  <c r="L1211" i="18"/>
  <c r="L587" i="7941"/>
  <c r="K901" i="7941"/>
  <c r="L603" i="7941"/>
  <c r="K917" i="7941"/>
  <c r="L1305" i="18"/>
  <c r="K708" i="7941"/>
  <c r="L1210" i="18"/>
  <c r="K706" i="7941"/>
  <c r="L1208" i="18"/>
  <c r="L121" i="7941"/>
  <c r="M779" i="18"/>
  <c r="M1145" i="18" s="1"/>
  <c r="M883" i="18" s="1"/>
  <c r="L137" i="7941"/>
  <c r="M795" i="18"/>
  <c r="M1161" i="18" s="1"/>
  <c r="M899" i="18" s="1"/>
  <c r="M137" i="7941" s="1"/>
  <c r="L122" i="7941"/>
  <c r="M780" i="18"/>
  <c r="M1146" i="18" s="1"/>
  <c r="M884" i="18" s="1"/>
  <c r="L138" i="7941"/>
  <c r="M796" i="18"/>
  <c r="M1162" i="18" s="1"/>
  <c r="M900" i="18" s="1"/>
  <c r="M138" i="7941" s="1"/>
  <c r="L127" i="7941"/>
  <c r="M785" i="18"/>
  <c r="M1151" i="18" s="1"/>
  <c r="M889" i="18" s="1"/>
  <c r="M127" i="7941" s="1"/>
  <c r="L128" i="7941"/>
  <c r="M786" i="18"/>
  <c r="M1152" i="18" s="1"/>
  <c r="M890" i="18" s="1"/>
  <c r="M128" i="7941" s="1"/>
  <c r="L117" i="7941"/>
  <c r="M775" i="18"/>
  <c r="M1141" i="18" s="1"/>
  <c r="M879" i="18" s="1"/>
  <c r="L133" i="7941"/>
  <c r="M791" i="18"/>
  <c r="M1157" i="18" s="1"/>
  <c r="M895" i="18" s="1"/>
  <c r="M133" i="7941" s="1"/>
  <c r="L118" i="7941"/>
  <c r="M776" i="18"/>
  <c r="M1142" i="18" s="1"/>
  <c r="M880" i="18" s="1"/>
  <c r="L134" i="7941"/>
  <c r="M792" i="18"/>
  <c r="M1158" i="18" s="1"/>
  <c r="M896" i="18" s="1"/>
  <c r="M134" i="7941" s="1"/>
  <c r="L123" i="7941"/>
  <c r="M781" i="18"/>
  <c r="M1147" i="18" s="1"/>
  <c r="M885" i="18" s="1"/>
  <c r="L139" i="7941"/>
  <c r="M797" i="18"/>
  <c r="M1163" i="18" s="1"/>
  <c r="M901" i="18" s="1"/>
  <c r="M139" i="7941" s="1"/>
  <c r="L124" i="7941"/>
  <c r="M782" i="18"/>
  <c r="M1148" i="18" s="1"/>
  <c r="M886" i="18" s="1"/>
  <c r="L140" i="7941"/>
  <c r="M798" i="18"/>
  <c r="M1164" i="18" s="1"/>
  <c r="M902" i="18" s="1"/>
  <c r="M140" i="7941" s="1"/>
  <c r="L129" i="7941"/>
  <c r="M787" i="18"/>
  <c r="M1153" i="18" s="1"/>
  <c r="M891" i="18" s="1"/>
  <c r="M129" i="7941" s="1"/>
  <c r="L130" i="7941"/>
  <c r="M788" i="18"/>
  <c r="M1154" i="18" s="1"/>
  <c r="M892" i="18" s="1"/>
  <c r="M130" i="7941" s="1"/>
  <c r="L119" i="7941"/>
  <c r="M777" i="18"/>
  <c r="M1143" i="18" s="1"/>
  <c r="M881" i="18" s="1"/>
  <c r="L135" i="7941"/>
  <c r="M793" i="18"/>
  <c r="M1159" i="18" s="1"/>
  <c r="M897" i="18" s="1"/>
  <c r="M135" i="7941" s="1"/>
  <c r="L120" i="7941"/>
  <c r="M778" i="18"/>
  <c r="M1144" i="18" s="1"/>
  <c r="M882" i="18" s="1"/>
  <c r="L136" i="7941"/>
  <c r="M794" i="18"/>
  <c r="M1160" i="18" s="1"/>
  <c r="M898" i="18" s="1"/>
  <c r="M136" i="7941" s="1"/>
  <c r="L125" i="7941"/>
  <c r="M783" i="18"/>
  <c r="M1149" i="18" s="1"/>
  <c r="M887" i="18" s="1"/>
  <c r="L141" i="7941"/>
  <c r="M799" i="18"/>
  <c r="M1165" i="18" s="1"/>
  <c r="M903" i="18" s="1"/>
  <c r="M141" i="7941" s="1"/>
  <c r="L126" i="7941"/>
  <c r="M784" i="18"/>
  <c r="M1150" i="18" s="1"/>
  <c r="M888" i="18" s="1"/>
  <c r="M126" i="7941" s="1"/>
  <c r="L115" i="7941"/>
  <c r="M773" i="18"/>
  <c r="M1139" i="18" s="1"/>
  <c r="M877" i="18" s="1"/>
  <c r="L131" i="7941"/>
  <c r="M789" i="18"/>
  <c r="M1155" i="18" s="1"/>
  <c r="M893" i="18" s="1"/>
  <c r="M131" i="7941" s="1"/>
  <c r="L116" i="7941"/>
  <c r="M774" i="18"/>
  <c r="M1140" i="18" s="1"/>
  <c r="M878" i="18"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16" i="7941" l="1"/>
  <c r="M115" i="7941"/>
  <c r="M122" i="7941"/>
  <c r="M121" i="7941"/>
  <c r="M125" i="7941"/>
  <c r="M120" i="7941"/>
  <c r="M119" i="7941"/>
  <c r="M124" i="7941"/>
  <c r="M123" i="7941"/>
  <c r="M118" i="7941"/>
  <c r="M117" i="794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314" i="7950"/>
  <c r="K881" i="7950"/>
  <c r="K905" i="7950"/>
  <c r="P76" i="7950"/>
  <c r="P100" i="7950"/>
  <c r="P1912" i="7950"/>
  <c r="P1936" i="7950"/>
  <c r="V1162" i="7950"/>
  <c r="V1186" i="7950"/>
  <c r="T1292" i="7950"/>
  <c r="T1268" i="7950"/>
  <c r="P957" i="7950"/>
  <c r="P933" i="7950"/>
  <c r="P2098" i="7950"/>
  <c r="P207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R456"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J232" i="7950"/>
  <c r="Q1535" i="7950"/>
  <c r="Q1559" i="7950"/>
  <c r="M1447" i="7950"/>
  <c r="M1423" i="7950"/>
  <c r="U590" i="7950"/>
  <c r="N746"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L370" i="7941"/>
  <c r="M56" i="7941"/>
  <c r="L361" i="7941"/>
  <c r="M47" i="7941"/>
  <c r="L364" i="7941"/>
  <c r="M50" i="7941"/>
  <c r="L362" i="7941"/>
  <c r="M48" i="7941"/>
  <c r="L356" i="7941"/>
  <c r="M42" i="7941"/>
  <c r="L354" i="7941"/>
  <c r="M40" i="7941"/>
  <c r="L367" i="7941"/>
  <c r="M53" i="7941"/>
  <c r="L357" i="7941"/>
  <c r="M43" i="7941"/>
  <c r="L363" i="7941"/>
  <c r="M49" i="7941"/>
  <c r="L360" i="7941"/>
  <c r="M46" i="7941"/>
  <c r="L366" i="7941"/>
  <c r="M52" i="7941"/>
  <c r="L365" i="7941"/>
  <c r="M51" i="7941"/>
  <c r="L342" i="7941"/>
  <c r="M28" i="7941"/>
  <c r="L341" i="7941"/>
  <c r="M27" i="7941"/>
  <c r="L325" i="7941"/>
  <c r="M11" i="7941"/>
  <c r="L336" i="7941"/>
  <c r="M22" i="7941"/>
  <c r="L350" i="7941"/>
  <c r="M36" i="7941"/>
  <c r="L349" i="7941"/>
  <c r="M35" i="7941"/>
  <c r="L333" i="7941"/>
  <c r="M19" i="7941"/>
  <c r="L344" i="7941"/>
  <c r="M30" i="7941"/>
  <c r="L343" i="7941"/>
  <c r="M29" i="7941"/>
  <c r="L327" i="7941"/>
  <c r="M13" i="7941"/>
  <c r="L338" i="7941"/>
  <c r="M24" i="7941"/>
  <c r="L337" i="7941"/>
  <c r="M23" i="7941"/>
  <c r="L332" i="7941"/>
  <c r="M18" i="7941"/>
  <c r="L331" i="7941"/>
  <c r="M17" i="7941"/>
  <c r="L359" i="7941"/>
  <c r="M45" i="7941"/>
  <c r="L353" i="7941"/>
  <c r="M39" i="7941"/>
  <c r="L355" i="7941"/>
  <c r="M41" i="7941"/>
  <c r="L326" i="7941"/>
  <c r="M12" i="7941"/>
  <c r="L351" i="7941"/>
  <c r="M37" i="7941"/>
  <c r="L335" i="7941"/>
  <c r="M21" i="7941"/>
  <c r="L346" i="7941"/>
  <c r="M32" i="7941"/>
  <c r="L330" i="7941"/>
  <c r="M16" i="7941"/>
  <c r="L345" i="7941"/>
  <c r="M31" i="7941"/>
  <c r="L329" i="7941"/>
  <c r="M15" i="7941"/>
  <c r="L340" i="7941"/>
  <c r="M26" i="7941"/>
  <c r="L339" i="7941"/>
  <c r="M25" i="7941"/>
  <c r="L334" i="7941"/>
  <c r="M20" i="7941"/>
  <c r="L328" i="7941"/>
  <c r="M14" i="7941"/>
  <c r="L348" i="7941"/>
  <c r="M34" i="7941"/>
  <c r="L347" i="7941"/>
  <c r="M33" i="7941"/>
  <c r="L1574" i="18"/>
  <c r="L1576" i="18"/>
  <c r="L699" i="7941"/>
  <c r="M1201" i="18"/>
  <c r="K919" i="7941"/>
  <c r="L605" i="7941"/>
  <c r="K903" i="7941"/>
  <c r="L589" i="7941"/>
  <c r="L598" i="7941"/>
  <c r="K912" i="7941"/>
  <c r="K926" i="7941"/>
  <c r="L612" i="7941"/>
  <c r="L1321" i="18"/>
  <c r="L1585" i="18"/>
  <c r="L1568" i="18"/>
  <c r="L1564" i="18"/>
  <c r="L1580" i="18"/>
  <c r="L1569" i="18"/>
  <c r="L1572" i="18"/>
  <c r="L1313" i="18"/>
  <c r="L1297" i="18"/>
  <c r="L1573" i="18"/>
  <c r="L1582" i="18"/>
  <c r="L1581" i="18"/>
  <c r="L1578" i="18"/>
  <c r="L1309" i="18"/>
  <c r="L1560" i="18"/>
  <c r="L1566" i="18"/>
  <c r="L1562" i="18"/>
  <c r="L1565" i="18"/>
  <c r="L602" i="7941"/>
  <c r="K916" i="7941"/>
  <c r="L604" i="7941"/>
  <c r="K918" i="7941"/>
  <c r="L1577" i="18"/>
  <c r="L1561" i="18"/>
  <c r="L1301" i="18"/>
  <c r="L1570" i="18"/>
  <c r="L1584" i="18"/>
  <c r="L1317" i="18"/>
  <c r="K927" i="7941"/>
  <c r="L613" i="7941"/>
  <c r="K910" i="7941"/>
  <c r="L596" i="7941"/>
  <c r="L592" i="7941"/>
  <c r="K906" i="7941"/>
  <c r="K922" i="7941"/>
  <c r="L608" i="7941"/>
  <c r="K911" i="7941"/>
  <c r="L597" i="7941"/>
  <c r="K914" i="7941"/>
  <c r="L600" i="7941"/>
  <c r="L601" i="7941"/>
  <c r="K915" i="7941"/>
  <c r="L610" i="7941"/>
  <c r="K924" i="7941"/>
  <c r="K923" i="7941"/>
  <c r="L609" i="7941"/>
  <c r="K920" i="7941"/>
  <c r="L606" i="7941"/>
  <c r="L588" i="7941"/>
  <c r="K902" i="7941"/>
  <c r="L594" i="7941"/>
  <c r="K908" i="7941"/>
  <c r="K904" i="7941"/>
  <c r="L590" i="7941"/>
  <c r="K907" i="7941"/>
  <c r="L593" i="794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L142" i="7941"/>
  <c r="M38" i="7941" s="1"/>
  <c r="M800" i="18"/>
  <c r="M1166" i="18" s="1"/>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S510"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Q76" i="7950"/>
  <c r="O314"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904" i="18"/>
  <c r="M142" i="7941" s="1"/>
  <c r="L935" i="7941"/>
  <c r="M621" i="7941"/>
  <c r="L943" i="7941"/>
  <c r="M629" i="7941"/>
  <c r="L937" i="7941"/>
  <c r="M623" i="7941"/>
  <c r="L936" i="7941"/>
  <c r="M622" i="7941"/>
  <c r="L909" i="7941"/>
  <c r="M595" i="7941"/>
  <c r="L929" i="7941"/>
  <c r="M615" i="7941"/>
  <c r="L938" i="7941"/>
  <c r="M624" i="7941"/>
  <c r="L944" i="7941"/>
  <c r="M630" i="7941"/>
  <c r="L941" i="7941"/>
  <c r="M627" i="7941"/>
  <c r="L940" i="7941"/>
  <c r="M626" i="7941"/>
  <c r="L942" i="7941"/>
  <c r="M628" i="7941"/>
  <c r="L939" i="7941"/>
  <c r="M625" i="7941"/>
  <c r="L934" i="7941"/>
  <c r="M620" i="7941"/>
  <c r="L932" i="7941"/>
  <c r="M618" i="7941"/>
  <c r="L930" i="7941"/>
  <c r="M616" i="7941"/>
  <c r="L946" i="7941"/>
  <c r="M632" i="7941"/>
  <c r="L945" i="7941"/>
  <c r="M631" i="7941"/>
  <c r="L931" i="7941"/>
  <c r="M617" i="7941"/>
  <c r="L933" i="7941"/>
  <c r="M619" i="7941"/>
  <c r="M1567" i="18"/>
  <c r="L711" i="7941"/>
  <c r="M1213" i="18"/>
  <c r="L1308" i="18"/>
  <c r="L695" i="7941"/>
  <c r="M1197" i="18"/>
  <c r="L1303" i="18"/>
  <c r="L1300" i="18"/>
  <c r="L1298" i="18"/>
  <c r="L703" i="7941"/>
  <c r="M1205" i="18"/>
  <c r="L1316" i="18"/>
  <c r="L1320" i="18"/>
  <c r="L691" i="7941"/>
  <c r="M1193" i="18"/>
  <c r="L707" i="7941"/>
  <c r="M1209" i="18"/>
  <c r="L1307" i="18"/>
  <c r="L1318" i="18"/>
  <c r="L1306" i="18"/>
  <c r="L715" i="7941"/>
  <c r="M1217" i="18"/>
  <c r="L1312" i="18"/>
  <c r="L1322" i="18"/>
  <c r="L1299" i="18"/>
  <c r="L1315" i="18"/>
  <c r="L1304" i="18"/>
  <c r="L1319" i="18"/>
  <c r="L1311" i="18"/>
  <c r="L1310" i="18"/>
  <c r="L1302" i="18"/>
  <c r="L1323" i="18"/>
  <c r="L1314" i="18"/>
  <c r="L161" i="7941"/>
  <c r="M819" i="18"/>
  <c r="L1324" i="18"/>
  <c r="L737" i="7941"/>
  <c r="M1239" i="18"/>
  <c r="M1605" i="18" s="1"/>
  <c r="M1343" i="18" s="1"/>
  <c r="M737" i="7941" s="1"/>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68" i="7950"/>
  <c r="S2475" i="7950"/>
  <c r="S2451" i="7950"/>
  <c r="U1860" i="7950"/>
  <c r="U1884" i="7950"/>
  <c r="Q963" i="7950"/>
  <c r="Q939" i="7950"/>
  <c r="M1421" i="7950"/>
  <c r="M1445" i="7950"/>
  <c r="Q1611" i="7950"/>
  <c r="Q1587" i="7950"/>
  <c r="P206" i="7950"/>
  <c r="L340" i="7950"/>
  <c r="L364" i="7950"/>
  <c r="V1592" i="7950"/>
  <c r="V1616" i="7950"/>
  <c r="O907" i="7950"/>
  <c r="O883" i="7950"/>
  <c r="W41" i="7950"/>
  <c r="W17"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T510"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V2348" i="7950"/>
  <c r="V2372" i="7950"/>
  <c r="Q453" i="7950"/>
  <c r="Q477" i="7950"/>
  <c r="S833" i="7950"/>
  <c r="S857" i="7950"/>
  <c r="V1106" i="7950"/>
  <c r="V1130" i="7950"/>
  <c r="R2530" i="7950"/>
  <c r="R2506" i="7950"/>
  <c r="P584"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1185" i="18"/>
  <c r="L925" i="7941"/>
  <c r="M611" i="7941"/>
  <c r="L917" i="7941"/>
  <c r="M603" i="7941"/>
  <c r="L901" i="7941"/>
  <c r="M587" i="7941"/>
  <c r="L913" i="7941"/>
  <c r="M599" i="7941"/>
  <c r="L905" i="7941"/>
  <c r="M591" i="7941"/>
  <c r="L921" i="7941"/>
  <c r="M607" i="7941"/>
  <c r="L947" i="7941"/>
  <c r="M633" i="7941"/>
  <c r="L371" i="7941"/>
  <c r="M57" i="7941"/>
  <c r="M1583" i="18"/>
  <c r="M1575" i="18"/>
  <c r="M1559" i="18"/>
  <c r="M1571" i="18"/>
  <c r="M1563" i="18"/>
  <c r="M1579" i="18"/>
  <c r="M1305" i="18"/>
  <c r="L713" i="7941"/>
  <c r="M1215" i="18"/>
  <c r="L708" i="7941"/>
  <c r="M1210" i="18"/>
  <c r="L705" i="7941"/>
  <c r="M1207" i="18"/>
  <c r="L714" i="7941"/>
  <c r="M1216" i="18"/>
  <c r="L710" i="7941"/>
  <c r="M1212" i="18"/>
  <c r="L692" i="7941"/>
  <c r="M1194" i="18"/>
  <c r="L694" i="7941"/>
  <c r="M1196" i="18"/>
  <c r="L697" i="7941"/>
  <c r="M1199" i="18"/>
  <c r="L717" i="7941"/>
  <c r="M1219" i="18"/>
  <c r="L696" i="7941"/>
  <c r="M1198" i="18"/>
  <c r="L704" i="7941"/>
  <c r="M1206" i="18"/>
  <c r="L698" i="7941"/>
  <c r="M1200" i="18"/>
  <c r="L709" i="7941"/>
  <c r="M1211" i="18"/>
  <c r="L693" i="7941"/>
  <c r="M1195" i="18"/>
  <c r="L716" i="7941"/>
  <c r="M1218" i="18"/>
  <c r="L706" i="7941"/>
  <c r="M1208" i="18"/>
  <c r="L700" i="7941"/>
  <c r="M1202" i="18"/>
  <c r="L712" i="7941"/>
  <c r="M1214" i="18"/>
  <c r="L701" i="7941"/>
  <c r="M1203" i="18"/>
  <c r="L702" i="7941"/>
  <c r="M1204" i="18"/>
  <c r="L718" i="7941"/>
  <c r="M614" i="7941" s="1"/>
  <c r="M1220" i="18"/>
  <c r="M1586" i="18" s="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510" i="7950"/>
  <c r="U1266" i="7950"/>
  <c r="U1290" i="7950"/>
  <c r="V619" i="7950"/>
  <c r="V643" i="7950"/>
  <c r="S1527" i="7950"/>
  <c r="S1551" i="7950"/>
  <c r="Q206"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260"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M1570" i="18"/>
  <c r="M1569" i="18"/>
  <c r="L922" i="7941"/>
  <c r="M608" i="7941"/>
  <c r="L910" i="7941"/>
  <c r="M596" i="7941"/>
  <c r="M1574" i="18"/>
  <c r="L926" i="7941"/>
  <c r="M612" i="7941"/>
  <c r="L903" i="7941"/>
  <c r="M589" i="7941"/>
  <c r="M1566" i="18"/>
  <c r="L914" i="7941"/>
  <c r="M600" i="7941"/>
  <c r="M1585" i="18"/>
  <c r="M1324" i="18"/>
  <c r="M718" i="7941" s="1"/>
  <c r="L912" i="7941"/>
  <c r="M598" i="7941"/>
  <c r="L911" i="7941"/>
  <c r="M597" i="7941"/>
  <c r="M1580" i="18"/>
  <c r="M1568" i="18"/>
  <c r="L916" i="7941"/>
  <c r="M602" i="7941"/>
  <c r="M1584" i="18"/>
  <c r="M1561" i="18"/>
  <c r="L919" i="7941"/>
  <c r="M605" i="7941"/>
  <c r="L908" i="7941"/>
  <c r="M594" i="7941"/>
  <c r="M1572" i="18"/>
  <c r="M1564" i="18"/>
  <c r="L927" i="7941"/>
  <c r="M613" i="7941"/>
  <c r="L907" i="7941"/>
  <c r="M593" i="7941"/>
  <c r="L904" i="7941"/>
  <c r="M590" i="7941"/>
  <c r="L902" i="7941"/>
  <c r="M588" i="7941"/>
  <c r="M1578" i="18"/>
  <c r="M1582" i="18"/>
  <c r="M1573" i="18"/>
  <c r="M1576" i="18"/>
  <c r="L923" i="7941"/>
  <c r="M609" i="7941"/>
  <c r="M1577" i="18"/>
  <c r="L906" i="7941"/>
  <c r="M592" i="7941"/>
  <c r="M1565" i="18"/>
  <c r="M1562" i="18"/>
  <c r="M1560" i="18"/>
  <c r="L920" i="7941"/>
  <c r="M606" i="7941"/>
  <c r="L924" i="7941"/>
  <c r="M610" i="7941"/>
  <c r="L915" i="7941"/>
  <c r="M601" i="7941"/>
  <c r="L918" i="7941"/>
  <c r="M604" i="7941"/>
  <c r="M1581" i="18"/>
  <c r="M699" i="7941"/>
  <c r="M1317" i="18"/>
  <c r="M1301" i="18"/>
  <c r="M1309" i="18"/>
  <c r="M1297" i="18"/>
  <c r="M1313" i="18"/>
  <c r="M1321" i="18"/>
  <c r="M923" i="18"/>
  <c r="L928" i="7941"/>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84" i="7950"/>
  <c r="N70" i="7950"/>
  <c r="N94" i="7950"/>
  <c r="P2526" i="7950"/>
  <c r="P2502" i="7950"/>
  <c r="O959" i="7950"/>
  <c r="O935"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V534" i="7950"/>
  <c r="V510"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M707" i="7941"/>
  <c r="M691" i="7941"/>
  <c r="M703" i="7941"/>
  <c r="M695" i="7941"/>
  <c r="M711" i="7941"/>
  <c r="M1314" i="18"/>
  <c r="M1311" i="18"/>
  <c r="M1320" i="18"/>
  <c r="M1316" i="18"/>
  <c r="M1302" i="18"/>
  <c r="M1310" i="18"/>
  <c r="M1299" i="18"/>
  <c r="M1322" i="18"/>
  <c r="M1306" i="18"/>
  <c r="M1318" i="18"/>
  <c r="M161" i="7941"/>
  <c r="M715" i="7941"/>
  <c r="M1319" i="18"/>
  <c r="M1298" i="18"/>
  <c r="M1300" i="18"/>
  <c r="M1303" i="18"/>
  <c r="M1315" i="18"/>
  <c r="M1323" i="18"/>
  <c r="M1304" i="18"/>
  <c r="M1312" i="18"/>
  <c r="M1307" i="18"/>
  <c r="M1308" i="18"/>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O448"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1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396" i="7950"/>
  <c r="Q504" i="7950"/>
  <c r="Q528" i="7950"/>
  <c r="Q2472" i="7950"/>
  <c r="Q2448" i="7950"/>
  <c r="U2314" i="7950"/>
  <c r="U2290" i="7950"/>
  <c r="V833" i="7950"/>
  <c r="V857" i="7950"/>
  <c r="U832" i="7950"/>
  <c r="U856" i="7950"/>
  <c r="Q1392" i="7950"/>
  <c r="Q1368"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M702" i="7941"/>
  <c r="M701" i="7941"/>
  <c r="M710" i="7941"/>
  <c r="M714" i="7941"/>
  <c r="M705" i="7941"/>
  <c r="M708" i="7941"/>
  <c r="M706" i="7941"/>
  <c r="M698" i="7941"/>
  <c r="M717" i="7941"/>
  <c r="M709" i="7941"/>
  <c r="M697" i="7941"/>
  <c r="M694" i="7941"/>
  <c r="M692" i="7941"/>
  <c r="M713" i="7941"/>
  <c r="M712" i="7941"/>
  <c r="M700" i="7941"/>
  <c r="M716" i="7941"/>
  <c r="M693" i="7941"/>
  <c r="M704" i="7941"/>
  <c r="M696" i="7941"/>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422" i="7950"/>
  <c r="T2366" i="7950"/>
  <c r="T2342" i="7950"/>
  <c r="V2505" i="7950"/>
  <c r="V2529" i="7950"/>
  <c r="T1286" i="7950"/>
  <c r="T1262" i="7950"/>
  <c r="Q1367" i="7950"/>
  <c r="Q1391" i="7950"/>
  <c r="R1152" i="7950"/>
  <c r="R1176" i="7950"/>
  <c r="T746"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V856" i="7950"/>
  <c r="V832" i="7950"/>
  <c r="R504" i="7950"/>
  <c r="R528" i="7950"/>
  <c r="V1281" i="7950"/>
  <c r="V1257" i="7950"/>
  <c r="V2074" i="7950"/>
  <c r="V2098" i="7950"/>
  <c r="T98"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Q610" i="7950"/>
  <c r="V692" i="7950"/>
  <c r="S828" i="7950"/>
  <c r="S852" i="7950"/>
  <c r="R311" i="7950"/>
  <c r="R287" i="7950"/>
  <c r="Q2068" i="7950"/>
  <c r="Q2092" i="7950"/>
  <c r="S474" i="7950"/>
  <c r="S450" i="7950"/>
  <c r="Q2392" i="7950"/>
  <c r="Q2416" i="7950"/>
  <c r="T2419" i="7950"/>
  <c r="T2395" i="7950"/>
  <c r="U368" i="7950"/>
  <c r="W663"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76" i="7950"/>
  <c r="T558" i="7950"/>
  <c r="T582" i="7950"/>
  <c r="W1881" i="7950"/>
  <c r="W1857" i="7950"/>
  <c r="T1854" i="7950"/>
  <c r="T1878" i="7950"/>
  <c r="S719" i="7950"/>
  <c r="S743" i="7950"/>
  <c r="T234" i="7950"/>
  <c r="T258" i="7950"/>
  <c r="T774" i="7950"/>
  <c r="T798" i="7950"/>
  <c r="V2288" i="7950"/>
  <c r="V2312" i="7950"/>
  <c r="W1341" i="7950"/>
  <c r="W1317" i="7950"/>
  <c r="V422" i="7950"/>
  <c r="S503" i="7950"/>
  <c r="S527" i="7950"/>
  <c r="T396" i="7950"/>
  <c r="T420" i="7950"/>
  <c r="U1747" i="7950"/>
  <c r="U1771" i="7950"/>
  <c r="T1338" i="7950"/>
  <c r="T1314" i="7950"/>
  <c r="R526" i="7950"/>
  <c r="R502" i="7950"/>
  <c r="S1715" i="7950"/>
  <c r="S1691" i="7950"/>
  <c r="S2147" i="7950"/>
  <c r="S2123" i="7950"/>
  <c r="U1207" i="7950"/>
  <c r="U1231" i="7950"/>
  <c r="V368" i="7950"/>
  <c r="R634" i="7950"/>
  <c r="R610"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W1449" i="7950"/>
  <c r="W1425" i="7950"/>
  <c r="V98"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396" i="7950"/>
  <c r="U420" i="7950"/>
  <c r="W422"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S232" i="7950"/>
  <c r="T1583" i="7950"/>
  <c r="T1607" i="7950"/>
  <c r="W152" i="7950"/>
  <c r="W584"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L434" i="7942"/>
  <c r="K435" i="7942"/>
  <c r="K436" i="7942" s="1"/>
  <c r="M57" i="1"/>
  <c r="G14" i="7942"/>
  <c r="G822" i="18"/>
  <c r="J174" i="7942"/>
  <c r="J175" i="7942" s="1"/>
  <c r="G60" i="7941" l="1"/>
  <c r="G59" i="7941" s="1"/>
  <c r="G821" i="18"/>
  <c r="K174" i="7942"/>
  <c r="K175" i="7942" s="1"/>
  <c r="G13" i="7942"/>
  <c r="G118" i="7942"/>
  <c r="L435" i="7942"/>
  <c r="L174" i="7942" l="1"/>
  <c r="L436" i="7942"/>
  <c r="H431" i="7942"/>
  <c r="I431" i="7942" s="1"/>
  <c r="G117" i="7942"/>
  <c r="H170" i="7942"/>
  <c r="I170" i="7942" s="1"/>
  <c r="H169" i="7942" l="1"/>
  <c r="J170" i="7942"/>
  <c r="I432" i="7942"/>
  <c r="I430" i="7942"/>
  <c r="L175" i="7942"/>
  <c r="I171" i="7942"/>
  <c r="I169" i="7942"/>
  <c r="J431" i="7942"/>
  <c r="K431" i="7942" s="1"/>
  <c r="K430" i="7942" s="1"/>
  <c r="H430" i="7942"/>
  <c r="I270" i="7942" l="1"/>
  <c r="K432" i="7942"/>
  <c r="J171" i="7942"/>
  <c r="J169" i="7942"/>
  <c r="J270" i="7942" s="1"/>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I427" i="7942"/>
  <c r="L431" i="7942"/>
  <c r="J432" i="7942"/>
  <c r="J430" i="7942"/>
  <c r="J423" i="7942" s="1"/>
  <c r="K170" i="7942"/>
  <c r="K388" i="7942" l="1"/>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L432" i="7942"/>
  <c r="K414" i="7942"/>
  <c r="K420" i="7942"/>
  <c r="K426" i="7942"/>
  <c r="K398" i="7942"/>
  <c r="K405" i="7942"/>
  <c r="K395" i="7942"/>
  <c r="K396" i="7942"/>
  <c r="J418" i="7942"/>
  <c r="J420" i="7942"/>
  <c r="J425" i="7942"/>
  <c r="J387" i="7942"/>
  <c r="J399" i="7942"/>
  <c r="J381" i="7942"/>
  <c r="J390" i="7942"/>
  <c r="I378" i="7942"/>
  <c r="L410" i="7942" l="1"/>
  <c r="L427" i="7942"/>
  <c r="L391" i="7942"/>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L389" i="7942"/>
  <c r="L394" i="7942"/>
  <c r="L39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F2436"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600" i="7950" l="1"/>
  <c r="G2390" i="7950"/>
  <c r="G2436" i="7950" s="1"/>
  <c r="F978" i="7950"/>
  <c r="F2004" i="7950"/>
  <c r="F492" i="7950"/>
  <c r="F1086" i="7950"/>
  <c r="G1418" i="7950"/>
  <c r="G1464" i="7950" s="1"/>
  <c r="G2282" i="7950"/>
  <c r="H2282" i="7950" s="1"/>
  <c r="G68" i="7950"/>
  <c r="G114" i="7950" s="1"/>
  <c r="G878" i="7950"/>
  <c r="G924" i="7950" s="1"/>
  <c r="G2174" i="7950"/>
  <c r="G2220" i="7950" s="1"/>
  <c r="G1364" i="7950"/>
  <c r="G1410" i="7950" s="1"/>
  <c r="G824" i="7950"/>
  <c r="H824" i="7950" s="1"/>
  <c r="F2166" i="7950"/>
  <c r="G1256" i="7950"/>
  <c r="G1302" i="7950" s="1"/>
  <c r="G1688" i="7950"/>
  <c r="H1688" i="7950" s="1"/>
  <c r="G1904" i="7950"/>
  <c r="G1950" i="7950" s="1"/>
  <c r="F222" i="7950"/>
  <c r="G14" i="7950"/>
  <c r="G60" i="7950" s="1"/>
  <c r="G1742" i="7950"/>
  <c r="G1788" i="7950" s="1"/>
  <c r="F438" i="7950"/>
  <c r="G1094" i="7950"/>
  <c r="G1140" i="7950" s="1"/>
  <c r="G1472" i="7950"/>
  <c r="H1472" i="7950" s="1"/>
  <c r="G1796" i="7950"/>
  <c r="G1842" i="7950" s="1"/>
  <c r="F338" i="7950"/>
  <c r="F384" i="7950" s="1"/>
  <c r="G662" i="7950"/>
  <c r="G708" i="7950" s="1"/>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G492" i="7950"/>
  <c r="H446" i="7950"/>
  <c r="F1680" i="7950"/>
  <c r="G1634" i="7950"/>
  <c r="F276" i="7950"/>
  <c r="G230" i="7950"/>
  <c r="F1626" i="7950"/>
  <c r="G1580" i="7950"/>
  <c r="G2004" i="7950"/>
  <c r="H1958" i="7950"/>
  <c r="F1248" i="7950"/>
  <c r="G1202" i="7950"/>
  <c r="G2166" i="7950"/>
  <c r="H2120" i="7950"/>
  <c r="F1194" i="7950"/>
  <c r="G1148" i="7950"/>
  <c r="F2652" i="7950"/>
  <c r="G2606" i="7950"/>
  <c r="G600" i="7950"/>
  <c r="H554" i="7950"/>
  <c r="F2058" i="7950"/>
  <c r="G2012" i="7950"/>
  <c r="F762" i="7950"/>
  <c r="G716" i="7950"/>
  <c r="G168" i="7950"/>
  <c r="H122" i="7950"/>
  <c r="G222" i="7950"/>
  <c r="H176" i="7950"/>
  <c r="F2544" i="7950"/>
  <c r="G2498" i="7950"/>
  <c r="G330"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390" i="7950" l="1"/>
  <c r="I2390" i="7950" s="1"/>
  <c r="H2174" i="7950"/>
  <c r="H2220" i="7950" s="1"/>
  <c r="H1418" i="7950"/>
  <c r="I1418" i="7950" s="1"/>
  <c r="G2328" i="7950"/>
  <c r="H68" i="7950"/>
  <c r="H114" i="7950" s="1"/>
  <c r="H878" i="7950"/>
  <c r="H924" i="7950" s="1"/>
  <c r="H1364" i="7950"/>
  <c r="I1364" i="7950" s="1"/>
  <c r="G870" i="7950"/>
  <c r="H1904" i="7950"/>
  <c r="H1950" i="7950" s="1"/>
  <c r="G338" i="7950"/>
  <c r="H338" i="7950" s="1"/>
  <c r="H1256" i="7950"/>
  <c r="I1256" i="7950" s="1"/>
  <c r="G1734" i="7950"/>
  <c r="H1094" i="7950"/>
  <c r="H1140" i="7950" s="1"/>
  <c r="H1742" i="7950"/>
  <c r="H1788" i="7950" s="1"/>
  <c r="H14" i="7950"/>
  <c r="H60" i="7950" s="1"/>
  <c r="G1518" i="7950"/>
  <c r="H1796" i="7950"/>
  <c r="H1842" i="7950" s="1"/>
  <c r="H662" i="7950"/>
  <c r="I662" i="7950" s="1"/>
  <c r="G1032" i="7950"/>
  <c r="H986" i="7950"/>
  <c r="G1572" i="7950"/>
  <c r="H1526" i="7950"/>
  <c r="G2382" i="7950"/>
  <c r="H2336" i="7950"/>
  <c r="H1518" i="7950"/>
  <c r="I1472" i="7950"/>
  <c r="G1896" i="7950"/>
  <c r="H1850" i="7950"/>
  <c r="G546" i="7950"/>
  <c r="H500" i="7950"/>
  <c r="G2274" i="7950"/>
  <c r="H2228" i="7950"/>
  <c r="G654" i="7950"/>
  <c r="H608" i="7950"/>
  <c r="G2598" i="7950"/>
  <c r="H2552" i="7950"/>
  <c r="G2490" i="7950"/>
  <c r="H2444" i="7950"/>
  <c r="H330" i="7950"/>
  <c r="I284" i="7950"/>
  <c r="H870" i="7950"/>
  <c r="I824" i="7950"/>
  <c r="G2544" i="7950"/>
  <c r="H2498" i="7950"/>
  <c r="H222" i="7950"/>
  <c r="I176" i="7950"/>
  <c r="H168" i="7950"/>
  <c r="I122" i="7950"/>
  <c r="G2058" i="7950"/>
  <c r="H2012" i="7950"/>
  <c r="G2652" i="7950"/>
  <c r="H2606" i="7950"/>
  <c r="G1194" i="7950"/>
  <c r="H1148" i="7950"/>
  <c r="H2166" i="7950"/>
  <c r="I2120" i="7950"/>
  <c r="G1248" i="7950"/>
  <c r="H1202" i="7950"/>
  <c r="G276" i="7950"/>
  <c r="H230" i="7950"/>
  <c r="G1680" i="7950"/>
  <c r="H1634" i="7950"/>
  <c r="H492" i="7950"/>
  <c r="I446" i="7950"/>
  <c r="H2328" i="7950"/>
  <c r="I2282" i="7950"/>
  <c r="G816" i="7950"/>
  <c r="H770" i="7950"/>
  <c r="H438" i="7950"/>
  <c r="I392" i="7950"/>
  <c r="G1356" i="7950"/>
  <c r="H1310" i="7950"/>
  <c r="H2436" i="7950"/>
  <c r="G762" i="7950"/>
  <c r="H716" i="7950"/>
  <c r="H600"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497"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G389"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G605"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G384" i="7950"/>
  <c r="H1302" i="7950"/>
  <c r="I1094" i="7950"/>
  <c r="J1094" i="7950" s="1"/>
  <c r="I1742" i="7950"/>
  <c r="J1742" i="7950" s="1"/>
  <c r="H708" i="7950"/>
  <c r="I14" i="7950"/>
  <c r="J14" i="7950" s="1"/>
  <c r="I1796" i="7950"/>
  <c r="J1796" i="7950" s="1"/>
  <c r="I1410" i="7950"/>
  <c r="J1364" i="7950"/>
  <c r="H1032" i="7950"/>
  <c r="I986" i="7950"/>
  <c r="H654" i="7950"/>
  <c r="I608" i="7950"/>
  <c r="I2228" i="7950"/>
  <c r="H2274" i="7950"/>
  <c r="H1896" i="7950"/>
  <c r="I1850" i="7950"/>
  <c r="H2382" i="7950"/>
  <c r="I2336" i="7950"/>
  <c r="I2552" i="7950"/>
  <c r="H2598" i="7950"/>
  <c r="H546" i="7950"/>
  <c r="I500" i="7950"/>
  <c r="I1518" i="7950"/>
  <c r="J1472" i="7950"/>
  <c r="I1526" i="7950"/>
  <c r="H1572" i="7950"/>
  <c r="J662" i="7950"/>
  <c r="I1086" i="7950"/>
  <c r="J1040" i="7950"/>
  <c r="I978" i="7950"/>
  <c r="J932" i="7950"/>
  <c r="I1302" i="7950"/>
  <c r="J1256" i="7950"/>
  <c r="I1464" i="7950"/>
  <c r="J1418" i="7950"/>
  <c r="I1734" i="7950"/>
  <c r="J1688" i="7950"/>
  <c r="J554" i="7950"/>
  <c r="H762"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H384" i="7950"/>
  <c r="I338" i="7950"/>
  <c r="I438" i="7950"/>
  <c r="J392" i="7950"/>
  <c r="I2328" i="7950"/>
  <c r="J2282" i="7950"/>
  <c r="H1680" i="7950"/>
  <c r="I1634" i="7950"/>
  <c r="H276"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H497" i="7949" s="1"/>
  <c r="G2387" i="7949"/>
  <c r="G767" i="7949"/>
  <c r="H1639" i="7949"/>
  <c r="H1685" i="7949" s="1"/>
  <c r="H929" i="7949"/>
  <c r="H775" i="7949"/>
  <c r="I775" i="7949" s="1"/>
  <c r="G1244" i="18"/>
  <c r="G638" i="7941" s="1"/>
  <c r="G277" i="7942"/>
  <c r="G381" i="7942" s="1"/>
  <c r="H1415" i="7949"/>
  <c r="I1369" i="7949"/>
  <c r="G1955" i="7949"/>
  <c r="H1909" i="7949"/>
  <c r="G1739" i="7949"/>
  <c r="H1693" i="7949"/>
  <c r="H667" i="7949"/>
  <c r="G713" i="7949"/>
  <c r="G1307" i="7949"/>
  <c r="H1261" i="7949"/>
  <c r="G1199" i="7949"/>
  <c r="H1153" i="7949"/>
  <c r="G2333" i="7949"/>
  <c r="H2287" i="7949"/>
  <c r="G551" i="7949"/>
  <c r="H505" i="7949"/>
  <c r="H1207" i="7949"/>
  <c r="G1253" i="7949"/>
  <c r="I2706" i="7950"/>
  <c r="J2660" i="7950"/>
  <c r="H235" i="7949"/>
  <c r="G281" i="7949"/>
  <c r="S43"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G659" i="7949"/>
  <c r="I937" i="7949"/>
  <c r="H983" i="7949"/>
  <c r="T745" i="7949"/>
  <c r="T1285" i="7949"/>
  <c r="T1987" i="7949"/>
  <c r="T1933" i="7949"/>
  <c r="T853" i="7949"/>
  <c r="T1123" i="7949"/>
  <c r="T1771" i="7949"/>
  <c r="U961" i="7949"/>
  <c r="S1717" i="7949"/>
  <c r="T1555" i="7949"/>
  <c r="S1879" i="7949"/>
  <c r="T367" i="7949"/>
  <c r="H389" i="7949"/>
  <c r="I343" i="7949"/>
  <c r="G2657" i="7949"/>
  <c r="H2611" i="7949"/>
  <c r="H2279" i="7949"/>
  <c r="I2233" i="7949"/>
  <c r="H1523" i="7949"/>
  <c r="I1477" i="7949"/>
  <c r="G875" i="7949"/>
  <c r="H829" i="7949"/>
  <c r="H605" i="7949"/>
  <c r="I559" i="7949"/>
  <c r="G1793" i="7949"/>
  <c r="H1747" i="7949"/>
  <c r="H2711" i="7949"/>
  <c r="I2665" i="7949"/>
  <c r="H397" i="7949"/>
  <c r="G443" i="7949"/>
  <c r="G1901" i="7949"/>
  <c r="H1855" i="7949"/>
  <c r="G2603" i="7949"/>
  <c r="H2557" i="7949"/>
  <c r="H1145" i="7949"/>
  <c r="I1099" i="7949"/>
  <c r="H1585" i="7949"/>
  <c r="G1631" i="7949"/>
  <c r="G227"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G335"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H821" i="7949"/>
  <c r="G276" i="7942"/>
  <c r="G380" i="7942" s="1"/>
  <c r="G1243" i="18"/>
  <c r="G637" i="7941" s="1"/>
  <c r="J1369" i="7949"/>
  <c r="I1909" i="7949"/>
  <c r="H1955" i="7949"/>
  <c r="I1693" i="7949"/>
  <c r="H1739" i="7949"/>
  <c r="H713" i="7949"/>
  <c r="I667" i="7949"/>
  <c r="H2495" i="7949"/>
  <c r="I2449" i="7949"/>
  <c r="H1577" i="7949"/>
  <c r="I1531" i="7949"/>
  <c r="J2179" i="7949"/>
  <c r="J1099" i="7949"/>
  <c r="H2603" i="7949"/>
  <c r="I2557" i="7949"/>
  <c r="H1901" i="7949"/>
  <c r="I1855" i="7949"/>
  <c r="J559" i="7949"/>
  <c r="J1477" i="7949"/>
  <c r="H2657" i="7949"/>
  <c r="I2611" i="7949"/>
  <c r="J343" i="7949"/>
  <c r="H1361" i="7949"/>
  <c r="I1315" i="7949"/>
  <c r="J991" i="7949"/>
  <c r="J2395" i="7949"/>
  <c r="J2017" i="7949"/>
  <c r="J2341" i="7949"/>
  <c r="H1847" i="7949"/>
  <c r="I1801" i="7949"/>
  <c r="J721" i="7949"/>
  <c r="T43" i="7949"/>
  <c r="J2706" i="7950"/>
  <c r="K2660" i="7950"/>
  <c r="H2333" i="7949"/>
  <c r="I2287" i="7949"/>
  <c r="H130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H659" i="7949"/>
  <c r="I613" i="7949"/>
  <c r="U1825" i="7949"/>
  <c r="V313" i="7949"/>
  <c r="U1609" i="7949"/>
  <c r="U1231" i="7949"/>
  <c r="U1663" i="7949"/>
  <c r="H281" i="7949"/>
  <c r="I235" i="7949"/>
  <c r="H1253" i="7949"/>
  <c r="I1207" i="7949"/>
  <c r="H2171" i="7949"/>
  <c r="I2125" i="7949"/>
  <c r="H335" i="7949"/>
  <c r="I289" i="7949"/>
  <c r="J1423" i="7949"/>
  <c r="H227" i="7949"/>
  <c r="I181" i="7949"/>
  <c r="J2665" i="7949"/>
  <c r="H1793" i="7949"/>
  <c r="I1747" i="7949"/>
  <c r="H875" i="7949"/>
  <c r="I829" i="7949"/>
  <c r="J2233" i="7949"/>
  <c r="J775" i="7949"/>
  <c r="K883" i="7949"/>
  <c r="H551"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J924" i="7950" l="1"/>
  <c r="K68" i="7950"/>
  <c r="L68" i="7950" s="1"/>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L380" i="7942"/>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K2706" i="7950"/>
  <c r="L2660" i="7950"/>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M14" i="7950" l="1"/>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M68"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N14" i="7950" l="1"/>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N68"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L379" i="7942"/>
  <c r="L378" i="7942" s="1"/>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O14" i="7950" l="1"/>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O68"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G1138" i="18" l="1"/>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P68" i="7950"/>
  <c r="O1788" i="7950"/>
  <c r="P1742" i="7950"/>
  <c r="O924" i="7950"/>
  <c r="P878" i="7950"/>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05" i="18"/>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U14" i="7950" l="1"/>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771" i="18"/>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37" i="18" l="1"/>
  <c r="H1138" i="18"/>
  <c r="H1192" i="18"/>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22" i="7949"/>
  <c r="C127" i="7949" s="1"/>
  <c r="H1558" i="18"/>
  <c r="H1557" i="18"/>
  <c r="C73" i="7949"/>
  <c r="H1189" i="18"/>
  <c r="H1556" i="18"/>
  <c r="H1135" i="18"/>
  <c r="H7" i="7941"/>
  <c r="G739" i="7941"/>
  <c r="G898" i="7941"/>
  <c r="G897" i="7941" s="1"/>
  <c r="H584" i="7941"/>
  <c r="C19" i="7949" l="1"/>
  <c r="D19" i="7949" s="1"/>
  <c r="D65" i="7949" s="1"/>
  <c r="D127" i="7949"/>
  <c r="E127" i="7949" s="1"/>
  <c r="C173" i="7949"/>
  <c r="C119" i="7949"/>
  <c r="D73" i="7949"/>
  <c r="D119" i="7949" s="1"/>
  <c r="H583" i="7941"/>
  <c r="H1555" i="18"/>
  <c r="C65" i="7949" l="1"/>
  <c r="E19" i="7949"/>
  <c r="D173" i="7949"/>
  <c r="F127" i="7949"/>
  <c r="E173" i="7949"/>
  <c r="E73" i="7949"/>
  <c r="H129" i="18"/>
  <c r="I129" i="18" s="1"/>
  <c r="H116" i="18"/>
  <c r="H142" i="18"/>
  <c r="I142" i="18" s="1"/>
  <c r="J142" i="18" l="1"/>
  <c r="K142" i="18" s="1"/>
  <c r="J129" i="18"/>
  <c r="I116" i="18"/>
  <c r="J116" i="18" s="1"/>
  <c r="F19" i="7949"/>
  <c r="G19" i="7949" s="1"/>
  <c r="E65" i="7949"/>
  <c r="G127" i="7949"/>
  <c r="F173" i="7949"/>
  <c r="E119" i="7949"/>
  <c r="F73" i="7949"/>
  <c r="H138" i="7944"/>
  <c r="H150" i="7944" s="1"/>
  <c r="L129" i="18" l="1"/>
  <c r="K129" i="18"/>
  <c r="K116" i="18"/>
  <c r="L142" i="18"/>
  <c r="I138" i="7944"/>
  <c r="I150" i="7944" s="1"/>
  <c r="M142" i="18"/>
  <c r="F65" i="7949"/>
  <c r="H127" i="7949"/>
  <c r="G173" i="7949"/>
  <c r="F119" i="7949"/>
  <c r="G73" i="7949"/>
  <c r="G65" i="7949"/>
  <c r="H19" i="7949"/>
  <c r="I10" i="7944"/>
  <c r="H125" i="7944"/>
  <c r="H137" i="7944" s="1"/>
  <c r="J138" i="7944" l="1"/>
  <c r="J150" i="7944" s="1"/>
  <c r="N129" i="18"/>
  <c r="O129" i="18" s="1"/>
  <c r="M129" i="18"/>
  <c r="N142" i="18"/>
  <c r="L116" i="18"/>
  <c r="I125" i="7944"/>
  <c r="I137" i="7944" s="1"/>
  <c r="K138" i="7944"/>
  <c r="L138" i="7944" s="1"/>
  <c r="O142" i="18"/>
  <c r="P142" i="18" s="1"/>
  <c r="Q142" i="18" s="1"/>
  <c r="I127" i="7949"/>
  <c r="H173" i="7949"/>
  <c r="H65" i="7949"/>
  <c r="I19" i="7949"/>
  <c r="H73" i="7949"/>
  <c r="G119" i="7949"/>
  <c r="I9" i="7944"/>
  <c r="J10" i="7944"/>
  <c r="J125" i="7944" l="1"/>
  <c r="K125" i="7944" s="1"/>
  <c r="N116" i="18"/>
  <c r="M116" i="18"/>
  <c r="M138" i="7944"/>
  <c r="N138" i="7944" s="1"/>
  <c r="O138" i="7944" s="1"/>
  <c r="K150" i="7944"/>
  <c r="L150" i="7944" s="1"/>
  <c r="P129" i="18"/>
  <c r="Q129" i="18" s="1"/>
  <c r="J127" i="7949"/>
  <c r="H119" i="7949"/>
  <c r="I73" i="7949"/>
  <c r="J19" i="7949"/>
  <c r="H112" i="7944"/>
  <c r="J9" i="7944"/>
  <c r="H7" i="7944"/>
  <c r="M150" i="7944" l="1"/>
  <c r="L125" i="7944"/>
  <c r="M125" i="7944" s="1"/>
  <c r="J137" i="7944"/>
  <c r="K137" i="7944" s="1"/>
  <c r="O116" i="18"/>
  <c r="P116" i="18" s="1"/>
  <c r="Q116" i="18" s="1"/>
  <c r="N125" i="7944"/>
  <c r="O125" i="7944" s="1"/>
  <c r="P125" i="7944" s="1"/>
  <c r="Q125" i="7944" s="1"/>
  <c r="P138" i="7944"/>
  <c r="Q138" i="7944" s="1"/>
  <c r="H124" i="7944"/>
  <c r="H111" i="7944" s="1"/>
  <c r="I112" i="7944"/>
  <c r="K127" i="7949"/>
  <c r="J73" i="7949"/>
  <c r="K19" i="7949"/>
  <c r="I8" i="7944" l="1"/>
  <c r="L137" i="7944"/>
  <c r="M137" i="7944" s="1"/>
  <c r="I124" i="7944"/>
  <c r="I111" i="7944" s="1"/>
  <c r="J112" i="7944"/>
  <c r="L127" i="7949"/>
  <c r="L19" i="7949"/>
  <c r="K73" i="7949"/>
  <c r="I7" i="7944"/>
  <c r="J8" i="7944" l="1"/>
  <c r="J7" i="7944" s="1"/>
  <c r="K112" i="7944"/>
  <c r="J124" i="7944"/>
  <c r="J111" i="7944" s="1"/>
  <c r="M127" i="7949"/>
  <c r="L73" i="7949"/>
  <c r="M19" i="7949"/>
  <c r="K124" i="7944" l="1"/>
  <c r="K111" i="7944" s="1"/>
  <c r="L112" i="7944"/>
  <c r="M112" i="7944" s="1"/>
  <c r="N127" i="7949"/>
  <c r="N19" i="7949"/>
  <c r="M73" i="7949"/>
  <c r="K8" i="7944" l="1"/>
  <c r="K54" i="7944"/>
  <c r="K20" i="7944"/>
  <c r="K27" i="7944"/>
  <c r="K22" i="7944"/>
  <c r="K17" i="7944"/>
  <c r="K34" i="7944"/>
  <c r="K37" i="7944"/>
  <c r="K16" i="7944"/>
  <c r="K13" i="7944"/>
  <c r="K24" i="7944"/>
  <c r="K9" i="7944"/>
  <c r="K48" i="7944"/>
  <c r="K52" i="7944"/>
  <c r="K51" i="7944"/>
  <c r="K19" i="7944"/>
  <c r="K12" i="7944"/>
  <c r="K39" i="7944"/>
  <c r="K15" i="7944"/>
  <c r="K35" i="7944"/>
  <c r="K36" i="7944"/>
  <c r="K40" i="7944"/>
  <c r="K46" i="7944"/>
  <c r="K29" i="7944"/>
  <c r="K11" i="7944"/>
  <c r="K47" i="7944"/>
  <c r="K18" i="7944"/>
  <c r="K14" i="7944"/>
  <c r="K23" i="7944"/>
  <c r="K21" i="7944"/>
  <c r="K26" i="7944"/>
  <c r="K55" i="7944"/>
  <c r="K42" i="7944"/>
  <c r="K10" i="7944"/>
  <c r="K56" i="7944"/>
  <c r="K50" i="7944"/>
  <c r="K44" i="7944"/>
  <c r="N112" i="7944"/>
  <c r="O112" i="7944" s="1"/>
  <c r="P112" i="7944" s="1"/>
  <c r="Q112" i="7944" s="1"/>
  <c r="L124" i="7944"/>
  <c r="K30" i="7944"/>
  <c r="K32" i="7944"/>
  <c r="K57" i="7944"/>
  <c r="K31" i="7944"/>
  <c r="K45" i="7944"/>
  <c r="K28" i="7944"/>
  <c r="K43" i="7944"/>
  <c r="K53" i="7944"/>
  <c r="K41" i="7944"/>
  <c r="K33" i="7944"/>
  <c r="K25" i="7944"/>
  <c r="K49" i="7944"/>
  <c r="K38" i="7944"/>
  <c r="O127" i="7949"/>
  <c r="N73" i="7949"/>
  <c r="O19" i="7949"/>
  <c r="K7" i="7944" l="1"/>
  <c r="L111" i="7944"/>
  <c r="L30" i="7944" s="1"/>
  <c r="M124" i="7944"/>
  <c r="P127" i="7949"/>
  <c r="P19" i="7949"/>
  <c r="O73" i="7949"/>
  <c r="L41" i="7944" l="1"/>
  <c r="M111" i="7944"/>
  <c r="L8" i="7944"/>
  <c r="L47" i="7944"/>
  <c r="L24" i="7944"/>
  <c r="L46" i="7944"/>
  <c r="M46" i="7944" s="1"/>
  <c r="L31" i="7944"/>
  <c r="L53" i="7944"/>
  <c r="L49" i="7944"/>
  <c r="L37" i="7944"/>
  <c r="L22" i="7944"/>
  <c r="L54" i="7944"/>
  <c r="L42" i="7944"/>
  <c r="L21" i="7944"/>
  <c r="M21" i="7944" s="1"/>
  <c r="L18" i="7944"/>
  <c r="L10" i="7944"/>
  <c r="L55" i="7944"/>
  <c r="L57" i="7944"/>
  <c r="M57" i="7944" s="1"/>
  <c r="L25" i="7944"/>
  <c r="M25" i="7944" s="1"/>
  <c r="L29" i="7944"/>
  <c r="L35" i="7944"/>
  <c r="L52" i="7944"/>
  <c r="M52" i="7944" s="1"/>
  <c r="L16" i="7944"/>
  <c r="M16" i="7944" s="1"/>
  <c r="L17" i="7944"/>
  <c r="L20" i="7944"/>
  <c r="L36" i="7944"/>
  <c r="M36" i="7944" s="1"/>
  <c r="L39" i="7944"/>
  <c r="M39" i="7944" s="1"/>
  <c r="L51" i="7944"/>
  <c r="L9" i="7944"/>
  <c r="L11" i="7944"/>
  <c r="M11" i="7944" s="1"/>
  <c r="L50" i="7944"/>
  <c r="M50" i="7944" s="1"/>
  <c r="L15" i="7944"/>
  <c r="L48" i="7944"/>
  <c r="L32" i="7944"/>
  <c r="M32" i="7944" s="1"/>
  <c r="L28" i="7944"/>
  <c r="M28" i="7944" s="1"/>
  <c r="L33" i="7944"/>
  <c r="L40" i="7944"/>
  <c r="L26" i="7944"/>
  <c r="M26" i="7944" s="1"/>
  <c r="L14" i="7944"/>
  <c r="M14" i="7944" s="1"/>
  <c r="L13" i="7944"/>
  <c r="L34" i="7944"/>
  <c r="L27" i="7944"/>
  <c r="M27" i="7944" s="1"/>
  <c r="L23" i="7944"/>
  <c r="M23" i="7944" s="1"/>
  <c r="L43" i="7944"/>
  <c r="L44" i="7944"/>
  <c r="L56" i="7944"/>
  <c r="M56" i="7944" s="1"/>
  <c r="L12" i="7944"/>
  <c r="M12" i="7944" s="1"/>
  <c r="L19" i="7944"/>
  <c r="L38" i="7944"/>
  <c r="L45" i="7944"/>
  <c r="M45" i="7944" s="1"/>
  <c r="Q127" i="7949"/>
  <c r="P73" i="7949"/>
  <c r="Q19" i="7949"/>
  <c r="M37" i="7944" l="1"/>
  <c r="M34" i="7944"/>
  <c r="M40" i="7944"/>
  <c r="M48" i="7944"/>
  <c r="M9" i="7944"/>
  <c r="M38" i="7944"/>
  <c r="M44" i="7944"/>
  <c r="M19" i="7944"/>
  <c r="M43" i="7944"/>
  <c r="M13" i="7944"/>
  <c r="M33" i="7944"/>
  <c r="M15" i="7944"/>
  <c r="M20" i="7944"/>
  <c r="M51" i="7944"/>
  <c r="M17" i="7944"/>
  <c r="M35" i="7944"/>
  <c r="M55" i="7944"/>
  <c r="M42" i="7944"/>
  <c r="M29" i="7944"/>
  <c r="M10" i="7944"/>
  <c r="M49" i="7944"/>
  <c r="M24" i="7944"/>
  <c r="M54" i="7944"/>
  <c r="M53" i="7944"/>
  <c r="M8" i="7944"/>
  <c r="M41" i="7944"/>
  <c r="M47" i="7944"/>
  <c r="M18" i="7944"/>
  <c r="M22" i="7944"/>
  <c r="M31" i="7944"/>
  <c r="L7" i="7944"/>
  <c r="M30" i="7944"/>
  <c r="R127" i="7949"/>
  <c r="R19" i="7949"/>
  <c r="Q73" i="7949"/>
  <c r="M7" i="7944" l="1"/>
  <c r="S127" i="7949"/>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I113" i="7941"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J1504" i="18" l="1"/>
  <c r="J1503" i="18" s="1"/>
  <c r="J1084" i="18"/>
  <c r="J1083" i="18" s="1"/>
  <c r="K1506" i="18"/>
  <c r="K1086" i="18"/>
  <c r="K1505" i="18"/>
  <c r="K1085" i="18"/>
  <c r="I899" i="7941"/>
  <c r="J585" i="7941"/>
  <c r="K452" i="1"/>
  <c r="J586" i="7941"/>
  <c r="I900" i="7941"/>
  <c r="I323" i="7941"/>
  <c r="J9" i="7941"/>
  <c r="I876" i="18"/>
  <c r="J1192" i="18"/>
  <c r="J771" i="18"/>
  <c r="J1191" i="18"/>
  <c r="K128" i="18"/>
  <c r="K1504" i="18" s="1"/>
  <c r="H688" i="7941"/>
  <c r="H1293" i="18"/>
  <c r="I1190" i="18"/>
  <c r="H112" i="7941"/>
  <c r="H873" i="18"/>
  <c r="I770" i="18"/>
  <c r="L154" i="18" l="1"/>
  <c r="J1557" i="18"/>
  <c r="I114" i="7941"/>
  <c r="J772" i="18"/>
  <c r="L141" i="18"/>
  <c r="J1137" i="18"/>
  <c r="J1558" i="18"/>
  <c r="L128" i="18"/>
  <c r="M128" i="18" s="1"/>
  <c r="M1084" i="18" s="1"/>
  <c r="K1084" i="18"/>
  <c r="K1083" i="18" s="1"/>
  <c r="K115" i="18"/>
  <c r="H111" i="7941"/>
  <c r="I8" i="7941"/>
  <c r="H322" i="7941"/>
  <c r="I584" i="7941"/>
  <c r="H898" i="7941"/>
  <c r="H687" i="7941"/>
  <c r="I1136" i="18"/>
  <c r="I769" i="18"/>
  <c r="K1503" i="18"/>
  <c r="I1556" i="18"/>
  <c r="I1189" i="18"/>
  <c r="L1084" i="18" l="1"/>
  <c r="L1504" i="18"/>
  <c r="L452" i="1"/>
  <c r="R453" i="1" s="1"/>
  <c r="J1296" i="18"/>
  <c r="J875" i="18"/>
  <c r="L1506" i="18"/>
  <c r="L1086" i="18"/>
  <c r="M154" i="18"/>
  <c r="L115" i="18"/>
  <c r="L1085" i="18"/>
  <c r="L1505" i="18"/>
  <c r="M141" i="18"/>
  <c r="J1138" i="18"/>
  <c r="J1295" i="18"/>
  <c r="I324" i="7941"/>
  <c r="J10" i="7941"/>
  <c r="M1504" i="18"/>
  <c r="H897" i="7941"/>
  <c r="H321" i="7941"/>
  <c r="I583" i="7941"/>
  <c r="I7" i="7941"/>
  <c r="I1294" i="18"/>
  <c r="I1555" i="18"/>
  <c r="I874" i="18"/>
  <c r="I1135" i="18"/>
  <c r="L1503" i="18" l="1"/>
  <c r="L1083" i="18"/>
  <c r="M1085" i="18"/>
  <c r="M1505" i="18"/>
  <c r="J113" i="7941"/>
  <c r="K771" i="18"/>
  <c r="M115" i="18"/>
  <c r="J689" i="7941"/>
  <c r="K1191" i="18"/>
  <c r="J876" i="18"/>
  <c r="M1086" i="18"/>
  <c r="M1506" i="18"/>
  <c r="J690" i="7941"/>
  <c r="K1192" i="18"/>
  <c r="I873" i="18"/>
  <c r="I112" i="7941"/>
  <c r="J770" i="18"/>
  <c r="I1293" i="18"/>
  <c r="I688" i="7941"/>
  <c r="J1190" i="18"/>
  <c r="J899" i="7941" l="1"/>
  <c r="K585" i="7941"/>
  <c r="K1558" i="18"/>
  <c r="J114" i="7941"/>
  <c r="K772" i="18"/>
  <c r="K586" i="7941"/>
  <c r="J900" i="7941"/>
  <c r="K1137" i="18"/>
  <c r="M1503" i="18"/>
  <c r="K1557" i="18"/>
  <c r="K9" i="7941"/>
  <c r="J323" i="7941"/>
  <c r="M1083" i="18"/>
  <c r="J769" i="18"/>
  <c r="J1136" i="18"/>
  <c r="J1556" i="18"/>
  <c r="J1189" i="18"/>
  <c r="I111" i="7941"/>
  <c r="J8" i="7941"/>
  <c r="I322" i="7941"/>
  <c r="I687" i="7941"/>
  <c r="I898" i="7941"/>
  <c r="J584" i="7941"/>
  <c r="K1295" i="18" l="1"/>
  <c r="K875" i="18"/>
  <c r="K1138" i="18"/>
  <c r="K10" i="7941"/>
  <c r="J324" i="7941"/>
  <c r="K1296" i="18"/>
  <c r="J7" i="7941"/>
  <c r="J1135" i="18"/>
  <c r="J874" i="18"/>
  <c r="J583" i="7941"/>
  <c r="I897" i="7941"/>
  <c r="I321" i="7941"/>
  <c r="J1555" i="18"/>
  <c r="J1294" i="18"/>
  <c r="K876" i="18" l="1"/>
  <c r="K113" i="7941"/>
  <c r="L771" i="18"/>
  <c r="K690" i="7941"/>
  <c r="L1192" i="18"/>
  <c r="K689" i="7941"/>
  <c r="L1191" i="18"/>
  <c r="J688" i="7941"/>
  <c r="J1293" i="18"/>
  <c r="K1190" i="18"/>
  <c r="J873" i="18"/>
  <c r="J112" i="7941"/>
  <c r="K770" i="18"/>
  <c r="L1557" i="18" l="1"/>
  <c r="L586" i="7941"/>
  <c r="K900" i="7941"/>
  <c r="K114" i="7941"/>
  <c r="L772" i="18"/>
  <c r="K899" i="7941"/>
  <c r="L585" i="7941"/>
  <c r="L1137" i="18"/>
  <c r="L9" i="7941"/>
  <c r="K323" i="7941"/>
  <c r="L1558" i="18"/>
  <c r="K769" i="18"/>
  <c r="K1136" i="18"/>
  <c r="J111" i="7941"/>
  <c r="J322" i="7941"/>
  <c r="K8" i="7941"/>
  <c r="J687" i="7941"/>
  <c r="K584" i="7941"/>
  <c r="J898" i="7941"/>
  <c r="K1189" i="18"/>
  <c r="K1556" i="18"/>
  <c r="L875" i="18" l="1"/>
  <c r="L1138" i="18"/>
  <c r="L1296" i="18"/>
  <c r="K324" i="7941"/>
  <c r="L10" i="7941"/>
  <c r="L1295" i="18"/>
  <c r="K1555" i="18"/>
  <c r="K1294" i="18"/>
  <c r="K7" i="7941"/>
  <c r="J897" i="7941"/>
  <c r="J321" i="7941"/>
  <c r="K583" i="7941"/>
  <c r="K1135" i="18"/>
  <c r="K874" i="18"/>
  <c r="L689" i="7941" l="1"/>
  <c r="M1191" i="18"/>
  <c r="M1557" i="18" s="1"/>
  <c r="M1295" i="18" s="1"/>
  <c r="M689" i="7941" s="1"/>
  <c r="L690" i="7941"/>
  <c r="M1192" i="18"/>
  <c r="L113" i="7941"/>
  <c r="M771" i="18"/>
  <c r="L876" i="18"/>
  <c r="K873" i="18"/>
  <c r="K112" i="7941"/>
  <c r="L770" i="18"/>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533" i="7941" s="1"/>
  <c r="I403" i="7941"/>
  <c r="I517" i="7941"/>
  <c r="I383" i="7941"/>
  <c r="I411" i="7941"/>
  <c r="I567" i="7941" s="1"/>
  <c r="I524" i="7941"/>
  <c r="I384" i="7941"/>
  <c r="I418" i="7941"/>
  <c r="I574" i="7941" s="1"/>
  <c r="I385" i="7941"/>
  <c r="I541" i="7941" s="1"/>
  <c r="I523" i="7941"/>
  <c r="I378" i="7941"/>
  <c r="I510" i="7941"/>
  <c r="I387" i="7941"/>
  <c r="I543" i="7941" s="1"/>
  <c r="I414" i="7941"/>
  <c r="I416" i="7941"/>
  <c r="I507" i="7941"/>
  <c r="I482" i="7941"/>
  <c r="I381" i="7941"/>
  <c r="I537" i="7941" s="1"/>
  <c r="I379" i="7941"/>
  <c r="I402" i="7941"/>
  <c r="I558" i="7941" s="1"/>
  <c r="I374" i="7941"/>
  <c r="I530" i="7941" s="1"/>
  <c r="I489" i="7941"/>
  <c r="I492" i="7941"/>
  <c r="I417" i="7941"/>
  <c r="I509" i="7941"/>
  <c r="I503" i="7941"/>
  <c r="I407" i="7941"/>
  <c r="I406" i="7941"/>
  <c r="I562" i="7941" s="1"/>
  <c r="I508" i="7941"/>
  <c r="I388" i="7941"/>
  <c r="I513" i="7941"/>
  <c r="I389" i="7941"/>
  <c r="I415" i="7941"/>
  <c r="I571" i="7941" s="1"/>
  <c r="I412" i="7941"/>
  <c r="I375" i="7941"/>
  <c r="I491" i="7941"/>
  <c r="I397" i="7941"/>
  <c r="I553" i="7941" s="1"/>
  <c r="I394" i="7941"/>
  <c r="I550" i="7941" s="1"/>
  <c r="I518" i="7941"/>
  <c r="I488" i="7941"/>
  <c r="I410" i="7941"/>
  <c r="I566" i="7941" s="1"/>
  <c r="I382" i="7941"/>
  <c r="I398" i="7941"/>
  <c r="I527" i="7941"/>
  <c r="I495" i="7941"/>
  <c r="I396" i="7941"/>
  <c r="I399" i="7941"/>
  <c r="I555" i="7941" s="1"/>
  <c r="I479" i="7941"/>
  <c r="I493" i="7941"/>
  <c r="I405" i="7941"/>
  <c r="I419" i="7941"/>
  <c r="I575" i="7941" s="1"/>
  <c r="I521" i="7941"/>
  <c r="I386" i="7941"/>
  <c r="I542" i="7941" s="1"/>
  <c r="I494" i="7941"/>
  <c r="I490" i="7941"/>
  <c r="I504" i="7941"/>
  <c r="I497" i="7941"/>
  <c r="I421" i="7941"/>
  <c r="I577" i="7941" s="1"/>
  <c r="I483" i="7941"/>
  <c r="I390" i="7941"/>
  <c r="I500" i="7941"/>
  <c r="I487" i="7941"/>
  <c r="I422" i="7941"/>
  <c r="I578" i="7941" s="1"/>
  <c r="I525" i="7941"/>
  <c r="I395" i="7941"/>
  <c r="I551" i="7941" s="1"/>
  <c r="I505" i="7941"/>
  <c r="I480" i="7941"/>
  <c r="I400" i="7941"/>
  <c r="I556" i="7941" s="1"/>
  <c r="I423" i="7941"/>
  <c r="I579" i="7941" s="1"/>
  <c r="I420" i="7941"/>
  <c r="I576" i="7941" s="1"/>
  <c r="I409" i="7941"/>
  <c r="I565" i="7941" s="1"/>
  <c r="I516" i="7941"/>
  <c r="I413" i="7941"/>
  <c r="I569" i="7941" s="1"/>
  <c r="I502" i="7941"/>
  <c r="I404" i="7941"/>
  <c r="I401" i="7941"/>
  <c r="I557" i="7941" s="1"/>
  <c r="I393" i="7941"/>
  <c r="I549" i="7941" s="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1136" i="7941" s="1"/>
  <c r="I971" i="7941"/>
  <c r="I995" i="7941"/>
  <c r="I991" i="7941"/>
  <c r="I1147" i="7941" s="1"/>
  <c r="I1092" i="7941"/>
  <c r="I1055" i="7941"/>
  <c r="I981" i="7941"/>
  <c r="I987" i="7941"/>
  <c r="I1088" i="7941"/>
  <c r="I1070" i="7941"/>
  <c r="I1082" i="7941"/>
  <c r="I1054" i="7941"/>
  <c r="I1075" i="7941"/>
  <c r="I1078" i="7941"/>
  <c r="I984" i="7941"/>
  <c r="I962" i="7941"/>
  <c r="I1064" i="7941"/>
  <c r="I1098" i="7941"/>
  <c r="I1059" i="7941"/>
  <c r="I953" i="7941"/>
  <c r="I992" i="7941"/>
  <c r="I1148" i="7941" s="1"/>
  <c r="I994" i="7941"/>
  <c r="I1150" i="7941" s="1"/>
  <c r="I977" i="7941"/>
  <c r="I975" i="7941"/>
  <c r="I1131" i="7941" s="1"/>
  <c r="I1058" i="7941"/>
  <c r="I960" i="7941"/>
  <c r="I1094" i="7941"/>
  <c r="I963" i="7941"/>
  <c r="I1077" i="7941"/>
  <c r="I1097" i="7941"/>
  <c r="I956" i="7941"/>
  <c r="I1112" i="7941" s="1"/>
  <c r="I972" i="7941"/>
  <c r="I1128" i="7941" s="1"/>
  <c r="I982" i="7941"/>
  <c r="I1138" i="7941" s="1"/>
  <c r="I1099" i="7941"/>
  <c r="I1102" i="7941"/>
  <c r="I1085" i="7941"/>
  <c r="I1072" i="7941"/>
  <c r="I970" i="7941"/>
  <c r="I950" i="7941"/>
  <c r="I1106" i="7941" s="1"/>
  <c r="I952" i="7941"/>
  <c r="I1108" i="7941" s="1"/>
  <c r="I964" i="7941"/>
  <c r="I1120" i="7941" s="1"/>
  <c r="I983" i="7941"/>
  <c r="I988" i="7941"/>
  <c r="I1144" i="7941" s="1"/>
  <c r="I979" i="7941"/>
  <c r="I1135" i="7941" s="1"/>
  <c r="I969" i="7941"/>
  <c r="I1125" i="7941" s="1"/>
  <c r="I1081" i="7941"/>
  <c r="I958" i="7941"/>
  <c r="I1114" i="7941" s="1"/>
  <c r="I986" i="7941"/>
  <c r="I1142" i="7941" s="1"/>
  <c r="I1087" i="7941"/>
  <c r="I1083" i="7941"/>
  <c r="I1091" i="7941"/>
  <c r="I996" i="7941"/>
  <c r="I1152" i="7941" s="1"/>
  <c r="I955" i="7941"/>
  <c r="I1111" i="7941" s="1"/>
  <c r="I985" i="7941"/>
  <c r="I1141" i="7941" s="1"/>
  <c r="I997" i="7941"/>
  <c r="I1153" i="7941" s="1"/>
  <c r="I974" i="7941"/>
  <c r="I1130" i="7941" s="1"/>
  <c r="I959" i="7941"/>
  <c r="I1115" i="7941" s="1"/>
  <c r="I954" i="7941"/>
  <c r="I1110" i="7941" s="1"/>
  <c r="I1061" i="7941"/>
  <c r="I951" i="7941"/>
  <c r="I1107" i="7941" s="1"/>
  <c r="I1067" i="7941"/>
  <c r="I965" i="7941"/>
  <c r="I1121" i="7941" s="1"/>
  <c r="I1066" i="7941"/>
  <c r="I1057" i="7941"/>
  <c r="I976" i="7941"/>
  <c r="I1132" i="7941" s="1"/>
  <c r="I1074" i="7941"/>
  <c r="K1293" i="18"/>
  <c r="K688" i="7941"/>
  <c r="L1190" i="18"/>
  <c r="L323" i="7941" l="1"/>
  <c r="M9" i="7941"/>
  <c r="L899" i="7941"/>
  <c r="M585" i="7941"/>
  <c r="M1558" i="18"/>
  <c r="L900" i="7941"/>
  <c r="M586" i="7941"/>
  <c r="M1137" i="18"/>
  <c r="I1133" i="7941"/>
  <c r="I1140" i="7941"/>
  <c r="I1137" i="7941"/>
  <c r="I1151" i="7941"/>
  <c r="I1124" i="7941"/>
  <c r="I1149" i="7941"/>
  <c r="I1134" i="7941"/>
  <c r="I560" i="7941"/>
  <c r="I554" i="7941"/>
  <c r="I531" i="7941"/>
  <c r="I563" i="7941"/>
  <c r="I535" i="7941"/>
  <c r="I572" i="7941"/>
  <c r="I534" i="7941"/>
  <c r="I540" i="7941"/>
  <c r="I547" i="7941"/>
  <c r="I536" i="7941"/>
  <c r="I548" i="7941"/>
  <c r="I1139" i="7941"/>
  <c r="I1126" i="7941"/>
  <c r="I1116" i="7941"/>
  <c r="I1127" i="7941"/>
  <c r="I1117" i="7941"/>
  <c r="I561" i="7941"/>
  <c r="I552" i="7941"/>
  <c r="I538" i="7941"/>
  <c r="I568" i="7941"/>
  <c r="I544" i="7941"/>
  <c r="I570" i="7941"/>
  <c r="I559" i="7941"/>
  <c r="I532" i="7941"/>
  <c r="I1154" i="7941"/>
  <c r="I1129" i="7941"/>
  <c r="I1146" i="7941"/>
  <c r="I1122" i="7941"/>
  <c r="I1113" i="7941"/>
  <c r="I564" i="7941"/>
  <c r="I1119" i="7941"/>
  <c r="I1109" i="7941"/>
  <c r="I1118" i="7941"/>
  <c r="I1143" i="7941"/>
  <c r="I1145" i="7941"/>
  <c r="I1123" i="7941"/>
  <c r="I1155" i="7941"/>
  <c r="I546" i="7941"/>
  <c r="I545" i="7941"/>
  <c r="I573" i="7941"/>
  <c r="I539" i="7941"/>
  <c r="I477" i="7941"/>
  <c r="I425" i="7941"/>
  <c r="L114" i="7941"/>
  <c r="M772" i="18"/>
  <c r="I949" i="7941"/>
  <c r="I373" i="7941"/>
  <c r="L769" i="18"/>
  <c r="L1136" i="18"/>
  <c r="L1189" i="18"/>
  <c r="L1556" i="18"/>
  <c r="K111" i="7941"/>
  <c r="L8" i="7941"/>
  <c r="K322" i="7941"/>
  <c r="K687" i="7941"/>
  <c r="K898" i="7941"/>
  <c r="L584" i="7941"/>
  <c r="I1053" i="7941"/>
  <c r="I1001" i="7941"/>
  <c r="M1138" i="18" l="1"/>
  <c r="L324" i="7941"/>
  <c r="M10" i="7941"/>
  <c r="M875" i="18"/>
  <c r="M1296" i="18"/>
  <c r="I1105" i="7941"/>
  <c r="I529" i="7941"/>
  <c r="K897" i="7941"/>
  <c r="K321" i="7941"/>
  <c r="L1555" i="18"/>
  <c r="L1294" i="18"/>
  <c r="L1135" i="18"/>
  <c r="L874" i="18"/>
  <c r="L583" i="7941"/>
  <c r="L7" i="7941"/>
  <c r="M690" i="7941" l="1"/>
  <c r="M876" i="18"/>
  <c r="M113" i="7941"/>
  <c r="L1293" i="18"/>
  <c r="L688" i="7941"/>
  <c r="M584" i="7941" s="1"/>
  <c r="M583" i="7941" s="1"/>
  <c r="M1190" i="18"/>
  <c r="M1556" i="18" s="1"/>
  <c r="M1555" i="18" s="1"/>
  <c r="J461" i="7941"/>
  <c r="J466" i="7941"/>
  <c r="J457" i="7941"/>
  <c r="J470" i="7941"/>
  <c r="J443" i="7941"/>
  <c r="J452" i="7941"/>
  <c r="J436" i="7941"/>
  <c r="J471" i="7941"/>
  <c r="J467" i="7941"/>
  <c r="J440" i="7941"/>
  <c r="J428" i="7941"/>
  <c r="J462" i="7941"/>
  <c r="J469" i="7941"/>
  <c r="J442" i="7941"/>
  <c r="J435" i="7941"/>
  <c r="J438" i="7941"/>
  <c r="J446" i="7941"/>
  <c r="J450" i="7941"/>
  <c r="J449" i="7941"/>
  <c r="J448" i="7941"/>
  <c r="J472" i="7941"/>
  <c r="J437" i="7941"/>
  <c r="J475" i="7941"/>
  <c r="J426" i="7941"/>
  <c r="J460" i="7941"/>
  <c r="J433" i="7941"/>
  <c r="J455" i="7941"/>
  <c r="J456" i="7941"/>
  <c r="J439" i="7941"/>
  <c r="J453" i="7941"/>
  <c r="J427" i="7941"/>
  <c r="J445" i="7941"/>
  <c r="J434" i="7941"/>
  <c r="J454" i="7941"/>
  <c r="J447" i="7941"/>
  <c r="J459" i="7941"/>
  <c r="J431" i="7941"/>
  <c r="J473" i="7941"/>
  <c r="J458" i="7941"/>
  <c r="J464" i="7941"/>
  <c r="J451" i="7941"/>
  <c r="J429" i="7941"/>
  <c r="J465" i="7941"/>
  <c r="J463" i="7941"/>
  <c r="J444" i="7941"/>
  <c r="J430" i="7941"/>
  <c r="J468" i="7941"/>
  <c r="J474" i="7941"/>
  <c r="J432" i="7941"/>
  <c r="J441" i="7941"/>
  <c r="J503" i="7941"/>
  <c r="J483" i="7941"/>
  <c r="J389" i="7941"/>
  <c r="J527" i="7941"/>
  <c r="J480" i="7941"/>
  <c r="J396" i="7941"/>
  <c r="J409" i="7941"/>
  <c r="J506" i="7941"/>
  <c r="J509" i="7941"/>
  <c r="J417" i="7941"/>
  <c r="J511" i="7941"/>
  <c r="J404" i="7941"/>
  <c r="J478" i="7941"/>
  <c r="J385" i="7941"/>
  <c r="J406" i="7941"/>
  <c r="J510" i="7941"/>
  <c r="J523" i="7941"/>
  <c r="J408" i="7941"/>
  <c r="J410" i="7941"/>
  <c r="J422" i="7941"/>
  <c r="J578" i="7941" s="1"/>
  <c r="J413" i="7941"/>
  <c r="J403" i="7941"/>
  <c r="J392" i="7941"/>
  <c r="J376" i="7941"/>
  <c r="J532" i="7941" s="1"/>
  <c r="J488" i="7941"/>
  <c r="J383" i="7941"/>
  <c r="J539" i="7941" s="1"/>
  <c r="J526" i="7941"/>
  <c r="J512" i="7941"/>
  <c r="J515" i="7941"/>
  <c r="J497" i="7941"/>
  <c r="J388" i="7941"/>
  <c r="J493" i="7941"/>
  <c r="J384" i="7941"/>
  <c r="J540" i="7941" s="1"/>
  <c r="J375" i="7941"/>
  <c r="J382" i="7941"/>
  <c r="J504" i="7941"/>
  <c r="J378" i="7941"/>
  <c r="J505" i="7941"/>
  <c r="J395" i="7941"/>
  <c r="J402" i="7941"/>
  <c r="J558" i="7941" s="1"/>
  <c r="J377" i="7941"/>
  <c r="J398" i="7941"/>
  <c r="J554" i="7941" s="1"/>
  <c r="J407" i="7941"/>
  <c r="J563" i="7941" s="1"/>
  <c r="J394" i="7941"/>
  <c r="J550" i="7941" s="1"/>
  <c r="J481" i="7941"/>
  <c r="J397" i="7941"/>
  <c r="J518" i="7941"/>
  <c r="J380" i="7941"/>
  <c r="J520" i="7941"/>
  <c r="J507" i="7941"/>
  <c r="J482" i="7941"/>
  <c r="J399" i="7941"/>
  <c r="J555" i="7941" s="1"/>
  <c r="J393" i="7941"/>
  <c r="J420" i="7941"/>
  <c r="J502" i="7941"/>
  <c r="J419" i="7941"/>
  <c r="J575" i="7941" s="1"/>
  <c r="J418" i="7941"/>
  <c r="J499" i="7941"/>
  <c r="J412" i="7941"/>
  <c r="J421" i="7941"/>
  <c r="J577" i="7941" s="1"/>
  <c r="J517" i="7941"/>
  <c r="J386" i="7941"/>
  <c r="J542" i="7941" s="1"/>
  <c r="J374" i="7941"/>
  <c r="J530" i="7941" s="1"/>
  <c r="J415" i="7941"/>
  <c r="J571" i="7941" s="1"/>
  <c r="J414" i="7941"/>
  <c r="J570" i="7941" s="1"/>
  <c r="J496" i="7941"/>
  <c r="J492" i="7941"/>
  <c r="J521" i="7941"/>
  <c r="J498" i="7941"/>
  <c r="J400" i="7941"/>
  <c r="J556" i="7941" s="1"/>
  <c r="J519" i="7941"/>
  <c r="J522" i="7941"/>
  <c r="J387" i="7941"/>
  <c r="J416" i="7941"/>
  <c r="J572" i="7941" s="1"/>
  <c r="J508" i="7941"/>
  <c r="J513" i="7941"/>
  <c r="J491" i="7941"/>
  <c r="J485" i="7941"/>
  <c r="J525" i="7941"/>
  <c r="J486" i="7941"/>
  <c r="J391" i="7941"/>
  <c r="J547" i="7941" s="1"/>
  <c r="J524" i="7941"/>
  <c r="J423" i="7941"/>
  <c r="J579" i="7941" s="1"/>
  <c r="J501" i="7941"/>
  <c r="J490" i="7941"/>
  <c r="J390" i="7941"/>
  <c r="J405" i="7941"/>
  <c r="J561" i="7941" s="1"/>
  <c r="J479" i="7941"/>
  <c r="J401" i="7941"/>
  <c r="J500" i="7941"/>
  <c r="J487" i="7941"/>
  <c r="J516" i="7941"/>
  <c r="J381" i="7941"/>
  <c r="J484" i="7941"/>
  <c r="J495" i="7941"/>
  <c r="J494" i="7941"/>
  <c r="J379" i="7941"/>
  <c r="J535" i="7941" s="1"/>
  <c r="J514" i="7941"/>
  <c r="J411" i="7941"/>
  <c r="J567" i="7941" s="1"/>
  <c r="J489" i="7941"/>
  <c r="L112" i="7941"/>
  <c r="M8" i="7941" s="1"/>
  <c r="M7" i="7941" s="1"/>
  <c r="L873" i="18"/>
  <c r="M770" i="18"/>
  <c r="M1136" i="18" s="1"/>
  <c r="J1048" i="7941"/>
  <c r="J1038" i="7941"/>
  <c r="J1027" i="7941"/>
  <c r="J1003" i="7941"/>
  <c r="J1041" i="7941"/>
  <c r="J1043" i="7941"/>
  <c r="J1026" i="7941"/>
  <c r="J1011" i="7941"/>
  <c r="J1007" i="7941"/>
  <c r="J1006" i="7941"/>
  <c r="J1030" i="7941"/>
  <c r="J1037" i="7941"/>
  <c r="J1015" i="7941"/>
  <c r="J1033" i="7941"/>
  <c r="J1013" i="7941"/>
  <c r="J1024" i="7941"/>
  <c r="J1018" i="7941"/>
  <c r="J1010" i="7941"/>
  <c r="J1004" i="7941"/>
  <c r="J1031" i="7941"/>
  <c r="J1014" i="7941"/>
  <c r="J1012" i="7941"/>
  <c r="J1025" i="7941"/>
  <c r="J1019" i="7941"/>
  <c r="J1040" i="7941"/>
  <c r="J1044" i="7941"/>
  <c r="J1035" i="7941"/>
  <c r="J1017" i="7941"/>
  <c r="J1034" i="7941"/>
  <c r="J1049" i="7941"/>
  <c r="J1020" i="7941"/>
  <c r="J1039" i="7941"/>
  <c r="J1047" i="7941"/>
  <c r="J1028" i="7941"/>
  <c r="J1022" i="7941"/>
  <c r="J1051" i="7941"/>
  <c r="J1036" i="7941"/>
  <c r="J1045" i="7941"/>
  <c r="J1008" i="7941"/>
  <c r="J1002" i="7941"/>
  <c r="J1016" i="7941"/>
  <c r="J1032" i="7941"/>
  <c r="J1042" i="7941"/>
  <c r="J1046" i="7941"/>
  <c r="J1021" i="7941"/>
  <c r="J1050" i="7941"/>
  <c r="J1005" i="7941"/>
  <c r="J1029" i="7941"/>
  <c r="J1009" i="7941"/>
  <c r="J1023" i="7941"/>
  <c r="J1102" i="7941"/>
  <c r="J1057" i="7941"/>
  <c r="J1084" i="7941"/>
  <c r="J1099" i="7941"/>
  <c r="J1060" i="7941"/>
  <c r="J983" i="7941"/>
  <c r="J1059" i="7941"/>
  <c r="J1095" i="7941"/>
  <c r="J1078" i="7941"/>
  <c r="J977" i="7941"/>
  <c r="J959" i="7941"/>
  <c r="J1055" i="7941"/>
  <c r="J1094" i="7941"/>
  <c r="J985" i="7941"/>
  <c r="J1070" i="7941"/>
  <c r="J986" i="7941"/>
  <c r="J1096" i="7941"/>
  <c r="J1058" i="7941"/>
  <c r="J999" i="7941"/>
  <c r="J1101" i="7941"/>
  <c r="J950" i="7941"/>
  <c r="J979" i="7941"/>
  <c r="J1067" i="7941"/>
  <c r="J1074" i="7941"/>
  <c r="J994" i="7941"/>
  <c r="J1150" i="7941" s="1"/>
  <c r="J971" i="7941"/>
  <c r="J1068" i="7941"/>
  <c r="J1071" i="7941"/>
  <c r="J992" i="7941"/>
  <c r="J1148" i="7941" s="1"/>
  <c r="J965" i="7941"/>
  <c r="J1092" i="7941"/>
  <c r="J996" i="7941"/>
  <c r="J1077" i="7941"/>
  <c r="J958" i="7941"/>
  <c r="J976" i="7941"/>
  <c r="J1132" i="7941" s="1"/>
  <c r="J952" i="7941"/>
  <c r="J989" i="7941"/>
  <c r="J1145" i="7941" s="1"/>
  <c r="J1093" i="7941"/>
  <c r="J1086" i="7941"/>
  <c r="J974" i="7941"/>
  <c r="J962" i="7941"/>
  <c r="J988" i="7941"/>
  <c r="J955" i="7941"/>
  <c r="J1111" i="7941" s="1"/>
  <c r="J1088" i="7941"/>
  <c r="J978" i="7941"/>
  <c r="J1098" i="7941"/>
  <c r="J1103" i="7941"/>
  <c r="J967" i="7941"/>
  <c r="J1123" i="7941" s="1"/>
  <c r="J956" i="7941"/>
  <c r="J1112" i="7941" s="1"/>
  <c r="J1090" i="7941"/>
  <c r="J1062" i="7941"/>
  <c r="J954" i="7941"/>
  <c r="J1110" i="7941" s="1"/>
  <c r="J982" i="7941"/>
  <c r="J953" i="7941"/>
  <c r="J1109" i="7941" s="1"/>
  <c r="J1065" i="7941"/>
  <c r="J1089" i="7941"/>
  <c r="J1064" i="7941"/>
  <c r="J1087" i="7941"/>
  <c r="J997" i="7941"/>
  <c r="J1153" i="7941" s="1"/>
  <c r="J1080" i="7941"/>
  <c r="J951" i="7941"/>
  <c r="J1107" i="7941" s="1"/>
  <c r="J980" i="7941"/>
  <c r="J1136" i="7941" s="1"/>
  <c r="J1063" i="7941"/>
  <c r="J1075" i="7941"/>
  <c r="J981" i="7941"/>
  <c r="J973" i="7941"/>
  <c r="J1129" i="7941" s="1"/>
  <c r="J960" i="7941"/>
  <c r="J1116" i="7941" s="1"/>
  <c r="J991" i="7941"/>
  <c r="J1147" i="7941" s="1"/>
  <c r="J961" i="7941"/>
  <c r="J1079" i="7941"/>
  <c r="J990" i="7941"/>
  <c r="J1146" i="7941" s="1"/>
  <c r="J1076" i="7941"/>
  <c r="J993" i="7941"/>
  <c r="J998" i="7941"/>
  <c r="J1154" i="7941" s="1"/>
  <c r="J1097" i="7941"/>
  <c r="J1081" i="7941"/>
  <c r="J968" i="7941"/>
  <c r="J1124" i="7941" s="1"/>
  <c r="J987" i="7941"/>
  <c r="J1069" i="7941"/>
  <c r="J1083" i="7941"/>
  <c r="J970" i="7941"/>
  <c r="J1126" i="7941" s="1"/>
  <c r="J957" i="7941"/>
  <c r="J1113" i="7941" s="1"/>
  <c r="J1100" i="7941"/>
  <c r="J1061" i="7941"/>
  <c r="J1085" i="7941"/>
  <c r="J1056" i="7941"/>
  <c r="J1091" i="7941"/>
  <c r="J969" i="7941"/>
  <c r="J972" i="7941"/>
  <c r="J1128" i="7941" s="1"/>
  <c r="J966" i="7941"/>
  <c r="J1122" i="7941" s="1"/>
  <c r="J1082" i="7941"/>
  <c r="J1072" i="7941"/>
  <c r="J1073" i="7941"/>
  <c r="J984" i="7941"/>
  <c r="J1140" i="7941" s="1"/>
  <c r="J1066" i="7941"/>
  <c r="J1054" i="7941"/>
  <c r="J964" i="7941"/>
  <c r="J1120" i="7941" s="1"/>
  <c r="J963" i="7941"/>
  <c r="J1119" i="7941" s="1"/>
  <c r="J975" i="7941"/>
  <c r="J1131" i="7941" s="1"/>
  <c r="J995" i="7941"/>
  <c r="J1151" i="7941" s="1"/>
  <c r="M1294" i="18" l="1"/>
  <c r="M1293" i="18" s="1"/>
  <c r="M1135" i="18"/>
  <c r="M114" i="7941"/>
  <c r="M874" i="18"/>
  <c r="J1155" i="7941"/>
  <c r="J1115" i="7941"/>
  <c r="J546" i="7941"/>
  <c r="J576" i="7941"/>
  <c r="J553" i="7941"/>
  <c r="J531" i="7941"/>
  <c r="J559" i="7941"/>
  <c r="J564" i="7941"/>
  <c r="J541" i="7941"/>
  <c r="J573" i="7941"/>
  <c r="J552" i="7941"/>
  <c r="J1143" i="7941"/>
  <c r="J1144" i="7941"/>
  <c r="J1114" i="7941"/>
  <c r="J1121" i="7941"/>
  <c r="J1127" i="7941"/>
  <c r="J1135" i="7941"/>
  <c r="J1141" i="7941"/>
  <c r="J1133" i="7941"/>
  <c r="J1139" i="7941"/>
  <c r="J537" i="7941"/>
  <c r="J557" i="7941"/>
  <c r="J543" i="7941"/>
  <c r="J574" i="7941"/>
  <c r="J549" i="7941"/>
  <c r="J533" i="7941"/>
  <c r="J534" i="7941"/>
  <c r="J569" i="7941"/>
  <c r="J1149" i="7941"/>
  <c r="J1137" i="7941"/>
  <c r="J1138" i="7941"/>
  <c r="J1118" i="7941"/>
  <c r="J536" i="7941"/>
  <c r="J560" i="7941"/>
  <c r="J1117" i="7941"/>
  <c r="J1134" i="7941"/>
  <c r="J1125" i="7941"/>
  <c r="J1130" i="7941"/>
  <c r="J1108" i="7941"/>
  <c r="J1152" i="7941"/>
  <c r="J1142" i="7941"/>
  <c r="J568" i="7941"/>
  <c r="J551" i="7941"/>
  <c r="J538" i="7941"/>
  <c r="J544" i="7941"/>
  <c r="J548" i="7941"/>
  <c r="J566" i="7941"/>
  <c r="J562" i="7941"/>
  <c r="J565" i="7941"/>
  <c r="J545" i="7941"/>
  <c r="J1106" i="7941"/>
  <c r="J477" i="7941"/>
  <c r="J425" i="7941"/>
  <c r="J1053" i="7941"/>
  <c r="J1001" i="7941"/>
  <c r="L111" i="7941"/>
  <c r="L322" i="7941"/>
  <c r="J949" i="7941"/>
  <c r="J373" i="7941"/>
  <c r="M1189" i="18"/>
  <c r="M769" i="18"/>
  <c r="L687" i="7941"/>
  <c r="L898" i="7941"/>
  <c r="M112" i="7941" l="1"/>
  <c r="M111" i="7941" s="1"/>
  <c r="M688" i="7941"/>
  <c r="M873" i="18"/>
  <c r="J529" i="7941"/>
  <c r="J1105" i="7941"/>
  <c r="L321" i="7941"/>
  <c r="L897" i="7941"/>
  <c r="M687" i="7941" l="1"/>
  <c r="K1045" i="7941"/>
  <c r="K1002" i="7941"/>
  <c r="K1049" i="7941"/>
  <c r="K1041" i="7941"/>
  <c r="K1026" i="7941"/>
  <c r="K1043" i="7941"/>
  <c r="K1003" i="7941"/>
  <c r="K1031" i="7941"/>
  <c r="K1029" i="7941"/>
  <c r="K1004" i="7941"/>
  <c r="K1037" i="7941"/>
  <c r="K1012" i="7941"/>
  <c r="K1036" i="7941"/>
  <c r="K1048" i="7941"/>
  <c r="K1046" i="7941"/>
  <c r="K1009" i="7941"/>
  <c r="K1014" i="7941"/>
  <c r="K1017" i="7941"/>
  <c r="K1021" i="7941"/>
  <c r="K1005" i="7941"/>
  <c r="K1018" i="7941"/>
  <c r="K1015" i="7941"/>
  <c r="K1035" i="7941"/>
  <c r="K1040" i="7941"/>
  <c r="K1023" i="7941"/>
  <c r="K1011" i="7941"/>
  <c r="K1050" i="7941"/>
  <c r="K1013" i="7941"/>
  <c r="K1038" i="7941"/>
  <c r="K1006" i="7941"/>
  <c r="K1044" i="7941"/>
  <c r="K1030" i="7941"/>
  <c r="K1024" i="7941"/>
  <c r="K1020" i="7941"/>
  <c r="K1022" i="7941"/>
  <c r="K1010" i="7941"/>
  <c r="K1019" i="7941"/>
  <c r="K1016" i="7941"/>
  <c r="K1032" i="7941"/>
  <c r="K1047" i="7941"/>
  <c r="K1034" i="7941"/>
  <c r="K1039" i="7941"/>
  <c r="K1008" i="7941"/>
  <c r="K1051" i="7941"/>
  <c r="K1033" i="7941"/>
  <c r="K1007" i="7941"/>
  <c r="K1042" i="7941"/>
  <c r="K1028" i="7941"/>
  <c r="K1027" i="7941"/>
  <c r="K1025" i="7941"/>
  <c r="K990" i="7941"/>
  <c r="K1101" i="7941"/>
  <c r="K965" i="7941"/>
  <c r="K1059" i="7941"/>
  <c r="K980" i="7941"/>
  <c r="K987" i="7941"/>
  <c r="K1143" i="7941" s="1"/>
  <c r="K967" i="7941"/>
  <c r="K1098" i="7941"/>
  <c r="K991" i="7941"/>
  <c r="K1102" i="7941"/>
  <c r="K1085" i="7941"/>
  <c r="K984" i="7941"/>
  <c r="K1094" i="7941"/>
  <c r="K958" i="7941"/>
  <c r="K1114" i="7941" s="1"/>
  <c r="K1071" i="7941"/>
  <c r="K1074" i="7941"/>
  <c r="K1063" i="7941"/>
  <c r="K976" i="7941"/>
  <c r="K1132" i="7941" s="1"/>
  <c r="K1097" i="7941"/>
  <c r="K979" i="7941"/>
  <c r="K1062" i="7941"/>
  <c r="K975" i="7941"/>
  <c r="K1131" i="7941" s="1"/>
  <c r="K1103" i="7941"/>
  <c r="K1070" i="7941"/>
  <c r="K1079" i="7941"/>
  <c r="K989" i="7941"/>
  <c r="K1145" i="7941" s="1"/>
  <c r="K1061" i="7941"/>
  <c r="K1099" i="7941"/>
  <c r="K964" i="7941"/>
  <c r="K992" i="7941"/>
  <c r="K1148" i="7941" s="1"/>
  <c r="K1083" i="7941"/>
  <c r="K1060" i="7941"/>
  <c r="K994" i="7941"/>
  <c r="K1150" i="7941" s="1"/>
  <c r="K1068" i="7941"/>
  <c r="K1075" i="7941"/>
  <c r="K963" i="7941"/>
  <c r="K1093" i="7941"/>
  <c r="K1058" i="7941"/>
  <c r="K999" i="7941"/>
  <c r="K1155" i="7941" s="1"/>
  <c r="K1090" i="7941"/>
  <c r="K996" i="7941"/>
  <c r="K969" i="7941"/>
  <c r="K1125" i="7941" s="1"/>
  <c r="K1087" i="7941"/>
  <c r="K950" i="7941"/>
  <c r="K1077" i="7941"/>
  <c r="K1054" i="7941"/>
  <c r="K1064" i="7941"/>
  <c r="K1065" i="7941"/>
  <c r="K1080" i="7941"/>
  <c r="K955" i="7941"/>
  <c r="K1111" i="7941" s="1"/>
  <c r="K959" i="7941"/>
  <c r="K1115" i="7941" s="1"/>
  <c r="K983" i="7941"/>
  <c r="K966" i="7941"/>
  <c r="K1122" i="7941" s="1"/>
  <c r="K952" i="7941"/>
  <c r="K982" i="7941"/>
  <c r="K1138" i="7941" s="1"/>
  <c r="K970" i="7941"/>
  <c r="K1126" i="7941" s="1"/>
  <c r="K1055" i="7941"/>
  <c r="K1056" i="7941"/>
  <c r="K1067" i="7941"/>
  <c r="K977" i="7941"/>
  <c r="K1096" i="7941"/>
  <c r="K972" i="7941"/>
  <c r="K1128" i="7941" s="1"/>
  <c r="K995" i="7941"/>
  <c r="K1151" i="7941" s="1"/>
  <c r="K1091" i="7941"/>
  <c r="K986" i="7941"/>
  <c r="K1142" i="7941" s="1"/>
  <c r="K1084" i="7941"/>
  <c r="K1100" i="7941"/>
  <c r="K974" i="7941"/>
  <c r="K957" i="7941"/>
  <c r="K997" i="7941"/>
  <c r="K1153" i="7941" s="1"/>
  <c r="K961" i="7941"/>
  <c r="K1117" i="7941" s="1"/>
  <c r="K1073" i="7941"/>
  <c r="K1086" i="7941"/>
  <c r="K1078" i="7941"/>
  <c r="K1092" i="7941"/>
  <c r="K953" i="7941"/>
  <c r="K971" i="7941"/>
  <c r="K1066" i="7941"/>
  <c r="K1076" i="7941"/>
  <c r="K1089" i="7941"/>
  <c r="K1081" i="7941"/>
  <c r="K988" i="7941"/>
  <c r="K1144" i="7941" s="1"/>
  <c r="K981" i="7941"/>
  <c r="K1137" i="7941" s="1"/>
  <c r="K1088" i="7941"/>
  <c r="K1069" i="7941"/>
  <c r="K978" i="7941"/>
  <c r="K1134" i="7941" s="1"/>
  <c r="K998" i="7941"/>
  <c r="K1154" i="7941" s="1"/>
  <c r="K951" i="7941"/>
  <c r="K960" i="7941"/>
  <c r="K956" i="7941"/>
  <c r="K1112" i="7941" s="1"/>
  <c r="K1072" i="7941"/>
  <c r="K962" i="7941"/>
  <c r="K1095" i="7941"/>
  <c r="K973" i="7941"/>
  <c r="K1129" i="7941" s="1"/>
  <c r="K1057" i="7941"/>
  <c r="K968" i="7941"/>
  <c r="K1082" i="7941"/>
  <c r="K954" i="7941"/>
  <c r="K1110" i="7941" s="1"/>
  <c r="K993" i="7941"/>
  <c r="K1149" i="7941" s="1"/>
  <c r="K985" i="7941"/>
  <c r="K1141" i="7941" s="1"/>
  <c r="K440" i="7941"/>
  <c r="K466" i="7941"/>
  <c r="K462" i="7941"/>
  <c r="K429" i="7941"/>
  <c r="K445" i="7941"/>
  <c r="K430" i="7941"/>
  <c r="K446" i="7941"/>
  <c r="K436" i="7941"/>
  <c r="K428" i="7941"/>
  <c r="K439" i="7941"/>
  <c r="K455" i="7941"/>
  <c r="K444" i="7941"/>
  <c r="K433" i="7941"/>
  <c r="K461" i="7941"/>
  <c r="K467" i="7941"/>
  <c r="K457" i="7941"/>
  <c r="K437" i="7941"/>
  <c r="K435" i="7941"/>
  <c r="K470" i="7941"/>
  <c r="K431" i="7941"/>
  <c r="K447" i="7941"/>
  <c r="K459" i="7941"/>
  <c r="K434" i="7941"/>
  <c r="K452" i="7941"/>
  <c r="K460" i="7941"/>
  <c r="K453" i="7941"/>
  <c r="K438" i="7941"/>
  <c r="K468" i="7941"/>
  <c r="K456" i="7941"/>
  <c r="K432" i="7941"/>
  <c r="K475" i="7941"/>
  <c r="K448" i="7941"/>
  <c r="K472" i="7941"/>
  <c r="K471" i="7941"/>
  <c r="K465" i="7941"/>
  <c r="K463" i="7941"/>
  <c r="K469" i="7941"/>
  <c r="K441" i="7941"/>
  <c r="K473" i="7941"/>
  <c r="K454" i="7941"/>
  <c r="K426" i="7941"/>
  <c r="K450" i="7941"/>
  <c r="K464" i="7941"/>
  <c r="K451" i="7941"/>
  <c r="K443" i="7941"/>
  <c r="K458" i="7941"/>
  <c r="K427" i="7941"/>
  <c r="K449" i="7941"/>
  <c r="K442" i="7941"/>
  <c r="K474" i="7941"/>
  <c r="K384" i="7941"/>
  <c r="K484" i="7941"/>
  <c r="K376" i="7941"/>
  <c r="K525" i="7941"/>
  <c r="K483" i="7941"/>
  <c r="K388" i="7941"/>
  <c r="K392" i="7941"/>
  <c r="K515" i="7941"/>
  <c r="K522" i="7941"/>
  <c r="K383" i="7941"/>
  <c r="K381" i="7941"/>
  <c r="K501" i="7941"/>
  <c r="K379" i="7941"/>
  <c r="K535" i="7941" s="1"/>
  <c r="K479" i="7941"/>
  <c r="K504" i="7941"/>
  <c r="K518" i="7941"/>
  <c r="K405" i="7941"/>
  <c r="K513" i="7941"/>
  <c r="K396" i="7941"/>
  <c r="K498" i="7941"/>
  <c r="K480" i="7941"/>
  <c r="K499" i="7941"/>
  <c r="K401" i="7941"/>
  <c r="K508" i="7941"/>
  <c r="K497" i="7941"/>
  <c r="K413" i="7941"/>
  <c r="K500" i="7941"/>
  <c r="K421" i="7941"/>
  <c r="K577" i="7941" s="1"/>
  <c r="K510" i="7941"/>
  <c r="K395" i="7941"/>
  <c r="K551" i="7941" s="1"/>
  <c r="K478" i="7941"/>
  <c r="K410" i="7941"/>
  <c r="K566" i="7941" s="1"/>
  <c r="K393" i="7941"/>
  <c r="K549" i="7941" s="1"/>
  <c r="K414" i="7941"/>
  <c r="K417" i="7941"/>
  <c r="K485" i="7941"/>
  <c r="K495" i="7941"/>
  <c r="K403" i="7941"/>
  <c r="K402" i="7941"/>
  <c r="K415" i="7941"/>
  <c r="K520" i="7941"/>
  <c r="K486" i="7941"/>
  <c r="K527" i="7941"/>
  <c r="K419" i="7941"/>
  <c r="K575" i="7941" s="1"/>
  <c r="K404" i="7941"/>
  <c r="K389" i="7941"/>
  <c r="K409" i="7941"/>
  <c r="K565" i="7941" s="1"/>
  <c r="K509" i="7941"/>
  <c r="K521" i="7941"/>
  <c r="K524" i="7941"/>
  <c r="K378" i="7941"/>
  <c r="K374" i="7941"/>
  <c r="K530" i="7941" s="1"/>
  <c r="K506" i="7941"/>
  <c r="K382" i="7941"/>
  <c r="K538" i="7941" s="1"/>
  <c r="K481" i="7941"/>
  <c r="K505" i="7941"/>
  <c r="K416" i="7941"/>
  <c r="K572" i="7941" s="1"/>
  <c r="K487" i="7941"/>
  <c r="K517" i="7941"/>
  <c r="K399" i="7941"/>
  <c r="K555" i="7941" s="1"/>
  <c r="K411" i="7941"/>
  <c r="K567" i="7941" s="1"/>
  <c r="K390" i="7941"/>
  <c r="K422" i="7941"/>
  <c r="K394" i="7941"/>
  <c r="K550" i="7941" s="1"/>
  <c r="K420" i="7941"/>
  <c r="K576" i="7941" s="1"/>
  <c r="K523" i="7941"/>
  <c r="K492" i="7941"/>
  <c r="K418" i="7941"/>
  <c r="K574" i="7941" s="1"/>
  <c r="K511" i="7941"/>
  <c r="K397" i="7941"/>
  <c r="K398" i="7941"/>
  <c r="K494" i="7941"/>
  <c r="K377" i="7941"/>
  <c r="K533" i="7941" s="1"/>
  <c r="K514" i="7941"/>
  <c r="K385" i="7941"/>
  <c r="K541" i="7941" s="1"/>
  <c r="K491" i="7941"/>
  <c r="K423" i="7941"/>
  <c r="K579" i="7941" s="1"/>
  <c r="K391" i="7941"/>
  <c r="K503" i="7941"/>
  <c r="K502" i="7941"/>
  <c r="K408" i="7941"/>
  <c r="K564" i="7941" s="1"/>
  <c r="K489" i="7941"/>
  <c r="K512" i="7941"/>
  <c r="K496" i="7941"/>
  <c r="K406" i="7941"/>
  <c r="K562" i="7941" s="1"/>
  <c r="K490" i="7941"/>
  <c r="K526" i="7941"/>
  <c r="K375" i="7941"/>
  <c r="K531" i="7941" s="1"/>
  <c r="K519" i="7941"/>
  <c r="K387" i="7941"/>
  <c r="K380" i="7941"/>
  <c r="K536" i="7941" s="1"/>
  <c r="K412" i="7941"/>
  <c r="K568" i="7941" s="1"/>
  <c r="K407" i="7941"/>
  <c r="K563" i="7941" s="1"/>
  <c r="K507" i="7941"/>
  <c r="K493" i="7941"/>
  <c r="K400" i="7941"/>
  <c r="K556" i="7941" s="1"/>
  <c r="K516" i="7941"/>
  <c r="K386" i="7941"/>
  <c r="K542" i="7941" s="1"/>
  <c r="K488" i="7941"/>
  <c r="K482" i="7941"/>
  <c r="K554" i="7941" l="1"/>
  <c r="K578" i="7941"/>
  <c r="K534" i="7941"/>
  <c r="K558" i="7941"/>
  <c r="K573" i="7941"/>
  <c r="K557" i="7941"/>
  <c r="K552" i="7941"/>
  <c r="K537" i="7941"/>
  <c r="K548" i="7941"/>
  <c r="K532" i="7941"/>
  <c r="K1116" i="7941"/>
  <c r="K1127" i="7941"/>
  <c r="K1113" i="7941"/>
  <c r="K1152" i="7941"/>
  <c r="K1120" i="7941"/>
  <c r="K1147" i="7941"/>
  <c r="K1136" i="7941"/>
  <c r="K1146" i="7941"/>
  <c r="K543" i="7941"/>
  <c r="K547" i="7941"/>
  <c r="K553" i="7941"/>
  <c r="K546" i="7941"/>
  <c r="K545" i="7941"/>
  <c r="K559" i="7941"/>
  <c r="K570" i="7941"/>
  <c r="K569" i="7941"/>
  <c r="K539" i="7941"/>
  <c r="K544" i="7941"/>
  <c r="K1124" i="7941"/>
  <c r="K1118" i="7941"/>
  <c r="K1107" i="7941"/>
  <c r="K1109" i="7941"/>
  <c r="K1130" i="7941"/>
  <c r="K1133" i="7941"/>
  <c r="K1139" i="7941"/>
  <c r="K1119" i="7941"/>
  <c r="K1135" i="7941"/>
  <c r="K1140" i="7941"/>
  <c r="K560" i="7941"/>
  <c r="K561" i="7941"/>
  <c r="K540" i="7941"/>
  <c r="K1123" i="7941"/>
  <c r="K1121" i="7941"/>
  <c r="K571" i="7941"/>
  <c r="K1108" i="7941"/>
  <c r="K1106" i="7941"/>
  <c r="K477" i="7941"/>
  <c r="K425" i="7941"/>
  <c r="K949" i="7941"/>
  <c r="K1001" i="7941"/>
  <c r="K373" i="7941"/>
  <c r="K1053" i="7941"/>
  <c r="K1105" i="7941" l="1"/>
  <c r="K529" i="7941"/>
  <c r="M391" i="1" l="1"/>
  <c r="M9" i="7942" l="1"/>
  <c r="M392" i="1"/>
  <c r="M515" i="7942" l="1"/>
  <c r="M511" i="7942"/>
  <c r="M445" i="7942"/>
  <c r="M501" i="7942"/>
  <c r="M517" i="7942"/>
  <c r="M491" i="7942"/>
  <c r="M521" i="7942"/>
  <c r="M469" i="7942"/>
  <c r="M489" i="7942"/>
  <c r="M527" i="7942"/>
  <c r="M503" i="7942"/>
  <c r="M441" i="7942"/>
  <c r="M523" i="7942"/>
  <c r="M481" i="7942"/>
  <c r="M449" i="7942"/>
  <c r="M493" i="7942"/>
  <c r="M529" i="7942"/>
  <c r="M471" i="7942"/>
  <c r="M525" i="7942"/>
  <c r="M495" i="7942"/>
  <c r="M461" i="7942"/>
  <c r="M483" i="7942"/>
  <c r="M477" i="7942"/>
  <c r="M499" i="7942"/>
  <c r="M475" i="7942"/>
  <c r="M487" i="7942"/>
  <c r="M439" i="7942"/>
  <c r="M513" i="7942"/>
  <c r="M509" i="7942"/>
  <c r="M443" i="7942"/>
  <c r="M453" i="7942"/>
  <c r="M485" i="7942"/>
  <c r="M507" i="7942"/>
  <c r="M505" i="7942"/>
  <c r="M437" i="7942"/>
  <c r="M473" i="7942"/>
  <c r="M519" i="7942"/>
  <c r="M497" i="7942"/>
  <c r="M447" i="7942"/>
  <c r="M465" i="7942"/>
  <c r="M463" i="7942"/>
  <c r="M455" i="7942"/>
  <c r="M457" i="7942"/>
  <c r="M479" i="7942"/>
  <c r="M451" i="7942"/>
  <c r="M467" i="7942"/>
  <c r="M459" i="7942"/>
  <c r="M433" i="7942"/>
  <c r="M435" i="7942"/>
  <c r="M431" i="7942"/>
  <c r="M53" i="18"/>
  <c r="M863" i="18" s="1"/>
  <c r="M54" i="18"/>
  <c r="M864" i="18" s="1"/>
  <c r="M55" i="18"/>
  <c r="M865" i="18" s="1"/>
  <c r="M44" i="18"/>
  <c r="M854" i="18" s="1"/>
  <c r="M60" i="18"/>
  <c r="M870" i="18" s="1"/>
  <c r="M35" i="18"/>
  <c r="M845" i="18" s="1"/>
  <c r="M29" i="18"/>
  <c r="M839" i="18" s="1"/>
  <c r="M61" i="18"/>
  <c r="M871" i="18" s="1"/>
  <c r="M34" i="18"/>
  <c r="M844" i="18" s="1"/>
  <c r="M32" i="18"/>
  <c r="M842" i="18" s="1"/>
  <c r="M94" i="18"/>
  <c r="M1272" i="18" s="1"/>
  <c r="M106" i="18"/>
  <c r="M1284" i="18" s="1"/>
  <c r="M78" i="18"/>
  <c r="M1256" i="18" s="1"/>
  <c r="M90" i="18"/>
  <c r="M1268" i="18" s="1"/>
  <c r="M98" i="18"/>
  <c r="M1276" i="18" s="1"/>
  <c r="M104" i="18"/>
  <c r="M1282" i="18" s="1"/>
  <c r="M110" i="18"/>
  <c r="M1288" i="18" s="1"/>
  <c r="M81" i="18"/>
  <c r="M1259" i="18" s="1"/>
  <c r="M93" i="18"/>
  <c r="M1271" i="18" s="1"/>
  <c r="M97" i="18"/>
  <c r="M1275" i="18" s="1"/>
  <c r="M101" i="18"/>
  <c r="M1279" i="18" s="1"/>
  <c r="M105" i="18"/>
  <c r="M1283" i="18" s="1"/>
  <c r="M109" i="18"/>
  <c r="M1287" i="18" s="1"/>
  <c r="M113" i="18"/>
  <c r="M1291" i="18" s="1"/>
  <c r="M91" i="18"/>
  <c r="M1269" i="18" s="1"/>
  <c r="M80" i="18"/>
  <c r="M1258" i="18" s="1"/>
  <c r="M86" i="18"/>
  <c r="M1264" i="18" s="1"/>
  <c r="M79" i="18"/>
  <c r="M1257" i="18" s="1"/>
  <c r="M85" i="18"/>
  <c r="M1263" i="18" s="1"/>
  <c r="N383" i="18"/>
  <c r="N388" i="18" s="1"/>
  <c r="N617" i="18"/>
  <c r="N622" i="18" s="1"/>
  <c r="N578" i="18"/>
  <c r="N583" i="18" s="1"/>
  <c r="N734" i="18"/>
  <c r="N739" i="18" s="1"/>
  <c r="N435" i="18"/>
  <c r="N440" i="18" s="1"/>
  <c r="N448" i="18"/>
  <c r="N453" i="18" s="1"/>
  <c r="M57" i="18"/>
  <c r="M867" i="18" s="1"/>
  <c r="M42" i="18"/>
  <c r="M852" i="18" s="1"/>
  <c r="M58" i="18"/>
  <c r="M868" i="18" s="1"/>
  <c r="M43" i="18"/>
  <c r="M853" i="18" s="1"/>
  <c r="M59" i="18"/>
  <c r="M869" i="18" s="1"/>
  <c r="M48" i="18"/>
  <c r="M858" i="18" s="1"/>
  <c r="M28" i="18"/>
  <c r="M838" i="18" s="1"/>
  <c r="M33" i="18"/>
  <c r="M843" i="18" s="1"/>
  <c r="M39" i="18"/>
  <c r="M849" i="18" s="1"/>
  <c r="M38" i="18"/>
  <c r="M848" i="18" s="1"/>
  <c r="N513" i="18"/>
  <c r="N518" i="18" s="1"/>
  <c r="N669" i="18"/>
  <c r="N674" i="18" s="1"/>
  <c r="N305" i="18"/>
  <c r="N310" i="18" s="1"/>
  <c r="N461" i="18"/>
  <c r="N466" i="18" s="1"/>
  <c r="N565" i="18"/>
  <c r="N570" i="18" s="1"/>
  <c r="N643" i="18"/>
  <c r="N648" i="18" s="1"/>
  <c r="N721" i="18"/>
  <c r="N726" i="18" s="1"/>
  <c r="N344" i="18"/>
  <c r="N349" i="18" s="1"/>
  <c r="N500" i="18"/>
  <c r="N505" i="18" s="1"/>
  <c r="N552" i="18"/>
  <c r="N557" i="18" s="1"/>
  <c r="N604" i="18"/>
  <c r="N609" i="18" s="1"/>
  <c r="N656" i="18"/>
  <c r="N661" i="18" s="1"/>
  <c r="N708" i="18"/>
  <c r="N713" i="18" s="1"/>
  <c r="N760" i="18"/>
  <c r="N765" i="18" s="1"/>
  <c r="N474" i="18"/>
  <c r="N479" i="18" s="1"/>
  <c r="N331" i="18"/>
  <c r="N336" i="18" s="1"/>
  <c r="N409" i="18"/>
  <c r="N414" i="18" s="1"/>
  <c r="N318" i="18"/>
  <c r="N323" i="18" s="1"/>
  <c r="N396" i="18"/>
  <c r="N401" i="18" s="1"/>
  <c r="M8" i="7942"/>
  <c r="N747" i="18"/>
  <c r="N752" i="18" s="1"/>
  <c r="N539" i="18"/>
  <c r="N544" i="18" s="1"/>
  <c r="N422" i="18"/>
  <c r="N427" i="18" s="1"/>
  <c r="N526" i="18"/>
  <c r="N531" i="18" s="1"/>
  <c r="N682" i="18"/>
  <c r="N687" i="18" s="1"/>
  <c r="N357" i="18"/>
  <c r="N362" i="18" s="1"/>
  <c r="N370" i="18"/>
  <c r="N375" i="18" s="1"/>
  <c r="M45" i="18"/>
  <c r="M855" i="18" s="1"/>
  <c r="M46" i="18"/>
  <c r="M856" i="18" s="1"/>
  <c r="M47" i="18"/>
  <c r="M857" i="18" s="1"/>
  <c r="M52" i="18"/>
  <c r="M862" i="18" s="1"/>
  <c r="M36" i="18"/>
  <c r="M846" i="18" s="1"/>
  <c r="M37" i="18"/>
  <c r="M847" i="18" s="1"/>
  <c r="M26" i="18"/>
  <c r="M836" i="18" s="1"/>
  <c r="M31" i="18"/>
  <c r="M841" i="18" s="1"/>
  <c r="M100" i="18"/>
  <c r="M1278" i="18" s="1"/>
  <c r="M112" i="18"/>
  <c r="M1290" i="18" s="1"/>
  <c r="M84" i="18"/>
  <c r="M1262" i="18" s="1"/>
  <c r="M96" i="18"/>
  <c r="M1274" i="18" s="1"/>
  <c r="M102" i="18"/>
  <c r="M1280" i="18" s="1"/>
  <c r="M108" i="18"/>
  <c r="M1286" i="18" s="1"/>
  <c r="M87" i="18"/>
  <c r="M1265" i="18" s="1"/>
  <c r="M95" i="18"/>
  <c r="M1273" i="18" s="1"/>
  <c r="M99" i="18"/>
  <c r="M1277" i="18" s="1"/>
  <c r="M103" i="18"/>
  <c r="M1281" i="18" s="1"/>
  <c r="M107" i="18"/>
  <c r="M1285" i="18" s="1"/>
  <c r="M111" i="18"/>
  <c r="M1289" i="18" s="1"/>
  <c r="M92" i="18"/>
  <c r="M1270" i="18" s="1"/>
  <c r="M82" i="18"/>
  <c r="M1260" i="18" s="1"/>
  <c r="M88" i="18"/>
  <c r="M1266" i="18" s="1"/>
  <c r="M83" i="18"/>
  <c r="M1261" i="18" s="1"/>
  <c r="M89" i="18"/>
  <c r="M1267" i="18" s="1"/>
  <c r="M49" i="18"/>
  <c r="M859" i="18" s="1"/>
  <c r="M50" i="18"/>
  <c r="M860" i="18" s="1"/>
  <c r="M51" i="18"/>
  <c r="M861" i="18" s="1"/>
  <c r="M56" i="18"/>
  <c r="M866" i="18" s="1"/>
  <c r="M40" i="18"/>
  <c r="M850" i="18" s="1"/>
  <c r="M41" i="18"/>
  <c r="M851" i="18" s="1"/>
  <c r="M30" i="18"/>
  <c r="M840" i="18" s="1"/>
  <c r="M27" i="18"/>
  <c r="M837" i="18" s="1"/>
  <c r="N591" i="18"/>
  <c r="N596" i="18" s="1"/>
  <c r="N695" i="18"/>
  <c r="N700" i="18" s="1"/>
  <c r="N630" i="18"/>
  <c r="N635" i="18" s="1"/>
  <c r="N487" i="18"/>
  <c r="N492" i="18" s="1"/>
  <c r="O474" i="18"/>
  <c r="O578" i="18"/>
  <c r="P578" i="18" s="1"/>
  <c r="Q578" i="18" s="1"/>
  <c r="O721" i="18"/>
  <c r="O747" i="18"/>
  <c r="O331" i="18"/>
  <c r="O630" i="18"/>
  <c r="O305" i="18"/>
  <c r="P305" i="18" s="1"/>
  <c r="Q305" i="18" s="1"/>
  <c r="O435" i="18"/>
  <c r="P435" i="18" s="1"/>
  <c r="Q435" i="18" s="1"/>
  <c r="O669" i="18"/>
  <c r="O604" i="18"/>
  <c r="P604" i="18" s="1"/>
  <c r="Q604" i="18" s="1"/>
  <c r="O708" i="18"/>
  <c r="P708" i="18" s="1"/>
  <c r="Q708" i="18" s="1"/>
  <c r="O370" i="18"/>
  <c r="P370" i="18" s="1"/>
  <c r="Q370" i="18" s="1"/>
  <c r="O422" i="18"/>
  <c r="O513" i="18"/>
  <c r="P513" i="18" s="1"/>
  <c r="O396" i="18"/>
  <c r="P396" i="18" s="1"/>
  <c r="Q396" i="18" s="1"/>
  <c r="O409" i="18"/>
  <c r="O682" i="18"/>
  <c r="O500" i="18"/>
  <c r="P500" i="18" s="1"/>
  <c r="Q500" i="18" s="1"/>
  <c r="O565" i="18"/>
  <c r="P565" i="18" s="1"/>
  <c r="Q565" i="18" s="1"/>
  <c r="O383" i="18"/>
  <c r="P383" i="18" s="1"/>
  <c r="Q383" i="18" s="1"/>
  <c r="P747" i="18"/>
  <c r="P474" i="18"/>
  <c r="Q474" i="18" s="1"/>
  <c r="P630" i="18"/>
  <c r="Q630" i="18" s="1"/>
  <c r="I11" i="7949"/>
  <c r="P721" i="18"/>
  <c r="Q721" i="18" s="1"/>
  <c r="P422" i="18"/>
  <c r="Q422" i="18" s="1"/>
  <c r="P409" i="18"/>
  <c r="Q409" i="18" s="1"/>
  <c r="P682" i="18"/>
  <c r="Q682" i="18" s="1"/>
  <c r="O591" i="18" l="1"/>
  <c r="P591" i="18" s="1"/>
  <c r="Q513" i="18"/>
  <c r="O344" i="18"/>
  <c r="P344" i="18" s="1"/>
  <c r="Q344" i="18" s="1"/>
  <c r="O734" i="18"/>
  <c r="P734" i="18" s="1"/>
  <c r="Q734" i="18" s="1"/>
  <c r="O656" i="18"/>
  <c r="P656" i="18" s="1"/>
  <c r="O487" i="18"/>
  <c r="O526" i="18"/>
  <c r="P526" i="18" s="1"/>
  <c r="O461" i="18"/>
  <c r="P461" i="18" s="1"/>
  <c r="P487" i="18"/>
  <c r="Q487" i="18" s="1"/>
  <c r="P331" i="18"/>
  <c r="Q331" i="18" s="1"/>
  <c r="Q591" i="18"/>
  <c r="Q747" i="18"/>
  <c r="O357" i="18"/>
  <c r="O362" i="18" s="1"/>
  <c r="O318" i="18"/>
  <c r="P318" i="18" s="1"/>
  <c r="O695" i="18"/>
  <c r="P669" i="18"/>
  <c r="Q669" i="18" s="1"/>
  <c r="O539" i="18"/>
  <c r="P539" i="18" s="1"/>
  <c r="O643" i="18"/>
  <c r="P695" i="18"/>
  <c r="Q695" i="18" s="1"/>
  <c r="O617" i="18"/>
  <c r="O552" i="18"/>
  <c r="P552" i="18" s="1"/>
  <c r="O760" i="18"/>
  <c r="P760" i="18" s="1"/>
  <c r="O448" i="18"/>
  <c r="I1159" i="7949"/>
  <c r="I997" i="7949"/>
  <c r="I1429" i="7949"/>
  <c r="I2563" i="7949"/>
  <c r="I1915" i="7949"/>
  <c r="I943" i="7949"/>
  <c r="I2293" i="7949"/>
  <c r="I781" i="7949"/>
  <c r="I2671" i="7949"/>
  <c r="I2509" i="7949"/>
  <c r="I2023" i="7949"/>
  <c r="I1591" i="7949"/>
  <c r="I1321" i="7949"/>
  <c r="I1861" i="7949"/>
  <c r="I835" i="7949"/>
  <c r="I1267" i="7949"/>
  <c r="I2131" i="7949"/>
  <c r="I1699" i="7949"/>
  <c r="I1537" i="7949"/>
  <c r="I1375" i="7949"/>
  <c r="I1213" i="7949"/>
  <c r="I2347" i="7949"/>
  <c r="I1051" i="7949"/>
  <c r="I2185" i="7949"/>
  <c r="I1105" i="7949"/>
  <c r="I2401" i="7949"/>
  <c r="I1753" i="7949"/>
  <c r="I889" i="7949"/>
  <c r="I1969" i="7949"/>
  <c r="I2239" i="7949"/>
  <c r="I1807" i="7949"/>
  <c r="I2617" i="7949"/>
  <c r="I2077" i="7949"/>
  <c r="I1645" i="7949"/>
  <c r="I2455" i="7949"/>
  <c r="I1483" i="7949"/>
  <c r="N1543" i="18"/>
  <c r="N1123" i="18"/>
  <c r="O635" i="18"/>
  <c r="P635" i="18" s="1"/>
  <c r="Q635" i="18" s="1"/>
  <c r="M78" i="7941"/>
  <c r="N788" i="18"/>
  <c r="M99" i="7941"/>
  <c r="N809" i="18"/>
  <c r="M655" i="7941"/>
  <c r="N1209" i="18"/>
  <c r="M683" i="7941"/>
  <c r="N1237" i="18"/>
  <c r="M667" i="7941"/>
  <c r="N1221" i="18"/>
  <c r="M668" i="7941"/>
  <c r="N1222" i="18"/>
  <c r="M79" i="7941"/>
  <c r="N789" i="18"/>
  <c r="M100" i="7941"/>
  <c r="N810" i="18"/>
  <c r="N1523" i="18"/>
  <c r="N1103" i="18"/>
  <c r="O375" i="18"/>
  <c r="P375" i="18" s="1"/>
  <c r="N1107" i="18"/>
  <c r="N1527" i="18"/>
  <c r="O427" i="18"/>
  <c r="P427" i="18" s="1"/>
  <c r="N1105" i="18"/>
  <c r="O401" i="18"/>
  <c r="N1525" i="18"/>
  <c r="N1111" i="18"/>
  <c r="O479" i="18"/>
  <c r="P479" i="18" s="1"/>
  <c r="N1531" i="18"/>
  <c r="N1121" i="18"/>
  <c r="O609" i="18"/>
  <c r="P609" i="18" s="1"/>
  <c r="Q609" i="18" s="1"/>
  <c r="N1541" i="18"/>
  <c r="O726" i="18"/>
  <c r="P726" i="18" s="1"/>
  <c r="N1550" i="18"/>
  <c r="N1130" i="18"/>
  <c r="N1518" i="18"/>
  <c r="O310" i="18"/>
  <c r="P310" i="18" s="1"/>
  <c r="N1098" i="18"/>
  <c r="M87" i="7941"/>
  <c r="N797" i="18"/>
  <c r="M107" i="7941"/>
  <c r="N817" i="18"/>
  <c r="M105" i="7941"/>
  <c r="N815" i="18"/>
  <c r="N1119" i="18"/>
  <c r="N1539" i="18"/>
  <c r="O583" i="18"/>
  <c r="P583" i="18" s="1"/>
  <c r="M651" i="7941"/>
  <c r="N1205" i="18"/>
  <c r="M685" i="7941"/>
  <c r="N1239" i="18"/>
  <c r="M669" i="7941"/>
  <c r="N1223" i="18"/>
  <c r="M676" i="7941"/>
  <c r="N1230" i="18"/>
  <c r="M678" i="7941"/>
  <c r="N1232" i="18"/>
  <c r="M109" i="7941"/>
  <c r="N819" i="18"/>
  <c r="M92" i="7941"/>
  <c r="N802" i="18"/>
  <c r="M434" i="7942"/>
  <c r="N433" i="7942"/>
  <c r="N434" i="7942" s="1"/>
  <c r="N479" i="7942"/>
  <c r="N480" i="7942" s="1"/>
  <c r="M480" i="7942"/>
  <c r="N465" i="7942"/>
  <c r="N466" i="7942" s="1"/>
  <c r="M466" i="7942"/>
  <c r="M474" i="7942"/>
  <c r="N473" i="7942"/>
  <c r="O473" i="7942" s="1"/>
  <c r="N485" i="7942"/>
  <c r="N486" i="7942" s="1"/>
  <c r="M486" i="7942"/>
  <c r="M514" i="7942"/>
  <c r="N513" i="7942"/>
  <c r="N514" i="7942" s="1"/>
  <c r="M500" i="7942"/>
  <c r="N499" i="7942"/>
  <c r="N500" i="7942" s="1"/>
  <c r="N495" i="7942"/>
  <c r="N496" i="7942" s="1"/>
  <c r="M496" i="7942"/>
  <c r="M494" i="7942"/>
  <c r="N493" i="7942"/>
  <c r="O493" i="7942" s="1"/>
  <c r="M442" i="7942"/>
  <c r="N441" i="7942"/>
  <c r="O441" i="7942" s="1"/>
  <c r="O442" i="7942" s="1"/>
  <c r="M470" i="7942"/>
  <c r="N469" i="7942"/>
  <c r="N470" i="7942" s="1"/>
  <c r="M502" i="7942"/>
  <c r="N501" i="7942"/>
  <c r="N502" i="7942" s="1"/>
  <c r="N1128" i="18"/>
  <c r="O700" i="18"/>
  <c r="N1548" i="18"/>
  <c r="M89" i="7941"/>
  <c r="N799" i="18"/>
  <c r="M98" i="7941"/>
  <c r="N808" i="18"/>
  <c r="M660" i="7941"/>
  <c r="N1214" i="18"/>
  <c r="M679" i="7941"/>
  <c r="N1233" i="18"/>
  <c r="M659" i="7941"/>
  <c r="N1213" i="18"/>
  <c r="M656" i="7941"/>
  <c r="N1210" i="18"/>
  <c r="M74" i="7941"/>
  <c r="N784" i="18"/>
  <c r="M95" i="7941"/>
  <c r="N805" i="18"/>
  <c r="N1522" i="18"/>
  <c r="N1102" i="18"/>
  <c r="N1536" i="18"/>
  <c r="N1116" i="18"/>
  <c r="N1099" i="18"/>
  <c r="N1519" i="18"/>
  <c r="N1133" i="18"/>
  <c r="N1553" i="18"/>
  <c r="O765" i="18"/>
  <c r="N1537" i="18"/>
  <c r="N1117" i="18"/>
  <c r="N1124" i="18"/>
  <c r="O648" i="18"/>
  <c r="N1544" i="18"/>
  <c r="N1126" i="18"/>
  <c r="O674" i="18"/>
  <c r="P674" i="18" s="1"/>
  <c r="N1546" i="18"/>
  <c r="M81" i="7941"/>
  <c r="N791" i="18"/>
  <c r="M91" i="7941"/>
  <c r="N801" i="18"/>
  <c r="O453" i="18"/>
  <c r="N1109" i="18"/>
  <c r="N1529" i="18"/>
  <c r="N1122" i="18"/>
  <c r="O622" i="18"/>
  <c r="N1542" i="18"/>
  <c r="M658" i="7941"/>
  <c r="N1212" i="18"/>
  <c r="M681" i="7941"/>
  <c r="N1235" i="18"/>
  <c r="M665" i="7941"/>
  <c r="N1219" i="18"/>
  <c r="M670" i="7941"/>
  <c r="N1224" i="18"/>
  <c r="M666" i="7941"/>
  <c r="N1220" i="18"/>
  <c r="M77" i="7941"/>
  <c r="N787" i="18"/>
  <c r="M103" i="7941"/>
  <c r="N813" i="18"/>
  <c r="N459" i="7942"/>
  <c r="M460" i="7942"/>
  <c r="N457" i="7942"/>
  <c r="N458" i="7942" s="1"/>
  <c r="M458" i="7942"/>
  <c r="M448" i="7942"/>
  <c r="N447" i="7942"/>
  <c r="O447" i="7942" s="1"/>
  <c r="M438" i="7942"/>
  <c r="N437" i="7942"/>
  <c r="N438" i="7942" s="1"/>
  <c r="M454" i="7942"/>
  <c r="N453" i="7942"/>
  <c r="N454" i="7942" s="1"/>
  <c r="M440" i="7942"/>
  <c r="N439" i="7942"/>
  <c r="N440" i="7942" s="1"/>
  <c r="M478" i="7942"/>
  <c r="N477" i="7942"/>
  <c r="N478" i="7942" s="1"/>
  <c r="M526" i="7942"/>
  <c r="N525" i="7942"/>
  <c r="O525" i="7942" s="1"/>
  <c r="M450" i="7942"/>
  <c r="N449" i="7942"/>
  <c r="O449" i="7942" s="1"/>
  <c r="O450" i="7942" s="1"/>
  <c r="M504" i="7942"/>
  <c r="N503" i="7942"/>
  <c r="M522" i="7942"/>
  <c r="N521" i="7942"/>
  <c r="O521" i="7942" s="1"/>
  <c r="O522" i="7942" s="1"/>
  <c r="M446" i="7942"/>
  <c r="N445" i="7942"/>
  <c r="N446" i="7942" s="1"/>
  <c r="O596" i="18"/>
  <c r="P596" i="18" s="1"/>
  <c r="N1540" i="18"/>
  <c r="N1120" i="18"/>
  <c r="M88" i="7941"/>
  <c r="N798" i="18"/>
  <c r="M97" i="7941"/>
  <c r="N807" i="18"/>
  <c r="M654" i="7941"/>
  <c r="N1208" i="18"/>
  <c r="M675" i="7941"/>
  <c r="N1229" i="18"/>
  <c r="M680" i="7941"/>
  <c r="N1234" i="18"/>
  <c r="M684" i="7941"/>
  <c r="N1238" i="18"/>
  <c r="M85" i="7941"/>
  <c r="N795" i="18"/>
  <c r="M94" i="7941"/>
  <c r="N804" i="18"/>
  <c r="N1127" i="18"/>
  <c r="O687" i="18"/>
  <c r="N1547" i="18"/>
  <c r="O752" i="18"/>
  <c r="N1552" i="18"/>
  <c r="N1132" i="18"/>
  <c r="O414" i="18"/>
  <c r="P414" i="18" s="1"/>
  <c r="N1526" i="18"/>
  <c r="N1106" i="18"/>
  <c r="N1549" i="18"/>
  <c r="O713" i="18"/>
  <c r="N1129" i="18"/>
  <c r="N1113" i="18"/>
  <c r="O505" i="18"/>
  <c r="N1533" i="18"/>
  <c r="N1538" i="18"/>
  <c r="N1118" i="18"/>
  <c r="O570" i="18"/>
  <c r="P570" i="18" s="1"/>
  <c r="Q570" i="18" s="1"/>
  <c r="N1534" i="18"/>
  <c r="O518" i="18"/>
  <c r="P518" i="18" s="1"/>
  <c r="N1114" i="18"/>
  <c r="M76" i="7941"/>
  <c r="N786" i="18"/>
  <c r="M106" i="7941"/>
  <c r="N816" i="18"/>
  <c r="N1528" i="18"/>
  <c r="O440" i="18"/>
  <c r="P440" i="18" s="1"/>
  <c r="N1108" i="18"/>
  <c r="N1524" i="18"/>
  <c r="O388" i="18"/>
  <c r="N1104" i="18"/>
  <c r="M652" i="7941"/>
  <c r="N1206" i="18"/>
  <c r="M677" i="7941"/>
  <c r="N1231" i="18"/>
  <c r="M653" i="7941"/>
  <c r="N1207" i="18"/>
  <c r="M662" i="7941"/>
  <c r="N1216" i="18"/>
  <c r="M80" i="7941"/>
  <c r="N790" i="18"/>
  <c r="M83" i="7941"/>
  <c r="N793" i="18"/>
  <c r="M102" i="7941"/>
  <c r="N812" i="18"/>
  <c r="M432" i="7942"/>
  <c r="N431" i="7942"/>
  <c r="O431" i="7942" s="1"/>
  <c r="M430" i="7942"/>
  <c r="M468" i="7942"/>
  <c r="N467" i="7942"/>
  <c r="O467" i="7942" s="1"/>
  <c r="O468" i="7942" s="1"/>
  <c r="M456" i="7942"/>
  <c r="N455" i="7942"/>
  <c r="O455" i="7942" s="1"/>
  <c r="M498" i="7942"/>
  <c r="N497" i="7942"/>
  <c r="N498" i="7942" s="1"/>
  <c r="M506" i="7942"/>
  <c r="N505" i="7942"/>
  <c r="O505" i="7942" s="1"/>
  <c r="O506" i="7942" s="1"/>
  <c r="N443" i="7942"/>
  <c r="N444" i="7942" s="1"/>
  <c r="M444" i="7942"/>
  <c r="M488" i="7942"/>
  <c r="N487" i="7942"/>
  <c r="N488" i="7942" s="1"/>
  <c r="N483" i="7942"/>
  <c r="N484" i="7942" s="1"/>
  <c r="M484" i="7942"/>
  <c r="N471" i="7942"/>
  <c r="N472" i="7942" s="1"/>
  <c r="M472" i="7942"/>
  <c r="M482" i="7942"/>
  <c r="N481" i="7942"/>
  <c r="O481" i="7942" s="1"/>
  <c r="O482" i="7942" s="1"/>
  <c r="N527" i="7942"/>
  <c r="O527" i="7942" s="1"/>
  <c r="O528" i="7942" s="1"/>
  <c r="M528" i="7942"/>
  <c r="N491" i="7942"/>
  <c r="N492" i="7942" s="1"/>
  <c r="M492" i="7942"/>
  <c r="M512" i="7942"/>
  <c r="N511" i="7942"/>
  <c r="N512" i="7942" s="1"/>
  <c r="O492" i="18"/>
  <c r="P492" i="18" s="1"/>
  <c r="Q492" i="18" s="1"/>
  <c r="N1532" i="18"/>
  <c r="N1112" i="18"/>
  <c r="M75" i="7941"/>
  <c r="N785" i="18"/>
  <c r="M104" i="7941"/>
  <c r="N814" i="18"/>
  <c r="M661" i="7941"/>
  <c r="N1215" i="18"/>
  <c r="M664" i="7941"/>
  <c r="N1218" i="18"/>
  <c r="M671" i="7941"/>
  <c r="N1225" i="18"/>
  <c r="M674" i="7941"/>
  <c r="N1228" i="18"/>
  <c r="M672" i="7941"/>
  <c r="N1226" i="18"/>
  <c r="M84" i="7941"/>
  <c r="N794" i="18"/>
  <c r="M93" i="7941"/>
  <c r="N803" i="18"/>
  <c r="N1115" i="18"/>
  <c r="N1535" i="18"/>
  <c r="O531" i="18"/>
  <c r="P531" i="18" s="1"/>
  <c r="M236" i="7942"/>
  <c r="M254" i="7942"/>
  <c r="M178" i="7942"/>
  <c r="M256" i="7942"/>
  <c r="M244" i="7942"/>
  <c r="M224" i="7942"/>
  <c r="M188" i="7942"/>
  <c r="M180" i="7942"/>
  <c r="M194" i="7942"/>
  <c r="M228" i="7942"/>
  <c r="M192" i="7942"/>
  <c r="M258" i="7942"/>
  <c r="M268" i="7942"/>
  <c r="M248" i="7942"/>
  <c r="M200" i="7942"/>
  <c r="M216" i="7942"/>
  <c r="M266" i="7942"/>
  <c r="M232" i="7942"/>
  <c r="M198" i="7942"/>
  <c r="M184" i="7942"/>
  <c r="M222" i="7942"/>
  <c r="M242" i="7942"/>
  <c r="M214" i="7942"/>
  <c r="M260" i="7942"/>
  <c r="M190" i="7942"/>
  <c r="M264" i="7942"/>
  <c r="M212" i="7942"/>
  <c r="M206" i="7942"/>
  <c r="M220" i="7942"/>
  <c r="M230" i="7942"/>
  <c r="M182" i="7942"/>
  <c r="M262" i="7942"/>
  <c r="M202" i="7942"/>
  <c r="M218" i="7942"/>
  <c r="M252" i="7942"/>
  <c r="M246" i="7942"/>
  <c r="M240" i="7942"/>
  <c r="M238" i="7942"/>
  <c r="M210" i="7942"/>
  <c r="M208" i="7942"/>
  <c r="M196" i="7942"/>
  <c r="M176" i="7942"/>
  <c r="M204" i="7942"/>
  <c r="M226" i="7942"/>
  <c r="M250" i="7942"/>
  <c r="M234" i="7942"/>
  <c r="M186" i="7942"/>
  <c r="M172" i="7942"/>
  <c r="M174" i="7942"/>
  <c r="M170" i="7942"/>
  <c r="N1100" i="18"/>
  <c r="O336" i="18"/>
  <c r="P336" i="18" s="1"/>
  <c r="N1520" i="18"/>
  <c r="N1545" i="18"/>
  <c r="O661" i="18"/>
  <c r="N1125" i="18"/>
  <c r="N1521" i="18"/>
  <c r="O349" i="18"/>
  <c r="N1101" i="18"/>
  <c r="N1110" i="18"/>
  <c r="N1530" i="18"/>
  <c r="O466" i="18"/>
  <c r="P466" i="18" s="1"/>
  <c r="M86" i="7941"/>
  <c r="N796" i="18"/>
  <c r="M96" i="7941"/>
  <c r="N806" i="18"/>
  <c r="M90" i="7941"/>
  <c r="N800" i="18"/>
  <c r="N1551" i="18"/>
  <c r="N1131" i="18"/>
  <c r="M657" i="7941"/>
  <c r="N1211" i="18"/>
  <c r="M663" i="7941"/>
  <c r="N1217" i="18"/>
  <c r="M673" i="7941"/>
  <c r="N1227" i="18"/>
  <c r="M682" i="7941"/>
  <c r="N1236" i="18"/>
  <c r="M650" i="7941"/>
  <c r="N1204" i="18"/>
  <c r="M82" i="7941"/>
  <c r="N792" i="18"/>
  <c r="M108" i="7941"/>
  <c r="N818" i="18"/>
  <c r="M101" i="7941"/>
  <c r="N811" i="18"/>
  <c r="M436" i="7942"/>
  <c r="N435" i="7942"/>
  <c r="N436" i="7942" s="1"/>
  <c r="N451" i="7942"/>
  <c r="N452" i="7942" s="1"/>
  <c r="M452" i="7942"/>
  <c r="N463" i="7942"/>
  <c r="N464" i="7942" s="1"/>
  <c r="M464" i="7942"/>
  <c r="M520" i="7942"/>
  <c r="N519" i="7942"/>
  <c r="N520" i="7942" s="1"/>
  <c r="N507" i="7942"/>
  <c r="N508" i="7942" s="1"/>
  <c r="M508" i="7942"/>
  <c r="M510" i="7942"/>
  <c r="N509" i="7942"/>
  <c r="O509" i="7942" s="1"/>
  <c r="P509" i="7942" s="1"/>
  <c r="M476" i="7942"/>
  <c r="N475" i="7942"/>
  <c r="N476" i="7942" s="1"/>
  <c r="M462" i="7942"/>
  <c r="N461" i="7942"/>
  <c r="N462" i="7942" s="1"/>
  <c r="M530" i="7942"/>
  <c r="N529" i="7942"/>
  <c r="O529" i="7942" s="1"/>
  <c r="N523" i="7942"/>
  <c r="N524" i="7942" s="1"/>
  <c r="M524" i="7942"/>
  <c r="M490" i="7942"/>
  <c r="N489" i="7942"/>
  <c r="N490" i="7942" s="1"/>
  <c r="M518" i="7942"/>
  <c r="N517" i="7942"/>
  <c r="N518" i="7942" s="1"/>
  <c r="N515" i="7942"/>
  <c r="O515" i="7942" s="1"/>
  <c r="M516" i="7942"/>
  <c r="Q461" i="18" l="1"/>
  <c r="O443" i="7942"/>
  <c r="P443" i="7942" s="1"/>
  <c r="N450" i="7942"/>
  <c r="Q526" i="18"/>
  <c r="O739" i="18"/>
  <c r="P739" i="18" s="1"/>
  <c r="P349" i="18"/>
  <c r="Q656" i="18"/>
  <c r="O517" i="7942"/>
  <c r="O518" i="7942" s="1"/>
  <c r="O557" i="18"/>
  <c r="O544" i="18"/>
  <c r="N510" i="7942"/>
  <c r="O495" i="7942"/>
  <c r="O496" i="7942" s="1"/>
  <c r="O513" i="7942"/>
  <c r="O514" i="7942" s="1"/>
  <c r="N526" i="7942"/>
  <c r="O477" i="7942"/>
  <c r="O478" i="7942" s="1"/>
  <c r="N448" i="7942"/>
  <c r="O494" i="7942"/>
  <c r="P448" i="18"/>
  <c r="P453" i="18" s="1"/>
  <c r="O510" i="7942"/>
  <c r="Q760" i="18"/>
  <c r="O475" i="7942"/>
  <c r="P475" i="7942" s="1"/>
  <c r="O435" i="7942"/>
  <c r="O436" i="7942" s="1"/>
  <c r="P467" i="7942"/>
  <c r="P468" i="7942" s="1"/>
  <c r="N522" i="7942"/>
  <c r="N456" i="7942"/>
  <c r="N468" i="7942"/>
  <c r="O453" i="7942"/>
  <c r="O454" i="7942" s="1"/>
  <c r="P544" i="18"/>
  <c r="Q539" i="18"/>
  <c r="P444" i="7942"/>
  <c r="Q518" i="18"/>
  <c r="O439" i="7942"/>
  <c r="O459" i="7942"/>
  <c r="P459" i="7942" s="1"/>
  <c r="O323" i="18"/>
  <c r="P323" i="18" s="1"/>
  <c r="P1519" i="18" s="1"/>
  <c r="P617" i="18"/>
  <c r="Q617" i="18" s="1"/>
  <c r="Q318" i="18"/>
  <c r="N516" i="7942"/>
  <c r="O463" i="7942"/>
  <c r="P463" i="7942" s="1"/>
  <c r="O511" i="7942"/>
  <c r="O512" i="7942" s="1"/>
  <c r="Q443" i="7942"/>
  <c r="Q444" i="7942" s="1"/>
  <c r="Q1008" i="7941" s="1"/>
  <c r="N506" i="7942"/>
  <c r="P455" i="7942"/>
  <c r="Q455" i="7942" s="1"/>
  <c r="Q456" i="7942" s="1"/>
  <c r="Q1014" i="7941" s="1"/>
  <c r="N460" i="7942"/>
  <c r="O501" i="7942"/>
  <c r="P501" i="7942" s="1"/>
  <c r="N494" i="7942"/>
  <c r="O485" i="7942"/>
  <c r="O486" i="7942" s="1"/>
  <c r="O479" i="7942"/>
  <c r="O480" i="7942" s="1"/>
  <c r="P643" i="18"/>
  <c r="Q643" i="18" s="1"/>
  <c r="O523" i="7942"/>
  <c r="P523" i="7942" s="1"/>
  <c r="P524" i="7942" s="1"/>
  <c r="N530" i="7942"/>
  <c r="O519" i="7942"/>
  <c r="P519" i="7942" s="1"/>
  <c r="P520" i="7942" s="1"/>
  <c r="N482" i="7942"/>
  <c r="O497" i="7942"/>
  <c r="O498" i="7942" s="1"/>
  <c r="O456" i="7942"/>
  <c r="O437" i="7942"/>
  <c r="O438" i="7942" s="1"/>
  <c r="P441" i="7942"/>
  <c r="P442" i="7942" s="1"/>
  <c r="P493" i="7942"/>
  <c r="P494" i="7942" s="1"/>
  <c r="O465" i="7942"/>
  <c r="O466" i="7942" s="1"/>
  <c r="Q552" i="18"/>
  <c r="P357" i="18"/>
  <c r="Q357" i="18" s="1"/>
  <c r="Q509" i="7942"/>
  <c r="Q510" i="7942" s="1"/>
  <c r="Q1041" i="7941" s="1"/>
  <c r="P510" i="7942"/>
  <c r="P1131" i="18"/>
  <c r="P1551" i="18"/>
  <c r="P1110" i="18"/>
  <c r="P1530" i="18"/>
  <c r="Q466" i="18"/>
  <c r="P1521" i="18"/>
  <c r="P1101" i="18"/>
  <c r="Q1112" i="18"/>
  <c r="Q1532" i="18"/>
  <c r="P464" i="7942"/>
  <c r="O516" i="7942"/>
  <c r="P515" i="7942"/>
  <c r="P516" i="7942" s="1"/>
  <c r="P1115" i="18"/>
  <c r="P1535" i="18"/>
  <c r="N1177" i="18"/>
  <c r="N1158" i="18"/>
  <c r="N1602" i="18"/>
  <c r="N1583" i="18"/>
  <c r="Q739" i="18"/>
  <c r="N44" i="7941"/>
  <c r="M358" i="7941"/>
  <c r="Q349" i="18"/>
  <c r="O1545" i="18"/>
  <c r="O1125" i="18"/>
  <c r="M175" i="7942"/>
  <c r="N174" i="7942"/>
  <c r="N175" i="7942" s="1"/>
  <c r="N250" i="7942"/>
  <c r="O250" i="7942" s="1"/>
  <c r="M251" i="7942"/>
  <c r="M197" i="7942"/>
  <c r="N196" i="7942"/>
  <c r="N197" i="7942" s="1"/>
  <c r="M241" i="7942"/>
  <c r="N240" i="7942"/>
  <c r="N241" i="7942" s="1"/>
  <c r="M203" i="7942"/>
  <c r="N202" i="7942"/>
  <c r="N203" i="7942" s="1"/>
  <c r="M221" i="7942"/>
  <c r="N220" i="7942"/>
  <c r="O220" i="7942" s="1"/>
  <c r="P220" i="7942" s="1"/>
  <c r="Q220" i="7942" s="1"/>
  <c r="Q221" i="7942" s="1"/>
  <c r="Q451" i="7941" s="1"/>
  <c r="M191" i="7942"/>
  <c r="N190" i="7942"/>
  <c r="O190" i="7942" s="1"/>
  <c r="M223" i="7942"/>
  <c r="N222" i="7942"/>
  <c r="O222" i="7942" s="1"/>
  <c r="M267" i="7942"/>
  <c r="N266" i="7942"/>
  <c r="N267" i="7942" s="1"/>
  <c r="M269" i="7942"/>
  <c r="N268" i="7942"/>
  <c r="N269" i="7942" s="1"/>
  <c r="M195" i="7942"/>
  <c r="N194" i="7942"/>
  <c r="N195" i="7942" s="1"/>
  <c r="M245" i="7942"/>
  <c r="N244" i="7942"/>
  <c r="N245" i="7942" s="1"/>
  <c r="M237" i="7942"/>
  <c r="N236" i="7942"/>
  <c r="N237" i="7942" s="1"/>
  <c r="N1160" i="18"/>
  <c r="N1594" i="18"/>
  <c r="N1332" i="18" s="1"/>
  <c r="N726" i="7941" s="1"/>
  <c r="N1584" i="18"/>
  <c r="N1322" i="18" s="1"/>
  <c r="N1180" i="18"/>
  <c r="O1112" i="18"/>
  <c r="O1532" i="18"/>
  <c r="O491" i="7942"/>
  <c r="P527" i="7942"/>
  <c r="N528" i="7942"/>
  <c r="P481" i="7942"/>
  <c r="O471" i="7942"/>
  <c r="P471" i="7942" s="1"/>
  <c r="P472" i="7942" s="1"/>
  <c r="O444" i="7942"/>
  <c r="Q1118" i="18"/>
  <c r="Q1538" i="18"/>
  <c r="P1546" i="18"/>
  <c r="P1126" i="18"/>
  <c r="O1553" i="18"/>
  <c r="O1133" i="18"/>
  <c r="P765" i="18"/>
  <c r="Q765" i="18" s="1"/>
  <c r="O474" i="7942"/>
  <c r="P473" i="7942"/>
  <c r="P474" i="7942" s="1"/>
  <c r="P1539" i="18"/>
  <c r="P1119" i="18"/>
  <c r="P1531" i="18"/>
  <c r="P1111" i="18"/>
  <c r="Q479" i="18"/>
  <c r="P1103" i="18"/>
  <c r="P1523" i="18"/>
  <c r="O489" i="7942"/>
  <c r="P529" i="7942"/>
  <c r="O507" i="7942"/>
  <c r="P507" i="7942" s="1"/>
  <c r="Q519" i="7942"/>
  <c r="Q520" i="7942" s="1"/>
  <c r="Q1046" i="7941" s="1"/>
  <c r="O451" i="7942"/>
  <c r="M363" i="7941"/>
  <c r="N49" i="7941"/>
  <c r="N30" i="7941"/>
  <c r="M344" i="7941"/>
  <c r="M944" i="7941"/>
  <c r="N630" i="7941"/>
  <c r="M925" i="7941"/>
  <c r="N611" i="7941"/>
  <c r="N1166" i="18"/>
  <c r="N904" i="18" s="1"/>
  <c r="N142" i="7941" s="1"/>
  <c r="N1162" i="18"/>
  <c r="O1110" i="18"/>
  <c r="O1530" i="18"/>
  <c r="O1520" i="18"/>
  <c r="O1100" i="18"/>
  <c r="M173" i="7942"/>
  <c r="N172" i="7942"/>
  <c r="O172" i="7942" s="1"/>
  <c r="N226" i="7942"/>
  <c r="N227" i="7942" s="1"/>
  <c r="M227" i="7942"/>
  <c r="M209" i="7942"/>
  <c r="N208" i="7942"/>
  <c r="N209" i="7942" s="1"/>
  <c r="M247" i="7942"/>
  <c r="N246" i="7942"/>
  <c r="M263" i="7942"/>
  <c r="N262" i="7942"/>
  <c r="N263" i="7942" s="1"/>
  <c r="M207" i="7942"/>
  <c r="N206" i="7942"/>
  <c r="O206" i="7942" s="1"/>
  <c r="M261" i="7942"/>
  <c r="N260" i="7942"/>
  <c r="M185" i="7942"/>
  <c r="N184" i="7942"/>
  <c r="N185" i="7942" s="1"/>
  <c r="M217" i="7942"/>
  <c r="N216" i="7942"/>
  <c r="N217" i="7942" s="1"/>
  <c r="N258" i="7942"/>
  <c r="O258" i="7942" s="1"/>
  <c r="M259" i="7942"/>
  <c r="M181" i="7942"/>
  <c r="N180" i="7942"/>
  <c r="N181" i="7942" s="1"/>
  <c r="N256" i="7942"/>
  <c r="N257" i="7942" s="1"/>
  <c r="M257" i="7942"/>
  <c r="Q531" i="18"/>
  <c r="N32" i="7941"/>
  <c r="M346" i="7941"/>
  <c r="N622" i="7941"/>
  <c r="M936" i="7941"/>
  <c r="N612" i="7941"/>
  <c r="M926" i="7941"/>
  <c r="M366" i="7941"/>
  <c r="N52" i="7941"/>
  <c r="P1112" i="18"/>
  <c r="P1532" i="18"/>
  <c r="P511" i="7942"/>
  <c r="Q511" i="7942" s="1"/>
  <c r="O487" i="7942"/>
  <c r="P505" i="7942"/>
  <c r="P506" i="7942" s="1"/>
  <c r="P456" i="7942"/>
  <c r="O1533" i="18"/>
  <c r="O1113" i="18"/>
  <c r="P505" i="18"/>
  <c r="O1132" i="18"/>
  <c r="O1552" i="18"/>
  <c r="P752" i="18"/>
  <c r="Q752" i="18" s="1"/>
  <c r="O503" i="7942"/>
  <c r="O504" i="7942" s="1"/>
  <c r="N504" i="7942"/>
  <c r="P439" i="7942"/>
  <c r="Q439" i="7942" s="1"/>
  <c r="P447" i="7942"/>
  <c r="Q447" i="7942" s="1"/>
  <c r="M365" i="7941"/>
  <c r="N51" i="7941"/>
  <c r="N614" i="7941"/>
  <c r="M928" i="7941"/>
  <c r="N613" i="7941"/>
  <c r="M927" i="7941"/>
  <c r="N606" i="7941"/>
  <c r="M920" i="7941"/>
  <c r="M353" i="7941"/>
  <c r="N39" i="7941"/>
  <c r="O1522" i="18"/>
  <c r="O1102" i="18"/>
  <c r="P362" i="18"/>
  <c r="N1150" i="18"/>
  <c r="N1579" i="18"/>
  <c r="N1580" i="18"/>
  <c r="N1165" i="18"/>
  <c r="Q501" i="7942"/>
  <c r="P1527" i="18"/>
  <c r="P1107" i="18"/>
  <c r="O530" i="7942"/>
  <c r="O461" i="7942"/>
  <c r="Q475" i="7942"/>
  <c r="Q476" i="7942" s="1"/>
  <c r="Q1024" i="7941" s="1"/>
  <c r="Q507" i="7942"/>
  <c r="O520" i="7942"/>
  <c r="N1184" i="18"/>
  <c r="N1570" i="18"/>
  <c r="N1308" i="18" s="1"/>
  <c r="N702" i="7941" s="1"/>
  <c r="N1593" i="18"/>
  <c r="N1577" i="18"/>
  <c r="N38" i="7941"/>
  <c r="M352" i="7941"/>
  <c r="M348" i="7941"/>
  <c r="N34" i="7941"/>
  <c r="P661" i="18"/>
  <c r="Q336" i="18"/>
  <c r="M187" i="7942"/>
  <c r="N186" i="7942"/>
  <c r="N187" i="7942" s="1"/>
  <c r="M205" i="7942"/>
  <c r="N204" i="7942"/>
  <c r="N210" i="7942"/>
  <c r="N211" i="7942" s="1"/>
  <c r="M211" i="7942"/>
  <c r="N252" i="7942"/>
  <c r="N253" i="7942" s="1"/>
  <c r="M253" i="7942"/>
  <c r="M183" i="7942"/>
  <c r="N182" i="7942"/>
  <c r="N183" i="7942" s="1"/>
  <c r="M213" i="7942"/>
  <c r="N212" i="7942"/>
  <c r="N213" i="7942" s="1"/>
  <c r="M215" i="7942"/>
  <c r="N214" i="7942"/>
  <c r="O214" i="7942" s="1"/>
  <c r="O215" i="7942" s="1"/>
  <c r="N198" i="7942"/>
  <c r="N199" i="7942" s="1"/>
  <c r="M199" i="7942"/>
  <c r="M201" i="7942"/>
  <c r="N200" i="7942"/>
  <c r="N201" i="7942" s="1"/>
  <c r="M193" i="7942"/>
  <c r="N192" i="7942"/>
  <c r="N193" i="7942" s="1"/>
  <c r="M189" i="7942"/>
  <c r="N188" i="7942"/>
  <c r="N189" i="7942" s="1"/>
  <c r="M179" i="7942"/>
  <c r="N178" i="7942"/>
  <c r="N179" i="7942" s="1"/>
  <c r="N1169" i="18"/>
  <c r="N1592" i="18"/>
  <c r="N1591" i="18"/>
  <c r="N1581" i="18"/>
  <c r="N1151" i="18"/>
  <c r="P512" i="7942"/>
  <c r="O483" i="7942"/>
  <c r="Q505" i="7942"/>
  <c r="P431" i="7942"/>
  <c r="P432" i="7942" s="1"/>
  <c r="O432" i="7942"/>
  <c r="N1178" i="18"/>
  <c r="N1156" i="18"/>
  <c r="N1573" i="18"/>
  <c r="N1572" i="18"/>
  <c r="P1106" i="18"/>
  <c r="P1526" i="18"/>
  <c r="Q414" i="18"/>
  <c r="P1120" i="18"/>
  <c r="P1540" i="18"/>
  <c r="Q596" i="18"/>
  <c r="O1537" i="18"/>
  <c r="O1117" i="18"/>
  <c r="P557" i="18"/>
  <c r="P1098" i="18"/>
  <c r="P1518" i="18"/>
  <c r="P1550" i="18"/>
  <c r="P1130" i="18"/>
  <c r="Q726" i="18"/>
  <c r="M370" i="7941"/>
  <c r="N56" i="7941"/>
  <c r="M912" i="7941"/>
  <c r="N598" i="7941"/>
  <c r="N621" i="7941"/>
  <c r="M935" i="7941"/>
  <c r="M919" i="7941"/>
  <c r="N605" i="7941"/>
  <c r="O1131" i="18"/>
  <c r="O1551" i="18"/>
  <c r="N1172" i="18"/>
  <c r="N910" i="18" s="1"/>
  <c r="N900" i="18"/>
  <c r="O1101" i="18"/>
  <c r="O1521" i="18"/>
  <c r="N915" i="18"/>
  <c r="P1520" i="18"/>
  <c r="P1100" i="18"/>
  <c r="M169" i="7942"/>
  <c r="M171" i="7942"/>
  <c r="N170" i="7942"/>
  <c r="N171" i="7942" s="1"/>
  <c r="M235" i="7942"/>
  <c r="N234" i="7942"/>
  <c r="M177" i="7942"/>
  <c r="N176" i="7942"/>
  <c r="N177" i="7942" s="1"/>
  <c r="M239" i="7942"/>
  <c r="N238" i="7942"/>
  <c r="N239" i="7942" s="1"/>
  <c r="N218" i="7942"/>
  <c r="O218" i="7942" s="1"/>
  <c r="O219" i="7942" s="1"/>
  <c r="M219" i="7942"/>
  <c r="M231" i="7942"/>
  <c r="N230" i="7942"/>
  <c r="M265" i="7942"/>
  <c r="N264" i="7942"/>
  <c r="N265" i="7942" s="1"/>
  <c r="M243" i="7942"/>
  <c r="N242" i="7942"/>
  <c r="M233" i="7942"/>
  <c r="N232" i="7942"/>
  <c r="M249" i="7942"/>
  <c r="N248" i="7942"/>
  <c r="M229" i="7942"/>
  <c r="N228" i="7942"/>
  <c r="N229" i="7942" s="1"/>
  <c r="M225" i="7942"/>
  <c r="N224" i="7942"/>
  <c r="N225" i="7942" s="1"/>
  <c r="M255" i="7942"/>
  <c r="N254" i="7942"/>
  <c r="N255" i="7942" s="1"/>
  <c r="O1115" i="18"/>
  <c r="O1535" i="18"/>
  <c r="N41" i="7941"/>
  <c r="M355" i="7941"/>
  <c r="M934" i="7941"/>
  <c r="N620" i="7941"/>
  <c r="N619" i="7941"/>
  <c r="M933" i="7941"/>
  <c r="N609" i="7941"/>
  <c r="M923" i="7941"/>
  <c r="N23" i="7941"/>
  <c r="M337" i="7941"/>
  <c r="P1528" i="18"/>
  <c r="P1108" i="18"/>
  <c r="N1182" i="18"/>
  <c r="N920" i="18" s="1"/>
  <c r="Q1534" i="18"/>
  <c r="Q1114" i="18"/>
  <c r="O1547" i="18"/>
  <c r="O1127" i="18"/>
  <c r="P687" i="18"/>
  <c r="Q687" i="18" s="1"/>
  <c r="N1161" i="18"/>
  <c r="N899" i="18" s="1"/>
  <c r="N137" i="7941" s="1"/>
  <c r="N1600" i="18"/>
  <c r="N1574" i="18"/>
  <c r="N1312" i="18" s="1"/>
  <c r="N706" i="7941" s="1"/>
  <c r="N1164" i="18"/>
  <c r="O448" i="7942"/>
  <c r="O1542" i="18"/>
  <c r="O1122" i="18"/>
  <c r="Q1121" i="18"/>
  <c r="Q1541" i="18"/>
  <c r="Q1543" i="18"/>
  <c r="Q1123" i="18"/>
  <c r="M391" i="7942"/>
  <c r="M531" i="7942"/>
  <c r="M395" i="7942"/>
  <c r="M409" i="7942"/>
  <c r="M406" i="7942"/>
  <c r="M402" i="7942"/>
  <c r="M426" i="7942"/>
  <c r="M410" i="7942"/>
  <c r="M393" i="7942"/>
  <c r="M403" i="7942"/>
  <c r="M417" i="7942"/>
  <c r="M396" i="7942"/>
  <c r="M401" i="7942"/>
  <c r="M380" i="7942"/>
  <c r="M382" i="7942"/>
  <c r="M399" i="7942"/>
  <c r="M428" i="7942"/>
  <c r="M389" i="7942"/>
  <c r="M413" i="7942"/>
  <c r="M381" i="7942"/>
  <c r="M408" i="7942"/>
  <c r="M385" i="7942"/>
  <c r="M424" i="7942"/>
  <c r="M418" i="7942"/>
  <c r="M405" i="7942"/>
  <c r="M415" i="7942"/>
  <c r="M421" i="7942"/>
  <c r="M394" i="7942"/>
  <c r="M414" i="7942"/>
  <c r="M379" i="7942"/>
  <c r="M422" i="7942"/>
  <c r="M416" i="7942"/>
  <c r="M412" i="7942"/>
  <c r="M404" i="7942"/>
  <c r="M383" i="7942"/>
  <c r="M400" i="7942"/>
  <c r="M388" i="7942"/>
  <c r="M420" i="7942"/>
  <c r="M386" i="7942"/>
  <c r="M387" i="7942"/>
  <c r="M423" i="7942"/>
  <c r="M427" i="7942"/>
  <c r="M390" i="7942"/>
  <c r="M407" i="7942"/>
  <c r="M392" i="7942"/>
  <c r="M398" i="7942"/>
  <c r="M425" i="7942"/>
  <c r="M384" i="7942"/>
  <c r="M397" i="7942"/>
  <c r="M419" i="7942"/>
  <c r="M411" i="7942"/>
  <c r="N50" i="7941"/>
  <c r="M364" i="7941"/>
  <c r="M342" i="7941"/>
  <c r="N28" i="7941"/>
  <c r="N601" i="7941"/>
  <c r="M915" i="7941"/>
  <c r="M914" i="7941"/>
  <c r="N600" i="7941"/>
  <c r="O1524" i="18"/>
  <c r="O1104" i="18"/>
  <c r="M368" i="7941"/>
  <c r="N54" i="7941"/>
  <c r="P1114" i="18"/>
  <c r="P1534" i="18"/>
  <c r="O1549" i="18"/>
  <c r="O1129" i="18"/>
  <c r="N33" i="7941"/>
  <c r="M347" i="7941"/>
  <c r="M942" i="7941"/>
  <c r="N628" i="7941"/>
  <c r="N602" i="7941"/>
  <c r="M916" i="7941"/>
  <c r="N36" i="7941"/>
  <c r="M350" i="7941"/>
  <c r="N1153" i="18"/>
  <c r="N1590" i="18"/>
  <c r="N1601" i="18"/>
  <c r="N1339" i="18" s="1"/>
  <c r="N1157" i="18"/>
  <c r="P1116" i="18"/>
  <c r="P1536" i="18"/>
  <c r="M336" i="7941"/>
  <c r="N22" i="7941"/>
  <c r="M921" i="7941"/>
  <c r="N607" i="7941"/>
  <c r="M922" i="7941"/>
  <c r="N608" i="7941"/>
  <c r="M351" i="7941"/>
  <c r="N37" i="7941"/>
  <c r="O1548" i="18"/>
  <c r="O1128" i="18"/>
  <c r="N442" i="7942"/>
  <c r="Q473" i="7942"/>
  <c r="P479" i="7942"/>
  <c r="Q479" i="7942" s="1"/>
  <c r="O433" i="7942"/>
  <c r="M354" i="7941"/>
  <c r="N40" i="7941"/>
  <c r="N626" i="7941"/>
  <c r="M940" i="7941"/>
  <c r="N617" i="7941"/>
  <c r="M931" i="7941"/>
  <c r="M913" i="7941"/>
  <c r="N599" i="7941"/>
  <c r="N1183" i="18"/>
  <c r="N921" i="18" s="1"/>
  <c r="Q310" i="18"/>
  <c r="Q427" i="18"/>
  <c r="N1155" i="18"/>
  <c r="N1587" i="18"/>
  <c r="N1575" i="18"/>
  <c r="N1154" i="18"/>
  <c r="O1543" i="18"/>
  <c r="O1123" i="18"/>
  <c r="J1645" i="7949"/>
  <c r="I1685" i="7949"/>
  <c r="J2239" i="7949"/>
  <c r="I2279" i="7949"/>
  <c r="J2401" i="7949"/>
  <c r="I2441" i="7949"/>
  <c r="J2347" i="7949"/>
  <c r="I2387" i="7949"/>
  <c r="J1699" i="7949"/>
  <c r="I1739" i="7949"/>
  <c r="J1861" i="7949"/>
  <c r="I1901" i="7949"/>
  <c r="J2509" i="7949"/>
  <c r="I2549" i="7949"/>
  <c r="J943" i="7949"/>
  <c r="I983" i="7949"/>
  <c r="J997" i="7949"/>
  <c r="I1037" i="7949"/>
  <c r="N432" i="7942"/>
  <c r="N430" i="7942"/>
  <c r="N380" i="7942" s="1"/>
  <c r="N1159" i="18"/>
  <c r="N1582" i="18"/>
  <c r="N1320" i="18" s="1"/>
  <c r="N714" i="7941" s="1"/>
  <c r="N1597" i="18"/>
  <c r="O1528" i="18"/>
  <c r="O1108" i="18"/>
  <c r="N1152" i="18"/>
  <c r="P1118" i="18"/>
  <c r="P1538" i="18"/>
  <c r="N1170" i="18"/>
  <c r="N1604" i="18"/>
  <c r="N1595" i="18"/>
  <c r="N1173" i="18"/>
  <c r="O1120" i="18"/>
  <c r="O1540" i="18"/>
  <c r="P525" i="7942"/>
  <c r="O440" i="7942"/>
  <c r="P437" i="7942"/>
  <c r="P448" i="7942"/>
  <c r="O457" i="7942"/>
  <c r="N25" i="7941"/>
  <c r="M339" i="7941"/>
  <c r="N618" i="7941"/>
  <c r="M932" i="7941"/>
  <c r="M943" i="7941"/>
  <c r="N629" i="7941"/>
  <c r="O1529" i="18"/>
  <c r="O1109" i="18"/>
  <c r="N29" i="7941"/>
  <c r="M343" i="7941"/>
  <c r="O1126" i="18"/>
  <c r="O1546" i="18"/>
  <c r="N1171" i="18"/>
  <c r="N1576" i="18"/>
  <c r="N1599" i="18"/>
  <c r="N1174" i="18"/>
  <c r="Q441" i="7942"/>
  <c r="P495" i="7942"/>
  <c r="O499" i="7942"/>
  <c r="N474" i="7942"/>
  <c r="N1185" i="18"/>
  <c r="N923" i="18" s="1"/>
  <c r="N161" i="7941" s="1"/>
  <c r="N1596" i="18"/>
  <c r="N1334" i="18" s="1"/>
  <c r="N728" i="7941" s="1"/>
  <c r="N1605" i="18"/>
  <c r="Q583" i="18"/>
  <c r="M369" i="7941"/>
  <c r="N55" i="7941"/>
  <c r="O1550" i="18"/>
  <c r="O1130" i="18"/>
  <c r="O1541" i="18"/>
  <c r="O1121" i="18"/>
  <c r="N1321" i="18"/>
  <c r="N1315" i="18"/>
  <c r="Q375" i="18"/>
  <c r="N1313" i="18"/>
  <c r="N27" i="7941"/>
  <c r="M341" i="7941"/>
  <c r="M929" i="7941"/>
  <c r="N615" i="7941"/>
  <c r="M917" i="7941"/>
  <c r="N603" i="7941"/>
  <c r="M340" i="7941"/>
  <c r="N26" i="7941"/>
  <c r="J2077" i="7949"/>
  <c r="I2117" i="7949"/>
  <c r="J1969" i="7949"/>
  <c r="I2009" i="7949"/>
  <c r="J1105" i="7949"/>
  <c r="I1145" i="7949"/>
  <c r="J1213" i="7949"/>
  <c r="I1253" i="7949"/>
  <c r="J2131" i="7949"/>
  <c r="I2171" i="7949"/>
  <c r="J1321" i="7949"/>
  <c r="I1361" i="7949"/>
  <c r="J2671" i="7949"/>
  <c r="I2711" i="7949"/>
  <c r="J1915" i="7949"/>
  <c r="I1955" i="7949"/>
  <c r="J1159" i="7949"/>
  <c r="I1199" i="7949"/>
  <c r="Q467" i="7942"/>
  <c r="Q468" i="7942" s="1"/>
  <c r="Q1020" i="7941" s="1"/>
  <c r="M345" i="7941"/>
  <c r="N31" i="7941"/>
  <c r="M924" i="7941"/>
  <c r="N610" i="7941"/>
  <c r="M939" i="7941"/>
  <c r="N625" i="7941"/>
  <c r="P388" i="18"/>
  <c r="Q440" i="18"/>
  <c r="N1318" i="18"/>
  <c r="N24" i="7941"/>
  <c r="M338" i="7941"/>
  <c r="O1534" i="18"/>
  <c r="O1114" i="18"/>
  <c r="O1118" i="18"/>
  <c r="O1538" i="18"/>
  <c r="P713" i="18"/>
  <c r="O1526" i="18"/>
  <c r="O1106" i="18"/>
  <c r="M356" i="7941"/>
  <c r="N42" i="7941"/>
  <c r="N632" i="7941"/>
  <c r="M946" i="7941"/>
  <c r="N623" i="7941"/>
  <c r="M937" i="7941"/>
  <c r="N45" i="7941"/>
  <c r="M359" i="7941"/>
  <c r="O445" i="7942"/>
  <c r="P521" i="7942"/>
  <c r="P449" i="7942"/>
  <c r="O526" i="7942"/>
  <c r="Q448" i="7942"/>
  <c r="Q1010" i="7941" s="1"/>
  <c r="N1179" i="18"/>
  <c r="N1586" i="18"/>
  <c r="N1324" i="18" s="1"/>
  <c r="N718" i="7941" s="1"/>
  <c r="N1585" i="18"/>
  <c r="N1323" i="18" s="1"/>
  <c r="N1578" i="18"/>
  <c r="N1167" i="18"/>
  <c r="Q674" i="18"/>
  <c r="O1124" i="18"/>
  <c r="O1544" i="18"/>
  <c r="N889" i="18"/>
  <c r="O1536" i="18"/>
  <c r="O1116" i="18"/>
  <c r="N43" i="7941"/>
  <c r="M357" i="7941"/>
  <c r="M918" i="7941"/>
  <c r="N604" i="7941"/>
  <c r="N627" i="7941"/>
  <c r="M941" i="7941"/>
  <c r="M360" i="7941"/>
  <c r="N46" i="7941"/>
  <c r="P700" i="18"/>
  <c r="O469" i="7942"/>
  <c r="Q442" i="7942"/>
  <c r="Q1007" i="7941" s="1"/>
  <c r="P513" i="7942"/>
  <c r="Q474" i="7942"/>
  <c r="Q1023" i="7941" s="1"/>
  <c r="P465" i="7942"/>
  <c r="P466" i="7942" s="1"/>
  <c r="N57" i="7941"/>
  <c r="M371" i="7941"/>
  <c r="M938" i="7941"/>
  <c r="N624" i="7941"/>
  <c r="N633" i="7941"/>
  <c r="M947" i="7941"/>
  <c r="N1181" i="18"/>
  <c r="N1163" i="18"/>
  <c r="O1111" i="18"/>
  <c r="O1531" i="18"/>
  <c r="P401" i="18"/>
  <c r="O1105" i="18"/>
  <c r="O1525" i="18"/>
  <c r="O1527" i="18"/>
  <c r="O1107" i="18"/>
  <c r="N1176" i="18"/>
  <c r="N914" i="18" s="1"/>
  <c r="N152" i="7941" s="1"/>
  <c r="N1588" i="18"/>
  <c r="N1603" i="18"/>
  <c r="N1175" i="18"/>
  <c r="J1483" i="7949"/>
  <c r="I1523" i="7949"/>
  <c r="J2617" i="7949"/>
  <c r="I2657" i="7949"/>
  <c r="J889" i="7949"/>
  <c r="I929" i="7949"/>
  <c r="J2185" i="7949"/>
  <c r="I2225" i="7949"/>
  <c r="J1375" i="7949"/>
  <c r="I1415" i="7949"/>
  <c r="J1267" i="7949"/>
  <c r="I1307" i="7949"/>
  <c r="J1591" i="7949"/>
  <c r="I1631" i="7949"/>
  <c r="J781" i="7949"/>
  <c r="I821" i="7949"/>
  <c r="J2563" i="7949"/>
  <c r="I2603" i="7949"/>
  <c r="N1168" i="18"/>
  <c r="N1598" i="18"/>
  <c r="N1589" i="18"/>
  <c r="N1571" i="18"/>
  <c r="N1309" i="18" s="1"/>
  <c r="O1119" i="18"/>
  <c r="O1539" i="18"/>
  <c r="N53" i="7941"/>
  <c r="M367" i="7941"/>
  <c r="M349" i="7941"/>
  <c r="N35" i="7941"/>
  <c r="O1518" i="18"/>
  <c r="O1098" i="18"/>
  <c r="P1121" i="18"/>
  <c r="P1541" i="18"/>
  <c r="N1317" i="18"/>
  <c r="O1523" i="18"/>
  <c r="O1103" i="18"/>
  <c r="M362" i="7941"/>
  <c r="N48" i="7941"/>
  <c r="N616" i="7941"/>
  <c r="M930" i="7941"/>
  <c r="M945" i="7941"/>
  <c r="N631" i="7941"/>
  <c r="N47" i="7941"/>
  <c r="M361" i="7941"/>
  <c r="P1543" i="18"/>
  <c r="P1123" i="18"/>
  <c r="J2455" i="7949"/>
  <c r="I2495" i="7949"/>
  <c r="J1807" i="7949"/>
  <c r="I1847" i="7949"/>
  <c r="J1753" i="7949"/>
  <c r="I1793" i="7949"/>
  <c r="J1051" i="7949"/>
  <c r="I1091" i="7949"/>
  <c r="J1537" i="7949"/>
  <c r="I1577" i="7949"/>
  <c r="J835" i="7949"/>
  <c r="I875" i="7949"/>
  <c r="J2023" i="7949"/>
  <c r="I2063" i="7949"/>
  <c r="J2293" i="7949"/>
  <c r="I2333" i="7949"/>
  <c r="J1429" i="7949"/>
  <c r="I1469" i="7949"/>
  <c r="P453" i="7942" l="1"/>
  <c r="P454" i="7942" s="1"/>
  <c r="P517" i="7942"/>
  <c r="Q323" i="18"/>
  <c r="O1519" i="18"/>
  <c r="Q463" i="7942"/>
  <c r="Q464" i="7942" s="1"/>
  <c r="Q1018" i="7941" s="1"/>
  <c r="Q448" i="18"/>
  <c r="Q453" i="18" s="1"/>
  <c r="Q493" i="7942"/>
  <c r="Q494" i="7942" s="1"/>
  <c r="Q1033" i="7941" s="1"/>
  <c r="O1099" i="18"/>
  <c r="P1099" i="18"/>
  <c r="O464" i="7942"/>
  <c r="P214" i="7942"/>
  <c r="P215" i="7942" s="1"/>
  <c r="O198" i="7942"/>
  <c r="O199" i="7942" s="1"/>
  <c r="N219" i="7942"/>
  <c r="O226" i="7942"/>
  <c r="O227" i="7942" s="1"/>
  <c r="P477" i="7942"/>
  <c r="Q523" i="7942"/>
  <c r="Q524" i="7942" s="1"/>
  <c r="Q1048" i="7941" s="1"/>
  <c r="N215" i="7942"/>
  <c r="O476" i="7942"/>
  <c r="Q459" i="7942"/>
  <c r="Q460" i="7942" s="1"/>
  <c r="Q1016" i="7941" s="1"/>
  <c r="Q362" i="18"/>
  <c r="Q1102" i="18" s="1"/>
  <c r="O524" i="7942"/>
  <c r="O460" i="7942"/>
  <c r="O228" i="7942"/>
  <c r="O229" i="7942" s="1"/>
  <c r="O192" i="7942"/>
  <c r="O193" i="7942" s="1"/>
  <c r="O200" i="7942"/>
  <c r="N207" i="7942"/>
  <c r="P440" i="7942"/>
  <c r="P476" i="7942"/>
  <c r="O238" i="7942"/>
  <c r="O239" i="7942" s="1"/>
  <c r="O188" i="7942"/>
  <c r="O189" i="7942" s="1"/>
  <c r="O216" i="7942"/>
  <c r="O217" i="7942" s="1"/>
  <c r="O202" i="7942"/>
  <c r="P202" i="7942" s="1"/>
  <c r="P203" i="7942" s="1"/>
  <c r="P435" i="7942"/>
  <c r="P622" i="18"/>
  <c r="Q622" i="18" s="1"/>
  <c r="Q557" i="18"/>
  <c r="Q544" i="18"/>
  <c r="O614" i="7941"/>
  <c r="O502" i="7942"/>
  <c r="Q502" i="7942"/>
  <c r="Q1037" i="7941" s="1"/>
  <c r="O264" i="7942"/>
  <c r="P264" i="7942" s="1"/>
  <c r="O246" i="7942"/>
  <c r="P246" i="7942" s="1"/>
  <c r="Q246" i="7942" s="1"/>
  <c r="Q472" i="7941" s="1"/>
  <c r="O1228" i="18"/>
  <c r="O1594" i="18" s="1"/>
  <c r="N191" i="7942"/>
  <c r="O174" i="7942"/>
  <c r="O175" i="7942" s="1"/>
  <c r="P485" i="7942"/>
  <c r="O810" i="18"/>
  <c r="O1176" i="18" s="1"/>
  <c r="O914" i="18" s="1"/>
  <c r="O152" i="7941" s="1"/>
  <c r="O1216" i="18"/>
  <c r="O1582" i="18" s="1"/>
  <c r="O1320" i="18" s="1"/>
  <c r="O178" i="7942"/>
  <c r="O179" i="7942" s="1"/>
  <c r="Q214" i="7942"/>
  <c r="Q215" i="7942" s="1"/>
  <c r="Q448" i="7941" s="1"/>
  <c r="P502" i="7942"/>
  <c r="O256" i="7942"/>
  <c r="P256" i="7942" s="1"/>
  <c r="Q256" i="7942" s="1"/>
  <c r="Q257" i="7942" s="1"/>
  <c r="O262" i="7942"/>
  <c r="O263" i="7942" s="1"/>
  <c r="N247" i="7942"/>
  <c r="O800" i="18"/>
  <c r="O1166" i="18" s="1"/>
  <c r="O904" i="18" s="1"/>
  <c r="N223" i="7942"/>
  <c r="O203" i="7942"/>
  <c r="N251" i="7942"/>
  <c r="P497" i="7942"/>
  <c r="P498" i="7942" s="1"/>
  <c r="P460" i="7942"/>
  <c r="P648" i="18"/>
  <c r="N703" i="7941"/>
  <c r="O1205" i="18"/>
  <c r="N717" i="7941"/>
  <c r="O613" i="7941" s="1"/>
  <c r="O1219" i="18"/>
  <c r="O1585" i="18" s="1"/>
  <c r="O1323" i="18" s="1"/>
  <c r="O717" i="7941" s="1"/>
  <c r="K1429" i="7949"/>
  <c r="J1469" i="7949"/>
  <c r="K2023" i="7949"/>
  <c r="J2063" i="7949"/>
  <c r="K1537" i="7949"/>
  <c r="J1577" i="7949"/>
  <c r="K1753" i="7949"/>
  <c r="J1793" i="7949"/>
  <c r="K2455" i="7949"/>
  <c r="J2495" i="7949"/>
  <c r="N906" i="18"/>
  <c r="N913" i="18"/>
  <c r="P1525" i="18"/>
  <c r="P1105" i="18"/>
  <c r="Q401" i="18"/>
  <c r="N901" i="18"/>
  <c r="O624" i="7941"/>
  <c r="P1548" i="18"/>
  <c r="P1128" i="18"/>
  <c r="Q1519" i="18"/>
  <c r="Q1099" i="18"/>
  <c r="N905" i="18"/>
  <c r="Q449" i="7942"/>
  <c r="Q450" i="7942" s="1"/>
  <c r="Q1011" i="7941" s="1"/>
  <c r="P450" i="7942"/>
  <c r="K1159" i="7949"/>
  <c r="J1199" i="7949"/>
  <c r="K2671" i="7949"/>
  <c r="J2711" i="7949"/>
  <c r="K2131" i="7949"/>
  <c r="J2171" i="7949"/>
  <c r="K1105" i="7949"/>
  <c r="J1145" i="7949"/>
  <c r="K2077" i="7949"/>
  <c r="J2117" i="7949"/>
  <c r="N715" i="7941"/>
  <c r="O611" i="7941" s="1"/>
  <c r="O1217" i="18"/>
  <c r="O1583" i="18" s="1"/>
  <c r="O1321" i="18" s="1"/>
  <c r="O715" i="7941" s="1"/>
  <c r="N1343" i="18"/>
  <c r="O1230" i="18"/>
  <c r="Q465" i="7942"/>
  <c r="Q466" i="7942" s="1"/>
  <c r="Q1019" i="7941" s="1"/>
  <c r="O500" i="7942"/>
  <c r="P499" i="7942"/>
  <c r="P500" i="7942" s="1"/>
  <c r="N912" i="18"/>
  <c r="P438" i="7942"/>
  <c r="Q437" i="7942"/>
  <c r="Q438" i="7942" s="1"/>
  <c r="Q1005" i="7941" s="1"/>
  <c r="P526" i="7942"/>
  <c r="Q525" i="7942"/>
  <c r="Q526" i="7942" s="1"/>
  <c r="Q1049" i="7941" s="1"/>
  <c r="N1333" i="18"/>
  <c r="N733" i="7941"/>
  <c r="N943" i="7941" s="1"/>
  <c r="O1235" i="18"/>
  <c r="O1571" i="18"/>
  <c r="O1309" i="18" s="1"/>
  <c r="O703" i="7941" s="1"/>
  <c r="K781" i="7949"/>
  <c r="J821" i="7949"/>
  <c r="K1267" i="7949"/>
  <c r="J1307" i="7949"/>
  <c r="K2185" i="7949"/>
  <c r="J2225" i="7949"/>
  <c r="K2617" i="7949"/>
  <c r="J2657" i="7949"/>
  <c r="N1341" i="18"/>
  <c r="P810" i="18"/>
  <c r="N919" i="18"/>
  <c r="N938" i="7941"/>
  <c r="P469" i="7942"/>
  <c r="Q469" i="7942" s="1"/>
  <c r="O470" i="7942"/>
  <c r="P1109" i="18"/>
  <c r="P1529" i="18"/>
  <c r="N917" i="18"/>
  <c r="P522" i="7942"/>
  <c r="Q521" i="7942"/>
  <c r="Q522" i="7942" s="1"/>
  <c r="Q1047" i="7941" s="1"/>
  <c r="P1549" i="18"/>
  <c r="P1129" i="18"/>
  <c r="Q713" i="18"/>
  <c r="N712" i="7941"/>
  <c r="O1214" i="18"/>
  <c r="O1580" i="18" s="1"/>
  <c r="O1318" i="18" s="1"/>
  <c r="O712" i="7941" s="1"/>
  <c r="N707" i="7941"/>
  <c r="N917" i="7941" s="1"/>
  <c r="O1209" i="18"/>
  <c r="O819" i="18"/>
  <c r="Q495" i="7942"/>
  <c r="Q496" i="7942" s="1"/>
  <c r="Q1034" i="7941" s="1"/>
  <c r="P496" i="7942"/>
  <c r="N1337" i="18"/>
  <c r="N1342" i="18"/>
  <c r="N1335" i="18"/>
  <c r="N159" i="7941"/>
  <c r="N369" i="7941" s="1"/>
  <c r="O817" i="18"/>
  <c r="O1183" i="18" s="1"/>
  <c r="O921" i="18" s="1"/>
  <c r="O159" i="7941" s="1"/>
  <c r="K2293" i="7949"/>
  <c r="J2333" i="7949"/>
  <c r="K835" i="7949"/>
  <c r="J875" i="7949"/>
  <c r="K1051" i="7949"/>
  <c r="J1091" i="7949"/>
  <c r="K1807" i="7949"/>
  <c r="J1847" i="7949"/>
  <c r="O48" i="7941"/>
  <c r="P48" i="7941" s="1"/>
  <c r="N711" i="7941"/>
  <c r="O607" i="7941" s="1"/>
  <c r="O1213" i="18"/>
  <c r="O1579" i="18" s="1"/>
  <c r="O1317" i="18" s="1"/>
  <c r="O711" i="7941" s="1"/>
  <c r="N1327" i="18"/>
  <c r="N1326" i="18"/>
  <c r="N371" i="7941"/>
  <c r="Q513" i="7942"/>
  <c r="Q514" i="7942" s="1"/>
  <c r="Q1043" i="7941" s="1"/>
  <c r="O446" i="7942"/>
  <c r="P445" i="7942"/>
  <c r="P446" i="7942" s="1"/>
  <c r="N148" i="7941"/>
  <c r="O806" i="18"/>
  <c r="O1172" i="18" s="1"/>
  <c r="O910" i="18" s="1"/>
  <c r="O148" i="7941" s="1"/>
  <c r="Q1528" i="18"/>
  <c r="Q1108" i="18"/>
  <c r="O610" i="7941"/>
  <c r="K1915" i="7949"/>
  <c r="J1955" i="7949"/>
  <c r="K1321" i="7949"/>
  <c r="J1361" i="7949"/>
  <c r="K1213" i="7949"/>
  <c r="J1253" i="7949"/>
  <c r="K1969" i="7949"/>
  <c r="J2009" i="7949"/>
  <c r="Q1523" i="18"/>
  <c r="Q1103" i="18"/>
  <c r="P457" i="7942"/>
  <c r="O458" i="7942"/>
  <c r="N908" i="18"/>
  <c r="N1314" i="18"/>
  <c r="Q1542" i="18"/>
  <c r="Q1122" i="18"/>
  <c r="Q1117" i="18"/>
  <c r="Q1537" i="18"/>
  <c r="N362" i="7941"/>
  <c r="N1336" i="18"/>
  <c r="K2563" i="7949"/>
  <c r="J2603" i="7949"/>
  <c r="K1591" i="7949"/>
  <c r="J1631" i="7949"/>
  <c r="K1375" i="7949"/>
  <c r="J1415" i="7949"/>
  <c r="K889" i="7949"/>
  <c r="J929" i="7949"/>
  <c r="K1483" i="7949"/>
  <c r="J1523" i="7949"/>
  <c r="N158" i="7941"/>
  <c r="O54" i="7941" s="1"/>
  <c r="O816" i="18"/>
  <c r="O1182" i="18" s="1"/>
  <c r="O920" i="18" s="1"/>
  <c r="O158" i="7941" s="1"/>
  <c r="O57" i="7941"/>
  <c r="N127" i="7941"/>
  <c r="O23" i="7941" s="1"/>
  <c r="O785" i="18"/>
  <c r="O1151" i="18" s="1"/>
  <c r="O889" i="18" s="1"/>
  <c r="O127" i="7941" s="1"/>
  <c r="Q1546" i="18"/>
  <c r="Q1126" i="18"/>
  <c r="O1220" i="18"/>
  <c r="Q445" i="7942"/>
  <c r="Q446" i="7942" s="1"/>
  <c r="Q1009" i="7941" s="1"/>
  <c r="P1104" i="18"/>
  <c r="P1524" i="18"/>
  <c r="Q388" i="18"/>
  <c r="N924" i="7941"/>
  <c r="N709" i="7941"/>
  <c r="N919" i="7941" s="1"/>
  <c r="O1211" i="18"/>
  <c r="Q1539" i="18"/>
  <c r="Q1119" i="18"/>
  <c r="P514" i="7942"/>
  <c r="P470" i="7942"/>
  <c r="Q700" i="18"/>
  <c r="N909" i="18"/>
  <c r="O629" i="7941"/>
  <c r="N911" i="18"/>
  <c r="N1316" i="18"/>
  <c r="N890" i="18"/>
  <c r="P265" i="7942"/>
  <c r="K997" i="7949"/>
  <c r="J1037" i="7949"/>
  <c r="K2509" i="7949"/>
  <c r="J2549" i="7949"/>
  <c r="K1699" i="7949"/>
  <c r="J1739" i="7949"/>
  <c r="K2401" i="7949"/>
  <c r="J2441" i="7949"/>
  <c r="K1645" i="7949"/>
  <c r="J1685" i="7949"/>
  <c r="O1575" i="18"/>
  <c r="Q1527" i="18"/>
  <c r="Q1107" i="18"/>
  <c r="O599" i="7941"/>
  <c r="O434" i="7942"/>
  <c r="P433" i="7942"/>
  <c r="Q433" i="7942" s="1"/>
  <c r="N895" i="18"/>
  <c r="O602" i="7941"/>
  <c r="O33" i="7941"/>
  <c r="N427" i="7942"/>
  <c r="N399" i="7942"/>
  <c r="N410" i="7942"/>
  <c r="N408" i="7942"/>
  <c r="N412" i="7942"/>
  <c r="N416" i="7942"/>
  <c r="N404" i="7942"/>
  <c r="N402" i="7942"/>
  <c r="N426" i="7942"/>
  <c r="N393" i="7942"/>
  <c r="N379" i="7942"/>
  <c r="N421" i="7942"/>
  <c r="M378" i="7942"/>
  <c r="N1338" i="18"/>
  <c r="O795" i="18"/>
  <c r="O1161" i="18" s="1"/>
  <c r="O899" i="18" s="1"/>
  <c r="O137" i="7941" s="1"/>
  <c r="N337" i="7941"/>
  <c r="N249" i="7942"/>
  <c r="O232" i="7942"/>
  <c r="O242" i="7942"/>
  <c r="P242" i="7942" s="1"/>
  <c r="P243" i="7942" s="1"/>
  <c r="O230" i="7942"/>
  <c r="O176" i="7942"/>
  <c r="P176" i="7942" s="1"/>
  <c r="P177" i="7942" s="1"/>
  <c r="N235" i="7942"/>
  <c r="O170" i="7942"/>
  <c r="O171" i="7942" s="1"/>
  <c r="M270" i="7942"/>
  <c r="N916" i="18"/>
  <c r="N907" i="18"/>
  <c r="O252" i="7942"/>
  <c r="P252" i="7942" s="1"/>
  <c r="N205" i="7942"/>
  <c r="P1125" i="18"/>
  <c r="P1545" i="18"/>
  <c r="Q661" i="18"/>
  <c r="N352" i="7941"/>
  <c r="N903" i="18"/>
  <c r="P190" i="7942"/>
  <c r="P191" i="7942" s="1"/>
  <c r="O191" i="7942"/>
  <c r="N1325" i="18"/>
  <c r="N913" i="7941"/>
  <c r="P480" i="7942"/>
  <c r="Q480" i="7942"/>
  <c r="Q1026" i="7941" s="1"/>
  <c r="N921" i="7941"/>
  <c r="N409" i="7942"/>
  <c r="N424" i="7942"/>
  <c r="N400" i="7942"/>
  <c r="N418" i="7942"/>
  <c r="N407" i="7942"/>
  <c r="N423" i="7942"/>
  <c r="N385" i="7942"/>
  <c r="N386" i="7942"/>
  <c r="N384" i="7942"/>
  <c r="N420" i="7942"/>
  <c r="N425" i="7942"/>
  <c r="N397" i="7942"/>
  <c r="N382" i="7942"/>
  <c r="O224" i="7942"/>
  <c r="P224" i="7942" s="1"/>
  <c r="P225" i="7942" s="1"/>
  <c r="P228" i="7942"/>
  <c r="O248" i="7942"/>
  <c r="N233" i="7942"/>
  <c r="N243" i="7942"/>
  <c r="N231" i="7942"/>
  <c r="P218" i="7942"/>
  <c r="P238" i="7942"/>
  <c r="O234" i="7942"/>
  <c r="Q1552" i="18"/>
  <c r="Q1132" i="18"/>
  <c r="N1310" i="18"/>
  <c r="N1319" i="18"/>
  <c r="P188" i="7942"/>
  <c r="Q188" i="7942" s="1"/>
  <c r="Q189" i="7942" s="1"/>
  <c r="Q435" i="7941" s="1"/>
  <c r="P198" i="7942"/>
  <c r="Q198" i="7942" s="1"/>
  <c r="Q199" i="7942" s="1"/>
  <c r="Q440" i="7941" s="1"/>
  <c r="O212" i="7942"/>
  <c r="O210" i="7942"/>
  <c r="O204" i="7942"/>
  <c r="P461" i="7942"/>
  <c r="O462" i="7942"/>
  <c r="P222" i="7942"/>
  <c r="Q222" i="7942" s="1"/>
  <c r="Q223" i="7942" s="1"/>
  <c r="Q452" i="7941" s="1"/>
  <c r="O223" i="7942"/>
  <c r="K943" i="7949"/>
  <c r="J983" i="7949"/>
  <c r="K1861" i="7949"/>
  <c r="J1901" i="7949"/>
  <c r="K2347" i="7949"/>
  <c r="J2387" i="7949"/>
  <c r="K2239" i="7949"/>
  <c r="J2279" i="7949"/>
  <c r="N893" i="18"/>
  <c r="Q1518" i="18"/>
  <c r="Q1098" i="18"/>
  <c r="O608" i="7941"/>
  <c r="N1328" i="18"/>
  <c r="N415" i="7942"/>
  <c r="N406" i="7942"/>
  <c r="N531" i="7942"/>
  <c r="N411" i="7942"/>
  <c r="N428" i="7942"/>
  <c r="N395" i="7942"/>
  <c r="N398" i="7942"/>
  <c r="N389" i="7942"/>
  <c r="N390" i="7942"/>
  <c r="N403" i="7942"/>
  <c r="N388" i="7942"/>
  <c r="N419" i="7942"/>
  <c r="N414" i="7942"/>
  <c r="P1122" i="18"/>
  <c r="P1542" i="18"/>
  <c r="N902" i="18"/>
  <c r="O1208" i="18"/>
  <c r="Q1127" i="18"/>
  <c r="Q1547" i="18"/>
  <c r="N169" i="7942"/>
  <c r="N270" i="7942" s="1"/>
  <c r="N138" i="7941"/>
  <c r="O34" i="7941" s="1"/>
  <c r="O796" i="18"/>
  <c r="O1162" i="18" s="1"/>
  <c r="O598" i="7941"/>
  <c r="P1117" i="18"/>
  <c r="P1537" i="18"/>
  <c r="Q1120" i="18"/>
  <c r="Q1540" i="18"/>
  <c r="Q1106" i="18"/>
  <c r="Q1526" i="18"/>
  <c r="N1311" i="18"/>
  <c r="O430" i="7942"/>
  <c r="O391" i="7942" s="1"/>
  <c r="O484" i="7942"/>
  <c r="P483" i="7942"/>
  <c r="N1329" i="18"/>
  <c r="O1204" i="18"/>
  <c r="O1570" i="18" s="1"/>
  <c r="O1308" i="18" s="1"/>
  <c r="O702" i="7941" s="1"/>
  <c r="Q1553" i="18"/>
  <c r="Q1133" i="18"/>
  <c r="P250" i="7942"/>
  <c r="Q250" i="7942" s="1"/>
  <c r="Q251" i="7942" s="1"/>
  <c r="O251" i="7942"/>
  <c r="N892" i="18"/>
  <c r="N897" i="18"/>
  <c r="N922" i="7941"/>
  <c r="N891" i="18"/>
  <c r="N916" i="7941"/>
  <c r="N347" i="7941"/>
  <c r="N394" i="7942"/>
  <c r="N417" i="7942"/>
  <c r="N391" i="7942"/>
  <c r="N383" i="7942"/>
  <c r="N413" i="7942"/>
  <c r="N381" i="7942"/>
  <c r="N401" i="7942"/>
  <c r="N422" i="7942"/>
  <c r="N405" i="7942"/>
  <c r="N396" i="7942"/>
  <c r="N392" i="7942"/>
  <c r="N387" i="7942"/>
  <c r="O1574" i="18"/>
  <c r="P1127" i="18"/>
  <c r="P1547" i="18"/>
  <c r="N716" i="7941"/>
  <c r="N926" i="7941" s="1"/>
  <c r="O1218" i="18"/>
  <c r="O254" i="7942"/>
  <c r="P239" i="7942"/>
  <c r="N153" i="7941"/>
  <c r="N363" i="7941" s="1"/>
  <c r="O811" i="18"/>
  <c r="N912" i="7941"/>
  <c r="Q1550" i="18"/>
  <c r="Q1130" i="18"/>
  <c r="N894" i="18"/>
  <c r="Q431" i="7942"/>
  <c r="Q432" i="7942" s="1"/>
  <c r="Q1002" i="7941" s="1"/>
  <c r="N1330" i="18"/>
  <c r="O182" i="7942"/>
  <c r="O186" i="7942"/>
  <c r="Q1520" i="18"/>
  <c r="Q1100" i="18"/>
  <c r="O1577" i="18"/>
  <c r="O1315" i="18" s="1"/>
  <c r="O709" i="7941" s="1"/>
  <c r="N1331" i="18"/>
  <c r="N922" i="18"/>
  <c r="O259" i="7942"/>
  <c r="P258" i="7942"/>
  <c r="Q258" i="7942" s="1"/>
  <c r="N888" i="18"/>
  <c r="N928" i="7941"/>
  <c r="P503" i="7942"/>
  <c r="P1552" i="18"/>
  <c r="P1132" i="18"/>
  <c r="O622" i="7941"/>
  <c r="Q1115" i="18"/>
  <c r="Q1535" i="18"/>
  <c r="O180" i="7942"/>
  <c r="N259" i="7942"/>
  <c r="O184" i="7942"/>
  <c r="N261" i="7942"/>
  <c r="P206" i="7942"/>
  <c r="O208" i="7942"/>
  <c r="P208" i="7942" s="1"/>
  <c r="Q208" i="7942" s="1"/>
  <c r="Q209" i="7942" s="1"/>
  <c r="Q445" i="7941" s="1"/>
  <c r="O173" i="7942"/>
  <c r="O38" i="7941"/>
  <c r="P508" i="7942"/>
  <c r="Q512" i="7942"/>
  <c r="Q1042" i="7941" s="1"/>
  <c r="N918" i="18"/>
  <c r="O236" i="7942"/>
  <c r="P236" i="7942" s="1"/>
  <c r="Q236" i="7942" s="1"/>
  <c r="Q462" i="7941" s="1"/>
  <c r="O244" i="7942"/>
  <c r="O245" i="7942" s="1"/>
  <c r="O268" i="7942"/>
  <c r="P268" i="7942" s="1"/>
  <c r="Q268" i="7942" s="1"/>
  <c r="Q269" i="7942" s="1"/>
  <c r="Q190" i="7942"/>
  <c r="Q191" i="7942" s="1"/>
  <c r="Q436" i="7941" s="1"/>
  <c r="P221" i="7942"/>
  <c r="N221" i="7942"/>
  <c r="O196" i="7942"/>
  <c r="P196" i="7942" s="1"/>
  <c r="Q196" i="7942" s="1"/>
  <c r="Q197" i="7942" s="1"/>
  <c r="Q439" i="7941" s="1"/>
  <c r="Q1101" i="18"/>
  <c r="Q1521" i="18"/>
  <c r="O508" i="7942"/>
  <c r="Q515" i="7942"/>
  <c r="Q516" i="7942" s="1"/>
  <c r="Q1044" i="7941" s="1"/>
  <c r="O488" i="7942"/>
  <c r="O452" i="7942"/>
  <c r="P530" i="7942"/>
  <c r="Q529" i="7942"/>
  <c r="Q530" i="7942" s="1"/>
  <c r="Q1051" i="7941" s="1"/>
  <c r="Q1531" i="18"/>
  <c r="Q1111" i="18"/>
  <c r="P1133" i="18"/>
  <c r="P1553" i="18"/>
  <c r="Q506" i="7942"/>
  <c r="Q1039" i="7941" s="1"/>
  <c r="P528" i="7942"/>
  <c r="Q527" i="7942"/>
  <c r="Q528" i="7942" s="1"/>
  <c r="Q1050" i="7941" s="1"/>
  <c r="O1584" i="18"/>
  <c r="O1322" i="18" s="1"/>
  <c r="O716" i="7941" s="1"/>
  <c r="O1332" i="18"/>
  <c r="O726" i="7941" s="1"/>
  <c r="N358" i="7941"/>
  <c r="N1340" i="18"/>
  <c r="P451" i="7942"/>
  <c r="Q508" i="7942"/>
  <c r="Q1040" i="7941" s="1"/>
  <c r="Q1530" i="18"/>
  <c r="Q1110" i="18"/>
  <c r="P1102" i="18"/>
  <c r="P1522" i="18"/>
  <c r="N927" i="7941"/>
  <c r="O612" i="7941"/>
  <c r="P257" i="7942"/>
  <c r="O260" i="7942"/>
  <c r="P260" i="7942" s="1"/>
  <c r="O207" i="7942"/>
  <c r="P247" i="7942"/>
  <c r="P172" i="7942"/>
  <c r="O490" i="7942"/>
  <c r="P489" i="7942"/>
  <c r="P490" i="7942" s="1"/>
  <c r="O472" i="7942"/>
  <c r="Q471" i="7942"/>
  <c r="Q472" i="7942" s="1"/>
  <c r="Q1022" i="7941" s="1"/>
  <c r="O492" i="7942"/>
  <c r="O194" i="7942"/>
  <c r="O266" i="7942"/>
  <c r="O221" i="7942"/>
  <c r="O240" i="7942"/>
  <c r="O241" i="7942" s="1"/>
  <c r="O44" i="7941"/>
  <c r="N896" i="18"/>
  <c r="Q440" i="7942"/>
  <c r="Q1006" i="7941" s="1"/>
  <c r="Q505" i="18"/>
  <c r="P1533" i="18"/>
  <c r="P1113" i="18"/>
  <c r="N936" i="7941"/>
  <c r="P184" i="7942"/>
  <c r="P185" i="7942" s="1"/>
  <c r="N173" i="7942"/>
  <c r="O49" i="7941"/>
  <c r="P487" i="7942"/>
  <c r="P482" i="7942"/>
  <c r="Q481" i="7942"/>
  <c r="Q482" i="7942" s="1"/>
  <c r="Q1027" i="7941" s="1"/>
  <c r="P491" i="7942"/>
  <c r="P492" i="7942" s="1"/>
  <c r="N898" i="18"/>
  <c r="Q1131" i="18"/>
  <c r="Q1551" i="18"/>
  <c r="O1177" i="18"/>
  <c r="O915" i="18" s="1"/>
  <c r="O153" i="7941" s="1"/>
  <c r="Q453" i="7942" l="1"/>
  <c r="Q454" i="7942" s="1"/>
  <c r="Q1013" i="7941" s="1"/>
  <c r="P261" i="7942"/>
  <c r="P518" i="7942"/>
  <c r="Q517" i="7942"/>
  <c r="Q518" i="7942" s="1"/>
  <c r="Q1045" i="7941" s="1"/>
  <c r="O237" i="7942"/>
  <c r="O605" i="7941"/>
  <c r="P605" i="7941" s="1"/>
  <c r="Q202" i="7942"/>
  <c r="Q203" i="7942" s="1"/>
  <c r="Q442" i="7941" s="1"/>
  <c r="P199" i="7942"/>
  <c r="Q1522" i="18"/>
  <c r="P262" i="7942"/>
  <c r="Q262" i="7942" s="1"/>
  <c r="Q263" i="7942" s="1"/>
  <c r="P192" i="7942"/>
  <c r="Q264" i="7942"/>
  <c r="Q265" i="7942" s="1"/>
  <c r="P253" i="7942"/>
  <c r="Q252" i="7942"/>
  <c r="P49" i="7941"/>
  <c r="O358" i="7941"/>
  <c r="P622" i="7941"/>
  <c r="O55" i="7941"/>
  <c r="P226" i="7942"/>
  <c r="P189" i="7942"/>
  <c r="Q477" i="7942"/>
  <c r="Q478" i="7942" s="1"/>
  <c r="Q1025" i="7941" s="1"/>
  <c r="P478" i="7942"/>
  <c r="O418" i="7942"/>
  <c r="P216" i="7942"/>
  <c r="P244" i="7942"/>
  <c r="P1228" i="18"/>
  <c r="O408" i="7942"/>
  <c r="O922" i="7941"/>
  <c r="P200" i="7942"/>
  <c r="O201" i="7942"/>
  <c r="P608" i="7941"/>
  <c r="P599" i="7941"/>
  <c r="O531" i="7942"/>
  <c r="P178" i="7942"/>
  <c r="O926" i="7941"/>
  <c r="O423" i="7942"/>
  <c r="Q242" i="7942"/>
  <c r="Q468" i="7941" s="1"/>
  <c r="P436" i="7942"/>
  <c r="Q435" i="7942"/>
  <c r="Q436" i="7942" s="1"/>
  <c r="Q1004" i="7941" s="1"/>
  <c r="P598" i="7941"/>
  <c r="O912" i="7941"/>
  <c r="P33" i="7941"/>
  <c r="O347" i="7941"/>
  <c r="P23" i="7941"/>
  <c r="P54" i="7941"/>
  <c r="O927" i="7941"/>
  <c r="O369" i="7941"/>
  <c r="P613" i="7941"/>
  <c r="P486" i="7942"/>
  <c r="Q485" i="7942"/>
  <c r="Q486" i="7942" s="1"/>
  <c r="Q1029" i="7941" s="1"/>
  <c r="P263" i="7942"/>
  <c r="O414" i="7942"/>
  <c r="O385" i="7942"/>
  <c r="O396" i="7942"/>
  <c r="O410" i="7942"/>
  <c r="O177" i="7942"/>
  <c r="N348" i="7941"/>
  <c r="O384" i="7942"/>
  <c r="O382" i="7942"/>
  <c r="Q434" i="7942"/>
  <c r="Q1003" i="7941" s="1"/>
  <c r="O362" i="7941"/>
  <c r="Q470" i="7942"/>
  <c r="Q1021" i="7941" s="1"/>
  <c r="P1124" i="18"/>
  <c r="Q648" i="18"/>
  <c r="P1544" i="18"/>
  <c r="O265" i="7942"/>
  <c r="O422" i="7942"/>
  <c r="Q1536" i="18"/>
  <c r="Q1116" i="18"/>
  <c r="P612" i="7941"/>
  <c r="O428" i="7942"/>
  <c r="O412" i="7942"/>
  <c r="O921" i="7941"/>
  <c r="N925" i="7941"/>
  <c r="O925" i="7941" s="1"/>
  <c r="P174" i="7942"/>
  <c r="O379" i="7942"/>
  <c r="O400" i="7942"/>
  <c r="O399" i="7942"/>
  <c r="Q247" i="7942"/>
  <c r="Q473" i="7941" s="1"/>
  <c r="O257" i="7942"/>
  <c r="Q259" i="7942"/>
  <c r="O403" i="7942"/>
  <c r="O383" i="7942"/>
  <c r="O419" i="7942"/>
  <c r="O420" i="7942"/>
  <c r="N368" i="7941"/>
  <c r="O368" i="7941" s="1"/>
  <c r="P434" i="7942"/>
  <c r="O603" i="7941"/>
  <c r="Q497" i="7942"/>
  <c r="Q498" i="7942" s="1"/>
  <c r="Q1035" i="7941" s="1"/>
  <c r="O247" i="7942"/>
  <c r="N134" i="7941"/>
  <c r="O792" i="18"/>
  <c r="N734" i="7941"/>
  <c r="O1236" i="18"/>
  <c r="P611" i="7941"/>
  <c r="P1594" i="18"/>
  <c r="P1332" i="18" s="1"/>
  <c r="P488" i="7942"/>
  <c r="Q487" i="7942"/>
  <c r="Q488" i="7942" s="1"/>
  <c r="Q1030" i="7941" s="1"/>
  <c r="O936" i="7941"/>
  <c r="P44" i="7941"/>
  <c r="O267" i="7942"/>
  <c r="P266" i="7942"/>
  <c r="Q266" i="7942" s="1"/>
  <c r="Q267" i="7942" s="1"/>
  <c r="Q489" i="7942"/>
  <c r="Q490" i="7942" s="1"/>
  <c r="Q1031" i="7941" s="1"/>
  <c r="O363" i="7941"/>
  <c r="Q491" i="7942"/>
  <c r="Q492" i="7942" s="1"/>
  <c r="Q1032" i="7941" s="1"/>
  <c r="O900" i="18"/>
  <c r="O138" i="7941" s="1"/>
  <c r="Q451" i="7942"/>
  <c r="Q452" i="7942" s="1"/>
  <c r="Q1012" i="7941" s="1"/>
  <c r="P452" i="7942"/>
  <c r="P430" i="7942"/>
  <c r="P410" i="7942" s="1"/>
  <c r="Q244" i="7942"/>
  <c r="P245" i="7942"/>
  <c r="P180" i="7942"/>
  <c r="O181" i="7942"/>
  <c r="P173" i="7942"/>
  <c r="Q172" i="7942"/>
  <c r="Q173" i="7942" s="1"/>
  <c r="Q427" i="7941" s="1"/>
  <c r="O185" i="7942"/>
  <c r="Q184" i="7942"/>
  <c r="Q185" i="7942" s="1"/>
  <c r="Q433" i="7941" s="1"/>
  <c r="O255" i="7942"/>
  <c r="P254" i="7942"/>
  <c r="P255" i="7942" s="1"/>
  <c r="O261" i="7942"/>
  <c r="N705" i="7941"/>
  <c r="O1207" i="18"/>
  <c r="P462" i="7942"/>
  <c r="Q461" i="7942"/>
  <c r="Q462" i="7942" s="1"/>
  <c r="Q1017" i="7941" s="1"/>
  <c r="O211" i="7942"/>
  <c r="P210" i="7942"/>
  <c r="P211" i="7942" s="1"/>
  <c r="O235" i="7942"/>
  <c r="P234" i="7942"/>
  <c r="P235" i="7942" s="1"/>
  <c r="Q238" i="7942"/>
  <c r="Q464" i="7941" s="1"/>
  <c r="O249" i="7942"/>
  <c r="P248" i="7942"/>
  <c r="Q248" i="7942" s="1"/>
  <c r="Q474" i="7941" s="1"/>
  <c r="O392" i="7942"/>
  <c r="O381" i="7942"/>
  <c r="O395" i="7942"/>
  <c r="O913" i="7941"/>
  <c r="N719" i="7941"/>
  <c r="O1221" i="18"/>
  <c r="P232" i="7942"/>
  <c r="O233" i="7942"/>
  <c r="P795" i="18"/>
  <c r="P1161" i="18" s="1"/>
  <c r="P385" i="7942"/>
  <c r="P607" i="7941"/>
  <c r="O714" i="7941"/>
  <c r="O924" i="7941" s="1"/>
  <c r="P1216" i="18"/>
  <c r="Q206" i="7942"/>
  <c r="Q207" i="7942" s="1"/>
  <c r="Q444" i="7941" s="1"/>
  <c r="P207" i="7942"/>
  <c r="Q503" i="7942"/>
  <c r="Q504" i="7942" s="1"/>
  <c r="Q1038" i="7941" s="1"/>
  <c r="O1312" i="18"/>
  <c r="O706" i="7941" s="1"/>
  <c r="O916" i="7941" s="1"/>
  <c r="O187" i="7942"/>
  <c r="P186" i="7942"/>
  <c r="Q186" i="7942" s="1"/>
  <c r="Q187" i="7942" s="1"/>
  <c r="Q434" i="7941" s="1"/>
  <c r="N724" i="7941"/>
  <c r="O1226" i="18"/>
  <c r="P811" i="18"/>
  <c r="P1177" i="18" s="1"/>
  <c r="P1218" i="18"/>
  <c r="P1584" i="18" s="1"/>
  <c r="N129" i="7941"/>
  <c r="O787" i="18"/>
  <c r="P251" i="7942"/>
  <c r="N723" i="7941"/>
  <c r="O1225" i="18"/>
  <c r="P484" i="7942"/>
  <c r="Q483" i="7942"/>
  <c r="Q484" i="7942" s="1"/>
  <c r="Q1028" i="7941" s="1"/>
  <c r="N722" i="7941"/>
  <c r="O1224" i="18"/>
  <c r="L2347" i="7949"/>
  <c r="K2387" i="7949"/>
  <c r="L943" i="7949"/>
  <c r="K983" i="7949"/>
  <c r="N713" i="7941"/>
  <c r="O1215" i="18"/>
  <c r="N704" i="7941"/>
  <c r="O1206" i="18"/>
  <c r="P219" i="7942"/>
  <c r="Q218" i="7942"/>
  <c r="Q219" i="7942" s="1"/>
  <c r="Q450" i="7941" s="1"/>
  <c r="O380" i="7942"/>
  <c r="P411" i="7942"/>
  <c r="O401" i="7942"/>
  <c r="P415" i="7942"/>
  <c r="P420" i="7942"/>
  <c r="P427" i="7942"/>
  <c r="O337" i="7941"/>
  <c r="N732" i="7941"/>
  <c r="O1234" i="18"/>
  <c r="P409" i="7942"/>
  <c r="P416" i="7942"/>
  <c r="O142" i="7941"/>
  <c r="P38" i="7941" s="1"/>
  <c r="P800" i="18"/>
  <c r="P504" i="7942"/>
  <c r="O269" i="7942"/>
  <c r="P269" i="7942"/>
  <c r="P237" i="7942"/>
  <c r="O209" i="7942"/>
  <c r="P209" i="7942"/>
  <c r="P193" i="7942"/>
  <c r="N132" i="7941"/>
  <c r="O790" i="18"/>
  <c r="P1204" i="18"/>
  <c r="P1570" i="18" s="1"/>
  <c r="P380" i="7942"/>
  <c r="O387" i="7942"/>
  <c r="O409" i="7942"/>
  <c r="P428" i="7942"/>
  <c r="O424" i="7942"/>
  <c r="O386" i="7942"/>
  <c r="N131" i="7941"/>
  <c r="O789" i="18"/>
  <c r="P223" i="7942"/>
  <c r="P204" i="7942"/>
  <c r="Q204" i="7942" s="1"/>
  <c r="Q205" i="7942" s="1"/>
  <c r="Q443" i="7941" s="1"/>
  <c r="O205" i="7942"/>
  <c r="Q192" i="7942"/>
  <c r="Q193" i="7942" s="1"/>
  <c r="Q437" i="7941" s="1"/>
  <c r="Q228" i="7942"/>
  <c r="Q229" i="7942" s="1"/>
  <c r="Q455" i="7941" s="1"/>
  <c r="P229" i="7942"/>
  <c r="P419" i="7942"/>
  <c r="O398" i="7942"/>
  <c r="O397" i="7942"/>
  <c r="O405" i="7942"/>
  <c r="O402" i="7942"/>
  <c r="O404" i="7942"/>
  <c r="Q1125" i="18"/>
  <c r="Q1545" i="18"/>
  <c r="P230" i="7942"/>
  <c r="O231" i="7942"/>
  <c r="O390" i="7942"/>
  <c r="N136" i="7941"/>
  <c r="O794" i="18"/>
  <c r="Q1113" i="18"/>
  <c r="Q1533" i="18"/>
  <c r="P240" i="7942"/>
  <c r="Q240" i="7942" s="1"/>
  <c r="Q466" i="7941" s="1"/>
  <c r="O195" i="7942"/>
  <c r="P194" i="7942"/>
  <c r="Q194" i="7942" s="1"/>
  <c r="Q195" i="7942" s="1"/>
  <c r="Q438" i="7941" s="1"/>
  <c r="O197" i="7942"/>
  <c r="P197" i="7942"/>
  <c r="Q237" i="7942"/>
  <c r="Q463" i="7941" s="1"/>
  <c r="N156" i="7941"/>
  <c r="O814" i="18"/>
  <c r="Q260" i="7942"/>
  <c r="Q261" i="7942" s="1"/>
  <c r="P259" i="7942"/>
  <c r="N126" i="7941"/>
  <c r="O784" i="18"/>
  <c r="N160" i="7941"/>
  <c r="O818" i="18"/>
  <c r="N725" i="7941"/>
  <c r="O1227" i="18"/>
  <c r="O183" i="7942"/>
  <c r="P182" i="7942"/>
  <c r="Q182" i="7942" s="1"/>
  <c r="Q183" i="7942" s="1"/>
  <c r="Q432" i="7941" s="1"/>
  <c r="N135" i="7941"/>
  <c r="O793" i="18"/>
  <c r="N130" i="7941"/>
  <c r="O788" i="18"/>
  <c r="O425" i="7942"/>
  <c r="P418" i="7942"/>
  <c r="O416" i="7942"/>
  <c r="P404" i="7942"/>
  <c r="P421" i="7942"/>
  <c r="O406" i="7942"/>
  <c r="O388" i="7942"/>
  <c r="P400" i="7942"/>
  <c r="P405" i="7942"/>
  <c r="P399" i="7942"/>
  <c r="P425" i="7942"/>
  <c r="O413" i="7942"/>
  <c r="O389" i="7942"/>
  <c r="P403" i="7942"/>
  <c r="P417" i="7942"/>
  <c r="O415" i="7942"/>
  <c r="P426" i="7942"/>
  <c r="O417" i="7942"/>
  <c r="O411" i="7942"/>
  <c r="P531" i="7942"/>
  <c r="P414" i="7942"/>
  <c r="P1208" i="18"/>
  <c r="N140" i="7941"/>
  <c r="O798" i="18"/>
  <c r="O427" i="7942"/>
  <c r="O393" i="7942"/>
  <c r="P392" i="7942"/>
  <c r="O421" i="7942"/>
  <c r="P412" i="7942"/>
  <c r="O394" i="7942"/>
  <c r="L2239" i="7949"/>
  <c r="K2279" i="7949"/>
  <c r="L1861" i="7949"/>
  <c r="K1901" i="7949"/>
  <c r="P205" i="7942"/>
  <c r="O213" i="7942"/>
  <c r="P212" i="7942"/>
  <c r="O225" i="7942"/>
  <c r="Q224" i="7942"/>
  <c r="Q225" i="7942" s="1"/>
  <c r="Q453" i="7941" s="1"/>
  <c r="P379" i="7942"/>
  <c r="P394" i="7942"/>
  <c r="O407" i="7942"/>
  <c r="P383" i="7942"/>
  <c r="P381" i="7942"/>
  <c r="O426" i="7942"/>
  <c r="P408" i="7942"/>
  <c r="P602" i="7941"/>
  <c r="P55" i="7941"/>
  <c r="N141" i="7941"/>
  <c r="O799" i="18"/>
  <c r="P915" i="18"/>
  <c r="P153" i="7941" s="1"/>
  <c r="Q49" i="7941" s="1"/>
  <c r="N145" i="7941"/>
  <c r="O803" i="18"/>
  <c r="N133" i="7941"/>
  <c r="O791" i="18"/>
  <c r="L2401" i="7949"/>
  <c r="K2441" i="7949"/>
  <c r="L2509" i="7949"/>
  <c r="K2549" i="7949"/>
  <c r="N149" i="7941"/>
  <c r="O807" i="18"/>
  <c r="P1211" i="18"/>
  <c r="P1577" i="18" s="1"/>
  <c r="P1315" i="18" s="1"/>
  <c r="P709" i="7941" s="1"/>
  <c r="L889" i="7949"/>
  <c r="K929" i="7949"/>
  <c r="L1591" i="7949"/>
  <c r="K1631" i="7949"/>
  <c r="P458" i="7942"/>
  <c r="Q457" i="7942"/>
  <c r="Q458" i="7942" s="1"/>
  <c r="Q1015" i="7941" s="1"/>
  <c r="L1969" i="7949"/>
  <c r="K2009" i="7949"/>
  <c r="L1321" i="7949"/>
  <c r="K1361" i="7949"/>
  <c r="N720" i="7941"/>
  <c r="O1222" i="18"/>
  <c r="N721" i="7941"/>
  <c r="O1223" i="18"/>
  <c r="P1213" i="18"/>
  <c r="P1579" i="18" s="1"/>
  <c r="N736" i="7941"/>
  <c r="O1238" i="18"/>
  <c r="N731" i="7941"/>
  <c r="O1233" i="18"/>
  <c r="Q1129" i="18"/>
  <c r="Q1549" i="18"/>
  <c r="O1601" i="18"/>
  <c r="N727" i="7941"/>
  <c r="O1229" i="18"/>
  <c r="Q499" i="7942"/>
  <c r="L2455" i="7949"/>
  <c r="K2495" i="7949"/>
  <c r="L1537" i="7949"/>
  <c r="K1577" i="7949"/>
  <c r="L1429" i="7949"/>
  <c r="K1469" i="7949"/>
  <c r="P1205" i="18"/>
  <c r="P1571" i="18" s="1"/>
  <c r="N154" i="7941"/>
  <c r="O812" i="18"/>
  <c r="Q243" i="7942"/>
  <c r="Q469" i="7941" s="1"/>
  <c r="N378" i="7942"/>
  <c r="N147" i="7941"/>
  <c r="O805" i="18"/>
  <c r="O1586" i="18"/>
  <c r="O1324" i="18" s="1"/>
  <c r="O718" i="7941" s="1"/>
  <c r="P614" i="7941" s="1"/>
  <c r="P816" i="18"/>
  <c r="P1182" i="18" s="1"/>
  <c r="P920" i="18" s="1"/>
  <c r="P158" i="7941" s="1"/>
  <c r="P368" i="7941" s="1"/>
  <c r="N708" i="7941"/>
  <c r="O1210" i="18"/>
  <c r="P806" i="18"/>
  <c r="P1172" i="18" s="1"/>
  <c r="L1807" i="7949"/>
  <c r="K1847" i="7949"/>
  <c r="L835" i="7949"/>
  <c r="K875" i="7949"/>
  <c r="P899" i="18"/>
  <c r="P137" i="7941" s="1"/>
  <c r="P1176" i="18"/>
  <c r="P914" i="18" s="1"/>
  <c r="P152" i="7941" s="1"/>
  <c r="Q48" i="7941" s="1"/>
  <c r="N735" i="7941"/>
  <c r="O1237" i="18"/>
  <c r="L2617" i="7949"/>
  <c r="K2657" i="7949"/>
  <c r="L1267" i="7949"/>
  <c r="K1307" i="7949"/>
  <c r="O1313" i="18"/>
  <c r="O707" i="7941" s="1"/>
  <c r="O917" i="7941" s="1"/>
  <c r="P1217" i="18"/>
  <c r="P1583" i="18" s="1"/>
  <c r="L1105" i="7949"/>
  <c r="K1145" i="7949"/>
  <c r="L2671" i="7949"/>
  <c r="K2711" i="7949"/>
  <c r="N143" i="7941"/>
  <c r="O801" i="18"/>
  <c r="N139" i="7941"/>
  <c r="O797" i="18"/>
  <c r="N144" i="7941"/>
  <c r="O802" i="18"/>
  <c r="L1645" i="7949"/>
  <c r="K1685" i="7949"/>
  <c r="L1699" i="7949"/>
  <c r="K1739" i="7949"/>
  <c r="L997" i="7949"/>
  <c r="K1037" i="7949"/>
  <c r="N128" i="7941"/>
  <c r="O786" i="18"/>
  <c r="N710" i="7941"/>
  <c r="O1212" i="18"/>
  <c r="Q1128" i="18"/>
  <c r="Q1548" i="18"/>
  <c r="Q1104" i="18"/>
  <c r="Q1524" i="18"/>
  <c r="L1483" i="7949"/>
  <c r="K1523" i="7949"/>
  <c r="L1375" i="7949"/>
  <c r="K1415" i="7949"/>
  <c r="L2563" i="7949"/>
  <c r="K2603" i="7949"/>
  <c r="N730" i="7941"/>
  <c r="O1232" i="18"/>
  <c r="N146" i="7941"/>
  <c r="O804" i="18"/>
  <c r="L1213" i="7949"/>
  <c r="K1253" i="7949"/>
  <c r="L1915" i="7949"/>
  <c r="K1955" i="7949"/>
  <c r="P817" i="18"/>
  <c r="P1183" i="18" s="1"/>
  <c r="P1214" i="18"/>
  <c r="P1580" i="18" s="1"/>
  <c r="P1318" i="18" s="1"/>
  <c r="P712" i="7941" s="1"/>
  <c r="Q608" i="7941" s="1"/>
  <c r="Q1525" i="18"/>
  <c r="Q1105" i="18"/>
  <c r="L1753" i="7949"/>
  <c r="K1793" i="7949"/>
  <c r="L2023" i="7949"/>
  <c r="K2063" i="7949"/>
  <c r="P1219" i="18"/>
  <c r="P1585" i="18" s="1"/>
  <c r="O253" i="7942"/>
  <c r="Q253" i="7942"/>
  <c r="P170" i="7942"/>
  <c r="P171" i="7942" s="1"/>
  <c r="O169" i="7942"/>
  <c r="O270" i="7942" s="1"/>
  <c r="Q176" i="7942"/>
  <c r="Q177" i="7942" s="1"/>
  <c r="Q429" i="7941" s="1"/>
  <c r="P785" i="18"/>
  <c r="P1151" i="18" s="1"/>
  <c r="L1051" i="7949"/>
  <c r="K1091" i="7949"/>
  <c r="L2293" i="7949"/>
  <c r="K2333" i="7949"/>
  <c r="N729" i="7941"/>
  <c r="O1231" i="18"/>
  <c r="O1185" i="18"/>
  <c r="O923" i="18" s="1"/>
  <c r="O161" i="7941" s="1"/>
  <c r="P57" i="7941" s="1"/>
  <c r="P1209" i="18"/>
  <c r="P1575" i="18" s="1"/>
  <c r="N155" i="7941"/>
  <c r="O813" i="18"/>
  <c r="Q1109" i="18"/>
  <c r="Q1529" i="18"/>
  <c r="N157" i="7941"/>
  <c r="O815" i="18"/>
  <c r="L2185" i="7949"/>
  <c r="K2225" i="7949"/>
  <c r="L781" i="7949"/>
  <c r="K821" i="7949"/>
  <c r="O243" i="7942"/>
  <c r="N150" i="7941"/>
  <c r="O808" i="18"/>
  <c r="Q500" i="7942"/>
  <c r="Q1036" i="7941" s="1"/>
  <c r="O1596" i="18"/>
  <c r="O1334" i="18" s="1"/>
  <c r="O728" i="7941" s="1"/>
  <c r="P624" i="7941" s="1"/>
  <c r="N737" i="7941"/>
  <c r="O1239" i="18"/>
  <c r="L2077" i="7949"/>
  <c r="K2117" i="7949"/>
  <c r="L2131" i="7949"/>
  <c r="K2171" i="7949"/>
  <c r="L1159" i="7949"/>
  <c r="K1199" i="7949"/>
  <c r="N151" i="7941"/>
  <c r="O809" i="18"/>
  <c r="P610" i="7941" l="1"/>
  <c r="O919" i="7941"/>
  <c r="P919" i="7941" s="1"/>
  <c r="P187" i="7942"/>
  <c r="P249" i="7942"/>
  <c r="Q210" i="7942"/>
  <c r="Q211" i="7942" s="1"/>
  <c r="Q446" i="7941" s="1"/>
  <c r="P819" i="18"/>
  <c r="P1185" i="18" s="1"/>
  <c r="P923" i="18" s="1"/>
  <c r="P161" i="7941" s="1"/>
  <c r="Q57" i="7941" s="1"/>
  <c r="P217" i="7942"/>
  <c r="Q216" i="7942"/>
  <c r="Q217" i="7942" s="1"/>
  <c r="Q449" i="7941" s="1"/>
  <c r="P227" i="7942"/>
  <c r="Q226" i="7942"/>
  <c r="Q227" i="7942" s="1"/>
  <c r="Q454" i="7941" s="1"/>
  <c r="P796" i="18"/>
  <c r="P1162" i="18" s="1"/>
  <c r="P900" i="18" s="1"/>
  <c r="P138" i="7941" s="1"/>
  <c r="P397" i="7942"/>
  <c r="P396" i="7942"/>
  <c r="P179" i="7942"/>
  <c r="Q178" i="7942"/>
  <c r="Q179" i="7942" s="1"/>
  <c r="Q430" i="7941" s="1"/>
  <c r="Q200" i="7942"/>
  <c r="Q201" i="7942" s="1"/>
  <c r="Q441" i="7941" s="1"/>
  <c r="P201" i="7942"/>
  <c r="P181" i="7942"/>
  <c r="P195" i="7942"/>
  <c r="Q249" i="7942"/>
  <c r="Q475" i="7941" s="1"/>
  <c r="P1220" i="18"/>
  <c r="Q796" i="18"/>
  <c r="P402" i="7942"/>
  <c r="P391" i="7942"/>
  <c r="Q180" i="7942"/>
  <c r="Q181" i="7942" s="1"/>
  <c r="Q431" i="7941" s="1"/>
  <c r="O378" i="7942"/>
  <c r="Q1544" i="18"/>
  <c r="Q1124" i="18"/>
  <c r="P347" i="7941"/>
  <c r="Q1001" i="7941"/>
  <c r="P1230" i="18"/>
  <c r="P1596" i="18" s="1"/>
  <c r="P1334" i="18" s="1"/>
  <c r="P728" i="7941" s="1"/>
  <c r="Q624" i="7941" s="1"/>
  <c r="Q810" i="18"/>
  <c r="Q1176" i="18" s="1"/>
  <c r="Q914" i="18" s="1"/>
  <c r="Q152" i="7941" s="1"/>
  <c r="Q816" i="18"/>
  <c r="Q1182" i="18" s="1"/>
  <c r="Q920" i="18" s="1"/>
  <c r="P183" i="7942"/>
  <c r="Q234" i="7942"/>
  <c r="Q460" i="7941" s="1"/>
  <c r="Q254" i="7942"/>
  <c r="Q255" i="7942" s="1"/>
  <c r="P175" i="7942"/>
  <c r="Q174" i="7942"/>
  <c r="Q175" i="7942" s="1"/>
  <c r="Q428" i="7941" s="1"/>
  <c r="P910" i="18"/>
  <c r="P1309" i="18"/>
  <c r="P1323" i="18"/>
  <c r="P1313" i="18"/>
  <c r="M2131" i="7949"/>
  <c r="L2171" i="7949"/>
  <c r="N947" i="7941"/>
  <c r="O633" i="7941"/>
  <c r="O1181" i="18"/>
  <c r="O1597" i="18"/>
  <c r="P169" i="7942"/>
  <c r="P270" i="7942" s="1"/>
  <c r="Q170" i="7942"/>
  <c r="Q1214" i="18"/>
  <c r="Q1580" i="18" s="1"/>
  <c r="Q1318" i="18" s="1"/>
  <c r="Q712" i="7941" s="1"/>
  <c r="P921" i="18"/>
  <c r="O1152" i="18"/>
  <c r="O1168" i="18"/>
  <c r="O1163" i="18"/>
  <c r="O39" i="7941"/>
  <c r="N353" i="7941"/>
  <c r="M1267" i="7949"/>
  <c r="L1307" i="7949"/>
  <c r="O631" i="7941"/>
  <c r="N945" i="7941"/>
  <c r="M1807" i="7949"/>
  <c r="L1847" i="7949"/>
  <c r="O1595" i="18"/>
  <c r="O632" i="7941"/>
  <c r="N946" i="7941"/>
  <c r="O1588" i="18"/>
  <c r="M1591" i="7949"/>
  <c r="L1631" i="7949"/>
  <c r="O1173" i="18"/>
  <c r="O1169" i="18"/>
  <c r="O37" i="7941"/>
  <c r="N351" i="7941"/>
  <c r="O36" i="7941"/>
  <c r="N350" i="7941"/>
  <c r="O1159" i="18"/>
  <c r="O56" i="7941"/>
  <c r="N370" i="7941"/>
  <c r="N366" i="7941"/>
  <c r="O52" i="7941"/>
  <c r="O32" i="7941"/>
  <c r="N346" i="7941"/>
  <c r="O1155" i="18"/>
  <c r="P1308" i="18"/>
  <c r="P702" i="7941" s="1"/>
  <c r="P362" i="7941"/>
  <c r="N914" i="7941"/>
  <c r="O600" i="7941"/>
  <c r="O1581" i="18"/>
  <c r="M943" i="7949"/>
  <c r="L983" i="7949"/>
  <c r="O619" i="7941"/>
  <c r="N933" i="7941"/>
  <c r="O352" i="7941"/>
  <c r="Q235" i="7942"/>
  <c r="Q461" i="7941" s="1"/>
  <c r="P922" i="7941"/>
  <c r="Q1162" i="18"/>
  <c r="Q900" i="18" s="1"/>
  <c r="Q605" i="7941"/>
  <c r="O30" i="7941"/>
  <c r="N344" i="7941"/>
  <c r="M2185" i="7949"/>
  <c r="L2225" i="7949"/>
  <c r="O53" i="7941"/>
  <c r="N367" i="7941"/>
  <c r="O1179" i="18"/>
  <c r="O625" i="7941"/>
  <c r="N939" i="7941"/>
  <c r="M1051" i="7949"/>
  <c r="L1091" i="7949"/>
  <c r="M1753" i="7949"/>
  <c r="L1793" i="7949"/>
  <c r="M1213" i="7949"/>
  <c r="L1253" i="7949"/>
  <c r="M2563" i="7949"/>
  <c r="L2603" i="7949"/>
  <c r="M1483" i="7949"/>
  <c r="L1523" i="7949"/>
  <c r="O24" i="7941"/>
  <c r="N338" i="7941"/>
  <c r="M1699" i="7949"/>
  <c r="L1739" i="7949"/>
  <c r="N354" i="7941"/>
  <c r="O40" i="7941"/>
  <c r="O35" i="7941"/>
  <c r="N349" i="7941"/>
  <c r="M1105" i="7949"/>
  <c r="L1145" i="7949"/>
  <c r="O1171" i="18"/>
  <c r="O1178" i="18"/>
  <c r="M1429" i="7949"/>
  <c r="L1469" i="7949"/>
  <c r="M2455" i="7949"/>
  <c r="L2495" i="7949"/>
  <c r="N937" i="7941"/>
  <c r="O623" i="7941"/>
  <c r="O1339" i="18"/>
  <c r="O1599" i="18"/>
  <c r="N930" i="7941"/>
  <c r="O616" i="7941"/>
  <c r="M1321" i="7949"/>
  <c r="L1361" i="7949"/>
  <c r="Q1211" i="18"/>
  <c r="O45" i="7941"/>
  <c r="N359" i="7941"/>
  <c r="M2401" i="7949"/>
  <c r="L2441" i="7949"/>
  <c r="N355" i="7941"/>
  <c r="O41" i="7941"/>
  <c r="P213" i="7942"/>
  <c r="Q212" i="7942"/>
  <c r="Q213" i="7942" s="1"/>
  <c r="Q447" i="7941" s="1"/>
  <c r="M1861" i="7949"/>
  <c r="L1901" i="7949"/>
  <c r="O31" i="7941"/>
  <c r="N345" i="7941"/>
  <c r="O1593" i="18"/>
  <c r="P231" i="7942"/>
  <c r="O27" i="7941"/>
  <c r="N341" i="7941"/>
  <c r="P1166" i="18"/>
  <c r="P904" i="18" s="1"/>
  <c r="P142" i="7941" s="1"/>
  <c r="Q38" i="7941" s="1"/>
  <c r="N923" i="7941"/>
  <c r="O609" i="7941"/>
  <c r="O1590" i="18"/>
  <c r="O1587" i="18"/>
  <c r="Q239" i="7942"/>
  <c r="Q465" i="7941" s="1"/>
  <c r="P1574" i="18"/>
  <c r="O928" i="7941"/>
  <c r="O348" i="7941"/>
  <c r="P34" i="7941"/>
  <c r="Q34" i="7941" s="1"/>
  <c r="P363" i="7941"/>
  <c r="O1602" i="18"/>
  <c r="O1175" i="18"/>
  <c r="M1159" i="7949"/>
  <c r="L1199" i="7949"/>
  <c r="M2077" i="7949"/>
  <c r="L2117" i="7949"/>
  <c r="O1174" i="18"/>
  <c r="O51" i="7941"/>
  <c r="N365" i="7941"/>
  <c r="O1170" i="18"/>
  <c r="O1598" i="18"/>
  <c r="O1578" i="18"/>
  <c r="P1321" i="18"/>
  <c r="M2617" i="7949"/>
  <c r="L2657" i="7949"/>
  <c r="M835" i="7949"/>
  <c r="L875" i="7949"/>
  <c r="O1576" i="18"/>
  <c r="O43" i="7941"/>
  <c r="N357" i="7941"/>
  <c r="O50" i="7941"/>
  <c r="N364" i="7941"/>
  <c r="N941" i="7941"/>
  <c r="O627" i="7941"/>
  <c r="O1589" i="18"/>
  <c r="O371" i="7941"/>
  <c r="M889" i="7949"/>
  <c r="L929" i="7949"/>
  <c r="O1157" i="18"/>
  <c r="O1154" i="18"/>
  <c r="O621" i="7941"/>
  <c r="N935" i="7941"/>
  <c r="O1150" i="18"/>
  <c r="P241" i="7942"/>
  <c r="P603" i="7941"/>
  <c r="O1156" i="18"/>
  <c r="Q33" i="7941"/>
  <c r="O1600" i="18"/>
  <c r="M2347" i="7949"/>
  <c r="L2387" i="7949"/>
  <c r="N932" i="7941"/>
  <c r="O618" i="7941"/>
  <c r="O1153" i="18"/>
  <c r="P1322" i="18"/>
  <c r="P716" i="7941" s="1"/>
  <c r="O1592" i="18"/>
  <c r="P1582" i="18"/>
  <c r="O615" i="7941"/>
  <c r="N929" i="7941"/>
  <c r="O1573" i="18"/>
  <c r="Q54" i="7941"/>
  <c r="P401" i="7942"/>
  <c r="P388" i="7942"/>
  <c r="P390" i="7942"/>
  <c r="P422" i="7942"/>
  <c r="P387" i="7942"/>
  <c r="P398" i="7942"/>
  <c r="P393" i="7942"/>
  <c r="P395" i="7942"/>
  <c r="P407" i="7942"/>
  <c r="P384" i="7942"/>
  <c r="P382" i="7942"/>
  <c r="P386" i="7942"/>
  <c r="P423" i="7942"/>
  <c r="P389" i="7942"/>
  <c r="P413" i="7942"/>
  <c r="P406" i="7942"/>
  <c r="P424" i="7942"/>
  <c r="P267" i="7942"/>
  <c r="P726" i="7941"/>
  <c r="Q1228" i="18"/>
  <c r="O630" i="7941"/>
  <c r="N944" i="7941"/>
  <c r="O47" i="7941"/>
  <c r="N361" i="7941"/>
  <c r="O1605" i="18"/>
  <c r="O46" i="7941"/>
  <c r="N360" i="7941"/>
  <c r="M781" i="7949"/>
  <c r="L821" i="7949"/>
  <c r="M2293" i="7949"/>
  <c r="L2333" i="7949"/>
  <c r="P889" i="18"/>
  <c r="P127" i="7941" s="1"/>
  <c r="M2023" i="7949"/>
  <c r="L2063" i="7949"/>
  <c r="O938" i="7941"/>
  <c r="M1915" i="7949"/>
  <c r="L1955" i="7949"/>
  <c r="O42" i="7941"/>
  <c r="N356" i="7941"/>
  <c r="N940" i="7941"/>
  <c r="O626" i="7941"/>
  <c r="M1375" i="7949"/>
  <c r="L1415" i="7949"/>
  <c r="O606" i="7941"/>
  <c r="N920" i="7941"/>
  <c r="M997" i="7949"/>
  <c r="L1037" i="7949"/>
  <c r="M1645" i="7949"/>
  <c r="L1685" i="7949"/>
  <c r="O1167" i="18"/>
  <c r="M2671" i="7949"/>
  <c r="L2711" i="7949"/>
  <c r="O1603" i="18"/>
  <c r="N918" i="7941"/>
  <c r="O604" i="7941"/>
  <c r="M1537" i="7949"/>
  <c r="L1577" i="7949"/>
  <c r="O1604" i="18"/>
  <c r="P1317" i="18"/>
  <c r="O617" i="7941"/>
  <c r="N931" i="7941"/>
  <c r="M1969" i="7949"/>
  <c r="L2009" i="7949"/>
  <c r="M2509" i="7949"/>
  <c r="L2549" i="7949"/>
  <c r="N343" i="7941"/>
  <c r="O29" i="7941"/>
  <c r="O1165" i="18"/>
  <c r="M2239" i="7949"/>
  <c r="L2279" i="7949"/>
  <c r="O1164" i="18"/>
  <c r="N340" i="7941"/>
  <c r="O26" i="7941"/>
  <c r="O1184" i="18"/>
  <c r="O22" i="7941"/>
  <c r="N336" i="7941"/>
  <c r="O1180" i="18"/>
  <c r="Q241" i="7942"/>
  <c r="Q467" i="7941" s="1"/>
  <c r="O1160" i="18"/>
  <c r="Q230" i="7942"/>
  <c r="Q456" i="7941" s="1"/>
  <c r="Q1204" i="18"/>
  <c r="Q1570" i="18" s="1"/>
  <c r="Q1308" i="18" s="1"/>
  <c r="Q702" i="7941" s="1"/>
  <c r="O28" i="7941"/>
  <c r="N342" i="7941"/>
  <c r="O628" i="7941"/>
  <c r="N942" i="7941"/>
  <c r="O1572" i="18"/>
  <c r="O1591" i="18"/>
  <c r="O25" i="7941"/>
  <c r="N339" i="7941"/>
  <c r="Q811" i="18"/>
  <c r="Q1177" i="18" s="1"/>
  <c r="Q915" i="18" s="1"/>
  <c r="Q153" i="7941" s="1"/>
  <c r="Q430" i="7942"/>
  <c r="Q380" i="7942" s="1"/>
  <c r="N934" i="7941"/>
  <c r="O620" i="7941"/>
  <c r="Q795" i="18"/>
  <c r="Q1161" i="18" s="1"/>
  <c r="Q899" i="18" s="1"/>
  <c r="Q137" i="7941" s="1"/>
  <c r="P233" i="7942"/>
  <c r="Q232" i="7942"/>
  <c r="N915" i="7941"/>
  <c r="O601" i="7941"/>
  <c r="Q470" i="7941"/>
  <c r="Q245" i="7942"/>
  <c r="Q471" i="7941" s="1"/>
  <c r="O1158" i="18"/>
  <c r="Q347" i="7941" l="1"/>
  <c r="Q819" i="18"/>
  <c r="R810" i="18"/>
  <c r="R1214" i="18"/>
  <c r="Q800" i="18"/>
  <c r="Q1166" i="18" s="1"/>
  <c r="Q904" i="18" s="1"/>
  <c r="Q142" i="7941" s="1"/>
  <c r="Q1577" i="18"/>
  <c r="Q1315" i="18" s="1"/>
  <c r="Q709" i="7941" s="1"/>
  <c r="Q919" i="7941" s="1"/>
  <c r="P378" i="7942"/>
  <c r="Q1230" i="18"/>
  <c r="Q1596" i="18" s="1"/>
  <c r="Q1334" i="18" s="1"/>
  <c r="Q728" i="7941" s="1"/>
  <c r="P1586" i="18"/>
  <c r="P1324" i="18" s="1"/>
  <c r="P718" i="7941" s="1"/>
  <c r="Q614" i="7941" s="1"/>
  <c r="Q363" i="7941"/>
  <c r="O1310" i="18"/>
  <c r="O922" i="18"/>
  <c r="O902" i="18"/>
  <c r="O1342" i="18"/>
  <c r="N2671" i="7949"/>
  <c r="M2711" i="7949"/>
  <c r="N997" i="7949"/>
  <c r="M1037" i="7949"/>
  <c r="N1375" i="7949"/>
  <c r="M1415" i="7949"/>
  <c r="N2023" i="7949"/>
  <c r="M2063" i="7949"/>
  <c r="N2293" i="7949"/>
  <c r="M2333" i="7949"/>
  <c r="Q385" i="7942"/>
  <c r="Q415" i="7942"/>
  <c r="Q402" i="7942"/>
  <c r="Q389" i="7942"/>
  <c r="Q404" i="7942"/>
  <c r="O1311" i="18"/>
  <c r="O1338" i="18"/>
  <c r="O892" i="18"/>
  <c r="N835" i="7949"/>
  <c r="M875" i="7949"/>
  <c r="P715" i="7941"/>
  <c r="Q1217" i="18"/>
  <c r="O1336" i="18"/>
  <c r="Q785" i="18"/>
  <c r="O912" i="18"/>
  <c r="P348" i="7941"/>
  <c r="O1325" i="18"/>
  <c r="R1204" i="18"/>
  <c r="O917" i="18"/>
  <c r="Q138" i="7941"/>
  <c r="R796" i="18"/>
  <c r="P352" i="7941"/>
  <c r="Q362" i="7941"/>
  <c r="O907" i="18"/>
  <c r="P707" i="7941"/>
  <c r="Q603" i="7941" s="1"/>
  <c r="Q1209" i="18"/>
  <c r="Q458" i="7941"/>
  <c r="Q233" i="7942"/>
  <c r="Q459" i="7941" s="1"/>
  <c r="Q413" i="7942"/>
  <c r="Q386" i="7942"/>
  <c r="Q391" i="7942"/>
  <c r="Q428" i="7942"/>
  <c r="Q381" i="7942"/>
  <c r="Q426" i="7942"/>
  <c r="Q382" i="7942"/>
  <c r="Q427" i="7942"/>
  <c r="Q421" i="7942"/>
  <c r="Q420" i="7942"/>
  <c r="Q400" i="7942"/>
  <c r="Q414" i="7942"/>
  <c r="Q410" i="7942"/>
  <c r="Q401" i="7942"/>
  <c r="Q412" i="7942"/>
  <c r="Q384" i="7942"/>
  <c r="Q411" i="7942"/>
  <c r="Q531" i="7942"/>
  <c r="Q388" i="7942"/>
  <c r="Q406" i="7942"/>
  <c r="Q394" i="7942"/>
  <c r="Q424" i="7942"/>
  <c r="Q393" i="7942"/>
  <c r="Q396" i="7942"/>
  <c r="Q398" i="7942"/>
  <c r="Q390" i="7942"/>
  <c r="Q416" i="7942"/>
  <c r="Q383" i="7942"/>
  <c r="Q392" i="7942"/>
  <c r="Q409" i="7942"/>
  <c r="Q403" i="7942"/>
  <c r="O1329" i="18"/>
  <c r="N2239" i="7949"/>
  <c r="M2279" i="7949"/>
  <c r="O905" i="18"/>
  <c r="O1343" i="18"/>
  <c r="Q1594" i="18"/>
  <c r="Q1332" i="18" s="1"/>
  <c r="Q726" i="7941" s="1"/>
  <c r="Q419" i="7942"/>
  <c r="Q379" i="7942"/>
  <c r="Q418" i="7942"/>
  <c r="Q405" i="7942"/>
  <c r="O1330" i="18"/>
  <c r="N2347" i="7949"/>
  <c r="M2387" i="7949"/>
  <c r="O894" i="18"/>
  <c r="O888" i="18"/>
  <c r="N889" i="7949"/>
  <c r="M929" i="7949"/>
  <c r="O1316" i="18"/>
  <c r="O908" i="18"/>
  <c r="N1159" i="7949"/>
  <c r="M1199" i="7949"/>
  <c r="O913" i="18"/>
  <c r="R811" i="18"/>
  <c r="O1328" i="18"/>
  <c r="R800" i="18"/>
  <c r="O1337" i="18"/>
  <c r="N1429" i="7949"/>
  <c r="M1469" i="7949"/>
  <c r="O916" i="18"/>
  <c r="O909" i="18"/>
  <c r="N1699" i="7949"/>
  <c r="M1739" i="7949"/>
  <c r="N1483" i="7949"/>
  <c r="M1523" i="7949"/>
  <c r="N1213" i="7949"/>
  <c r="M1253" i="7949"/>
  <c r="N1753" i="7949"/>
  <c r="M1793" i="7949"/>
  <c r="N1051" i="7949"/>
  <c r="M1091" i="7949"/>
  <c r="Q922" i="7941"/>
  <c r="N943" i="7949"/>
  <c r="M983" i="7949"/>
  <c r="N1591" i="7949"/>
  <c r="M1631" i="7949"/>
  <c r="N1807" i="7949"/>
  <c r="M1847" i="7949"/>
  <c r="N1267" i="7949"/>
  <c r="M1307" i="7949"/>
  <c r="P717" i="7941"/>
  <c r="Q1219" i="18"/>
  <c r="P703" i="7941"/>
  <c r="Q1205" i="18"/>
  <c r="Q423" i="7942"/>
  <c r="Q422" i="7942"/>
  <c r="Q399" i="7942"/>
  <c r="R795" i="18"/>
  <c r="O895" i="18"/>
  <c r="P371" i="7941"/>
  <c r="N2617" i="7949"/>
  <c r="M2657" i="7949"/>
  <c r="O1340" i="18"/>
  <c r="P1312" i="18"/>
  <c r="Q1218" i="18"/>
  <c r="O1331" i="18"/>
  <c r="O1319" i="18"/>
  <c r="P912" i="7941"/>
  <c r="Q598" i="7941"/>
  <c r="O897" i="18"/>
  <c r="O1326" i="18"/>
  <c r="Q169" i="7942"/>
  <c r="Q270" i="7942" s="1"/>
  <c r="O919" i="18"/>
  <c r="N2131" i="7949"/>
  <c r="M2171" i="7949"/>
  <c r="O898" i="18"/>
  <c r="O918" i="18"/>
  <c r="Q158" i="7941"/>
  <c r="Q368" i="7941" s="1"/>
  <c r="R816" i="18"/>
  <c r="N2509" i="7949"/>
  <c r="M2549" i="7949"/>
  <c r="P711" i="7941"/>
  <c r="Q1213" i="18"/>
  <c r="N1537" i="7949"/>
  <c r="M1577" i="7949"/>
  <c r="N1645" i="7949"/>
  <c r="M1685" i="7949"/>
  <c r="N1915" i="7949"/>
  <c r="M1955" i="7949"/>
  <c r="N781" i="7949"/>
  <c r="M821" i="7949"/>
  <c r="Q622" i="7941"/>
  <c r="P936" i="7941"/>
  <c r="Q417" i="7942"/>
  <c r="Q395" i="7942"/>
  <c r="Q407" i="7942"/>
  <c r="O891" i="18"/>
  <c r="O896" i="18"/>
  <c r="O903" i="18"/>
  <c r="N1969" i="7949"/>
  <c r="M2009" i="7949"/>
  <c r="O1341" i="18"/>
  <c r="P938" i="7941"/>
  <c r="Q23" i="7941"/>
  <c r="P337" i="7941"/>
  <c r="Q425" i="7942"/>
  <c r="Q408" i="7942"/>
  <c r="Q387" i="7942"/>
  <c r="Q397" i="7942"/>
  <c r="P1320" i="18"/>
  <c r="Q612" i="7941"/>
  <c r="P926" i="7941"/>
  <c r="O1327" i="18"/>
  <c r="O1314" i="18"/>
  <c r="N2077" i="7949"/>
  <c r="M2117" i="7949"/>
  <c r="Q231" i="7942"/>
  <c r="Q457" i="7941" s="1"/>
  <c r="N1861" i="7949"/>
  <c r="M1901" i="7949"/>
  <c r="N2401" i="7949"/>
  <c r="M2441" i="7949"/>
  <c r="N1321" i="7949"/>
  <c r="M1361" i="7949"/>
  <c r="O733" i="7941"/>
  <c r="P1235" i="18"/>
  <c r="N2455" i="7949"/>
  <c r="M2495" i="7949"/>
  <c r="N1105" i="7949"/>
  <c r="M1145" i="7949"/>
  <c r="N2563" i="7949"/>
  <c r="M2603" i="7949"/>
  <c r="N2185" i="7949"/>
  <c r="M2225" i="7949"/>
  <c r="O893" i="18"/>
  <c r="O911" i="18"/>
  <c r="O1333" i="18"/>
  <c r="O901" i="18"/>
  <c r="O906" i="18"/>
  <c r="O890" i="18"/>
  <c r="P159" i="7941"/>
  <c r="Q817" i="18"/>
  <c r="Q171" i="7942"/>
  <c r="Q426" i="7941" s="1"/>
  <c r="O1335" i="18"/>
  <c r="P148" i="7941"/>
  <c r="Q806" i="18"/>
  <c r="P917" i="7941" l="1"/>
  <c r="Q352" i="7941"/>
  <c r="Q1185" i="18"/>
  <c r="Q923" i="18" s="1"/>
  <c r="Q161" i="7941" s="1"/>
  <c r="Q371" i="7941" s="1"/>
  <c r="Q938" i="7941"/>
  <c r="R1228" i="18"/>
  <c r="R1230" i="18"/>
  <c r="P928" i="7941"/>
  <c r="Q425" i="7941"/>
  <c r="Q348" i="7941"/>
  <c r="Q1220" i="18"/>
  <c r="R1211" i="18"/>
  <c r="O2185" i="7949"/>
  <c r="N2225" i="7949"/>
  <c r="O1105" i="7949"/>
  <c r="N1145" i="7949"/>
  <c r="O2131" i="7949"/>
  <c r="N2171" i="7949"/>
  <c r="Q912" i="7941"/>
  <c r="P927" i="7941"/>
  <c r="Q613" i="7941"/>
  <c r="O1807" i="7949"/>
  <c r="N1847" i="7949"/>
  <c r="O1159" i="7949"/>
  <c r="N1199" i="7949"/>
  <c r="O2347" i="7949"/>
  <c r="N2387" i="7949"/>
  <c r="O737" i="7941"/>
  <c r="P1239" i="18"/>
  <c r="O723" i="7941"/>
  <c r="P1225" i="18"/>
  <c r="O150" i="7941"/>
  <c r="P808" i="18"/>
  <c r="Q1151" i="18"/>
  <c r="Q889" i="18" s="1"/>
  <c r="Q127" i="7941" s="1"/>
  <c r="O732" i="7941"/>
  <c r="P1234" i="18"/>
  <c r="O2023" i="7949"/>
  <c r="N2063" i="7949"/>
  <c r="O1375" i="7949"/>
  <c r="N1415" i="7949"/>
  <c r="O2671" i="7949"/>
  <c r="N2711" i="7949"/>
  <c r="O139" i="7941"/>
  <c r="P797" i="18"/>
  <c r="Q1172" i="18"/>
  <c r="Q910" i="18" s="1"/>
  <c r="Q148" i="7941" s="1"/>
  <c r="O144" i="7941"/>
  <c r="P802" i="18"/>
  <c r="O149" i="7941"/>
  <c r="P807" i="18"/>
  <c r="O2455" i="7949"/>
  <c r="N2495" i="7949"/>
  <c r="O1321" i="7949"/>
  <c r="N1361" i="7949"/>
  <c r="O1861" i="7949"/>
  <c r="N1901" i="7949"/>
  <c r="O2077" i="7949"/>
  <c r="N2117" i="7949"/>
  <c r="Q337" i="7941"/>
  <c r="O735" i="7941"/>
  <c r="P1237" i="18"/>
  <c r="O141" i="7941"/>
  <c r="P799" i="18"/>
  <c r="O134" i="7941"/>
  <c r="P792" i="18"/>
  <c r="O781" i="7949"/>
  <c r="N821" i="7949"/>
  <c r="O1915" i="7949"/>
  <c r="N1955" i="7949"/>
  <c r="O1537" i="7949"/>
  <c r="N1577" i="7949"/>
  <c r="O2509" i="7949"/>
  <c r="N2549" i="7949"/>
  <c r="O136" i="7941"/>
  <c r="P794" i="18"/>
  <c r="O713" i="7941"/>
  <c r="P1215" i="18"/>
  <c r="O2617" i="7949"/>
  <c r="N2657" i="7949"/>
  <c r="Q1571" i="18"/>
  <c r="Q1309" i="18" s="1"/>
  <c r="Q703" i="7941" s="1"/>
  <c r="O1051" i="7949"/>
  <c r="N1091" i="7949"/>
  <c r="O1213" i="7949"/>
  <c r="N1253" i="7949"/>
  <c r="O1699" i="7949"/>
  <c r="N1739" i="7949"/>
  <c r="O154" i="7941"/>
  <c r="P812" i="18"/>
  <c r="O722" i="7941"/>
  <c r="P1224" i="18"/>
  <c r="O146" i="7941"/>
  <c r="P804" i="18"/>
  <c r="O132" i="7941"/>
  <c r="P790" i="18"/>
  <c r="O724" i="7941"/>
  <c r="P1226" i="18"/>
  <c r="O143" i="7941"/>
  <c r="P801" i="18"/>
  <c r="Q1575" i="18"/>
  <c r="Q1313" i="18" s="1"/>
  <c r="Q707" i="7941" s="1"/>
  <c r="O730" i="7941"/>
  <c r="P1232" i="18"/>
  <c r="O835" i="7949"/>
  <c r="N875" i="7949"/>
  <c r="O130" i="7941"/>
  <c r="P788" i="18"/>
  <c r="O704" i="7941"/>
  <c r="P1206" i="18"/>
  <c r="O2563" i="7949"/>
  <c r="N2603" i="7949"/>
  <c r="P358" i="7941"/>
  <c r="Q44" i="7941"/>
  <c r="O729" i="7941"/>
  <c r="P1231" i="18"/>
  <c r="Q1183" i="18"/>
  <c r="Q921" i="18" s="1"/>
  <c r="Q159" i="7941" s="1"/>
  <c r="O128" i="7941"/>
  <c r="P786" i="18"/>
  <c r="P1601" i="18"/>
  <c r="O721" i="7941"/>
  <c r="P1223" i="18"/>
  <c r="P714" i="7941"/>
  <c r="Q1216" i="18"/>
  <c r="O1969" i="7949"/>
  <c r="N2009" i="7949"/>
  <c r="O129" i="7941"/>
  <c r="P787" i="18"/>
  <c r="Q936" i="7941"/>
  <c r="Q1579" i="18"/>
  <c r="Q1317" i="18" s="1"/>
  <c r="Q711" i="7941" s="1"/>
  <c r="O156" i="7941"/>
  <c r="P814" i="18"/>
  <c r="O720" i="7941"/>
  <c r="P1222" i="18"/>
  <c r="O135" i="7941"/>
  <c r="P793" i="18"/>
  <c r="O725" i="7941"/>
  <c r="P1227" i="18"/>
  <c r="Q1584" i="18"/>
  <c r="Q1322" i="18" s="1"/>
  <c r="Q716" i="7941" s="1"/>
  <c r="Q926" i="7941" s="1"/>
  <c r="O133" i="7941"/>
  <c r="P791" i="18"/>
  <c r="Q599" i="7941"/>
  <c r="P913" i="7941"/>
  <c r="O1267" i="7949"/>
  <c r="N1307" i="7949"/>
  <c r="O1591" i="7949"/>
  <c r="N1631" i="7949"/>
  <c r="O147" i="7941"/>
  <c r="P805" i="18"/>
  <c r="O151" i="7941"/>
  <c r="P809" i="18"/>
  <c r="O126" i="7941"/>
  <c r="P784" i="18"/>
  <c r="Q378" i="7942"/>
  <c r="O145" i="7941"/>
  <c r="P803" i="18"/>
  <c r="O155" i="7941"/>
  <c r="P813" i="18"/>
  <c r="Q1583" i="18"/>
  <c r="Q1321" i="18" s="1"/>
  <c r="Q715" i="7941" s="1"/>
  <c r="O705" i="7941"/>
  <c r="P1207" i="18"/>
  <c r="O2293" i="7949"/>
  <c r="N2333" i="7949"/>
  <c r="O997" i="7949"/>
  <c r="N1037" i="7949"/>
  <c r="O140" i="7941"/>
  <c r="P798" i="18"/>
  <c r="O160" i="7941"/>
  <c r="P818" i="18"/>
  <c r="Q917" i="7941"/>
  <c r="Q55" i="7941"/>
  <c r="P369" i="7941"/>
  <c r="O727" i="7941"/>
  <c r="P1229" i="18"/>
  <c r="O131" i="7941"/>
  <c r="P789" i="18"/>
  <c r="P629" i="7941"/>
  <c r="O943" i="7941"/>
  <c r="O2401" i="7949"/>
  <c r="N2441" i="7949"/>
  <c r="O708" i="7941"/>
  <c r="P1210" i="18"/>
  <c r="O1645" i="7949"/>
  <c r="N1685" i="7949"/>
  <c r="Q607" i="7941"/>
  <c r="P921" i="7941"/>
  <c r="O157" i="7941"/>
  <c r="P815" i="18"/>
  <c r="P706" i="7941"/>
  <c r="Q1208" i="18"/>
  <c r="O734" i="7941"/>
  <c r="P1236" i="18"/>
  <c r="Q1585" i="18"/>
  <c r="Q1323" i="18" s="1"/>
  <c r="Q717" i="7941" s="1"/>
  <c r="O943" i="7949"/>
  <c r="N983" i="7949"/>
  <c r="O1753" i="7949"/>
  <c r="N1793" i="7949"/>
  <c r="O1483" i="7949"/>
  <c r="N1523" i="7949"/>
  <c r="O1429" i="7949"/>
  <c r="N1469" i="7949"/>
  <c r="O731" i="7941"/>
  <c r="P1233" i="18"/>
  <c r="O710" i="7941"/>
  <c r="P1212" i="18"/>
  <c r="O889" i="7949"/>
  <c r="N929" i="7949"/>
  <c r="O2239" i="7949"/>
  <c r="N2279" i="7949"/>
  <c r="O719" i="7941"/>
  <c r="P1221" i="18"/>
  <c r="Q611" i="7941"/>
  <c r="P925" i="7941"/>
  <c r="O736" i="7941"/>
  <c r="P1238" i="18"/>
  <c r="R819" i="18" l="1"/>
  <c r="R806" i="18"/>
  <c r="Q913" i="7941"/>
  <c r="R1218" i="18"/>
  <c r="Q921" i="7941"/>
  <c r="R817" i="18"/>
  <c r="Q358" i="7941"/>
  <c r="R1209" i="18"/>
  <c r="R785" i="18"/>
  <c r="Q1586" i="18"/>
  <c r="Q1324" i="18" s="1"/>
  <c r="Q718" i="7941" s="1"/>
  <c r="Q928" i="7941" s="1"/>
  <c r="P632" i="7941"/>
  <c r="O946" i="7941"/>
  <c r="P615" i="7941"/>
  <c r="O929" i="7941"/>
  <c r="P1483" i="7949"/>
  <c r="O1523" i="7949"/>
  <c r="P889" i="7949"/>
  <c r="O929" i="7949"/>
  <c r="P1429" i="7949"/>
  <c r="O1469" i="7949"/>
  <c r="P1753" i="7949"/>
  <c r="O1793" i="7949"/>
  <c r="R1219" i="18"/>
  <c r="Q1574" i="18"/>
  <c r="Q1312" i="18" s="1"/>
  <c r="Q706" i="7941" s="1"/>
  <c r="P1155" i="18"/>
  <c r="P1595" i="18"/>
  <c r="P1164" i="18"/>
  <c r="P1169" i="18"/>
  <c r="O336" i="7941"/>
  <c r="P22" i="7941"/>
  <c r="O361" i="7941"/>
  <c r="P47" i="7941"/>
  <c r="P1591" i="7949"/>
  <c r="O1631" i="7949"/>
  <c r="P1157" i="18"/>
  <c r="P621" i="7941"/>
  <c r="O935" i="7941"/>
  <c r="O930" i="7941"/>
  <c r="P616" i="7941"/>
  <c r="P1180" i="18"/>
  <c r="P1969" i="7949"/>
  <c r="O2009" i="7949"/>
  <c r="P617" i="7941"/>
  <c r="O931" i="7941"/>
  <c r="P1339" i="18"/>
  <c r="P600" i="7941"/>
  <c r="O914" i="7941"/>
  <c r="P1154" i="18"/>
  <c r="P1598" i="18"/>
  <c r="P1592" i="18"/>
  <c r="P1590" i="18"/>
  <c r="P1158" i="18"/>
  <c r="P1603" i="18"/>
  <c r="P2077" i="7949"/>
  <c r="O2117" i="7949"/>
  <c r="P1861" i="7949"/>
  <c r="O1901" i="7949"/>
  <c r="P2455" i="7949"/>
  <c r="O2495" i="7949"/>
  <c r="P40" i="7941"/>
  <c r="O354" i="7941"/>
  <c r="P35" i="7941"/>
  <c r="O349" i="7941"/>
  <c r="P2671" i="7949"/>
  <c r="O2711" i="7949"/>
  <c r="P2023" i="7949"/>
  <c r="O2063" i="7949"/>
  <c r="O942" i="7941"/>
  <c r="P628" i="7941"/>
  <c r="O933" i="7941"/>
  <c r="P619" i="7941"/>
  <c r="P2347" i="7949"/>
  <c r="O2387" i="7949"/>
  <c r="P1807" i="7949"/>
  <c r="O1847" i="7949"/>
  <c r="Q927" i="7941"/>
  <c r="P1105" i="7949"/>
  <c r="O1145" i="7949"/>
  <c r="O941" i="7941"/>
  <c r="P627" i="7941"/>
  <c r="P1602" i="18"/>
  <c r="P1181" i="18"/>
  <c r="P1578" i="18"/>
  <c r="P2239" i="7949"/>
  <c r="O2279" i="7949"/>
  <c r="P606" i="7941"/>
  <c r="O920" i="7941"/>
  <c r="P1604" i="18"/>
  <c r="Q925" i="7941"/>
  <c r="P1587" i="18"/>
  <c r="P1599" i="18"/>
  <c r="Q602" i="7941"/>
  <c r="P916" i="7941"/>
  <c r="P1576" i="18"/>
  <c r="P2401" i="7949"/>
  <c r="O2441" i="7949"/>
  <c r="P27" i="7941"/>
  <c r="O341" i="7941"/>
  <c r="P623" i="7941"/>
  <c r="O937" i="7941"/>
  <c r="Q369" i="7941"/>
  <c r="O350" i="7941"/>
  <c r="P36" i="7941"/>
  <c r="P2293" i="7949"/>
  <c r="O2333" i="7949"/>
  <c r="R1217" i="18"/>
  <c r="P41" i="7941"/>
  <c r="O355" i="7941"/>
  <c r="P1171" i="18"/>
  <c r="P29" i="7941"/>
  <c r="O343" i="7941"/>
  <c r="P1159" i="18"/>
  <c r="P52" i="7941"/>
  <c r="O366" i="7941"/>
  <c r="P1153" i="18"/>
  <c r="Q1582" i="18"/>
  <c r="Q1320" i="18" s="1"/>
  <c r="Q714" i="7941" s="1"/>
  <c r="P1152" i="18"/>
  <c r="P1597" i="18"/>
  <c r="P26" i="7941"/>
  <c r="O340" i="7941"/>
  <c r="P626" i="7941"/>
  <c r="O940" i="7941"/>
  <c r="P620" i="7941"/>
  <c r="O934" i="7941"/>
  <c r="P618" i="7941"/>
  <c r="O932" i="7941"/>
  <c r="P1699" i="7949"/>
  <c r="O1739" i="7949"/>
  <c r="P1051" i="7949"/>
  <c r="O1091" i="7949"/>
  <c r="P2617" i="7949"/>
  <c r="O2657" i="7949"/>
  <c r="P2509" i="7949"/>
  <c r="O2549" i="7949"/>
  <c r="P1915" i="7949"/>
  <c r="O1955" i="7949"/>
  <c r="P30" i="7941"/>
  <c r="O344" i="7941"/>
  <c r="P631" i="7941"/>
  <c r="O945" i="7941"/>
  <c r="P1173" i="18"/>
  <c r="P1174" i="18"/>
  <c r="P1605" i="18"/>
  <c r="P1184" i="18"/>
  <c r="P1573" i="18"/>
  <c r="P1179" i="18"/>
  <c r="P43" i="7941"/>
  <c r="O357" i="7941"/>
  <c r="P1267" i="7949"/>
  <c r="O1307" i="7949"/>
  <c r="O345" i="7941"/>
  <c r="P31" i="7941"/>
  <c r="P25" i="7941"/>
  <c r="O339" i="7941"/>
  <c r="P924" i="7941"/>
  <c r="Q610" i="7941"/>
  <c r="P24" i="7941"/>
  <c r="O338" i="7941"/>
  <c r="P625" i="7941"/>
  <c r="O939" i="7941"/>
  <c r="P2563" i="7949"/>
  <c r="O2603" i="7949"/>
  <c r="P1167" i="18"/>
  <c r="P1156" i="18"/>
  <c r="P1170" i="18"/>
  <c r="P1178" i="18"/>
  <c r="P1581" i="18"/>
  <c r="P1160" i="18"/>
  <c r="P1165" i="18"/>
  <c r="P1321" i="7949"/>
  <c r="O1361" i="7949"/>
  <c r="O359" i="7941"/>
  <c r="P45" i="7941"/>
  <c r="P1375" i="7949"/>
  <c r="O1415" i="7949"/>
  <c r="P46" i="7941"/>
  <c r="O360" i="7941"/>
  <c r="O947" i="7941"/>
  <c r="P633" i="7941"/>
  <c r="P2185" i="7949"/>
  <c r="O2225" i="7949"/>
  <c r="P943" i="7949"/>
  <c r="O983" i="7949"/>
  <c r="O918" i="7941"/>
  <c r="P604" i="7941"/>
  <c r="P630" i="7941"/>
  <c r="O944" i="7941"/>
  <c r="P53" i="7941"/>
  <c r="O367" i="7941"/>
  <c r="P1645" i="7949"/>
  <c r="O1685" i="7949"/>
  <c r="P56" i="7941"/>
  <c r="O370" i="7941"/>
  <c r="P997" i="7949"/>
  <c r="O1037" i="7949"/>
  <c r="P601" i="7941"/>
  <c r="O915" i="7941"/>
  <c r="O365" i="7941"/>
  <c r="P51" i="7941"/>
  <c r="P1150" i="18"/>
  <c r="P1175" i="18"/>
  <c r="P1593" i="18"/>
  <c r="P1588" i="18"/>
  <c r="R1213" i="18"/>
  <c r="P1589" i="18"/>
  <c r="P1572" i="18"/>
  <c r="P835" i="7949"/>
  <c r="O875" i="7949"/>
  <c r="O353" i="7941"/>
  <c r="P39" i="7941"/>
  <c r="O342" i="7941"/>
  <c r="P28" i="7941"/>
  <c r="O356" i="7941"/>
  <c r="P42" i="7941"/>
  <c r="P50" i="7941"/>
  <c r="O364" i="7941"/>
  <c r="P1213" i="7949"/>
  <c r="O1253" i="7949"/>
  <c r="R1205" i="18"/>
  <c r="P609" i="7941"/>
  <c r="O923" i="7941"/>
  <c r="P32" i="7941"/>
  <c r="O346" i="7941"/>
  <c r="P1537" i="7949"/>
  <c r="O1577" i="7949"/>
  <c r="P781" i="7949"/>
  <c r="O821" i="7949"/>
  <c r="O351" i="7941"/>
  <c r="P37" i="7941"/>
  <c r="P1168" i="18"/>
  <c r="P1163" i="18"/>
  <c r="P1600" i="18"/>
  <c r="P1591" i="18"/>
  <c r="P1159" i="7949"/>
  <c r="O1199" i="7949"/>
  <c r="P2131" i="7949"/>
  <c r="O2171" i="7949"/>
  <c r="Q916" i="7941" l="1"/>
  <c r="R1220" i="18"/>
  <c r="R1216" i="18"/>
  <c r="Q2131" i="7949"/>
  <c r="P2171" i="7949"/>
  <c r="P901" i="18"/>
  <c r="Q2185" i="7949"/>
  <c r="P2225" i="7949"/>
  <c r="P1319" i="18"/>
  <c r="P894" i="18"/>
  <c r="Q1267" i="7949"/>
  <c r="P1307" i="7949"/>
  <c r="P922" i="18"/>
  <c r="Q1915" i="7949"/>
  <c r="P1955" i="7949"/>
  <c r="P1335" i="18"/>
  <c r="P897" i="18"/>
  <c r="Q2293" i="7949"/>
  <c r="P2333" i="7949"/>
  <c r="P919" i="18"/>
  <c r="Q2023" i="7949"/>
  <c r="P2063" i="7949"/>
  <c r="Q2455" i="7949"/>
  <c r="P2495" i="7949"/>
  <c r="Q2077" i="7949"/>
  <c r="P2117" i="7949"/>
  <c r="P896" i="18"/>
  <c r="P1330" i="18"/>
  <c r="P892" i="18"/>
  <c r="P907" i="18"/>
  <c r="P1333" i="18"/>
  <c r="Q1429" i="7949"/>
  <c r="P1469" i="7949"/>
  <c r="P1338" i="18"/>
  <c r="Q1537" i="7949"/>
  <c r="P1577" i="7949"/>
  <c r="Q1213" i="7949"/>
  <c r="P1253" i="7949"/>
  <c r="Q835" i="7949"/>
  <c r="P875" i="7949"/>
  <c r="P1327" i="18"/>
  <c r="P1326" i="18"/>
  <c r="P898" i="18"/>
  <c r="P908" i="18"/>
  <c r="Q2563" i="7949"/>
  <c r="P2603" i="7949"/>
  <c r="P917" i="18"/>
  <c r="P1343" i="18"/>
  <c r="P911" i="18"/>
  <c r="Q1051" i="7949"/>
  <c r="P1091" i="7949"/>
  <c r="P891" i="18"/>
  <c r="P909" i="18"/>
  <c r="P1325" i="18"/>
  <c r="P1342" i="18"/>
  <c r="Q1105" i="7949"/>
  <c r="P1145" i="7949"/>
  <c r="Q2347" i="7949"/>
  <c r="P2387" i="7949"/>
  <c r="P1341" i="18"/>
  <c r="P1336" i="18"/>
  <c r="P918" i="18"/>
  <c r="Q1159" i="7949"/>
  <c r="P1199" i="7949"/>
  <c r="P1310" i="18"/>
  <c r="P1331" i="18"/>
  <c r="P888" i="18"/>
  <c r="Q997" i="7949"/>
  <c r="P1037" i="7949"/>
  <c r="Q1645" i="7949"/>
  <c r="P1685" i="7949"/>
  <c r="Q943" i="7949"/>
  <c r="P983" i="7949"/>
  <c r="Q1375" i="7949"/>
  <c r="P1415" i="7949"/>
  <c r="Q1321" i="7949"/>
  <c r="P1361" i="7949"/>
  <c r="P903" i="18"/>
  <c r="P916" i="18"/>
  <c r="Q2509" i="7949"/>
  <c r="P2549" i="7949"/>
  <c r="Q2401" i="7949"/>
  <c r="P2441" i="7949"/>
  <c r="P1337" i="18"/>
  <c r="P1316" i="18"/>
  <c r="Q2671" i="7949"/>
  <c r="P2711" i="7949"/>
  <c r="Q1861" i="7949"/>
  <c r="P1901" i="7949"/>
  <c r="Q1753" i="7949"/>
  <c r="P1793" i="7949"/>
  <c r="Q889" i="7949"/>
  <c r="P929" i="7949"/>
  <c r="Q1483" i="7949"/>
  <c r="P1523" i="7949"/>
  <c r="P1329" i="18"/>
  <c r="P906" i="18"/>
  <c r="Q781" i="7949"/>
  <c r="P821" i="7949"/>
  <c r="P913" i="18"/>
  <c r="P905" i="18"/>
  <c r="Q924" i="7941"/>
  <c r="P1311" i="18"/>
  <c r="P912" i="18"/>
  <c r="Q2617" i="7949"/>
  <c r="P2657" i="7949"/>
  <c r="Q1699" i="7949"/>
  <c r="P1739" i="7949"/>
  <c r="P890" i="18"/>
  <c r="P1314" i="18"/>
  <c r="Q2239" i="7949"/>
  <c r="P2279" i="7949"/>
  <c r="P1340" i="18"/>
  <c r="Q1807" i="7949"/>
  <c r="P1847" i="7949"/>
  <c r="P1328" i="18"/>
  <c r="P733" i="7941"/>
  <c r="Q1235" i="18"/>
  <c r="Q1969" i="7949"/>
  <c r="P2009" i="7949"/>
  <c r="P895" i="18"/>
  <c r="Q1591" i="7949"/>
  <c r="P1631" i="7949"/>
  <c r="P902" i="18"/>
  <c r="P893" i="18"/>
  <c r="R1208" i="18"/>
  <c r="R1591" i="7949" l="1"/>
  <c r="Q1631" i="7949"/>
  <c r="R1699" i="7949"/>
  <c r="Q1739" i="7949"/>
  <c r="R1753" i="7949"/>
  <c r="Q1793" i="7949"/>
  <c r="R2671" i="7949"/>
  <c r="Q2711" i="7949"/>
  <c r="P146" i="7941"/>
  <c r="Q804" i="18"/>
  <c r="P727" i="7941"/>
  <c r="Q1229" i="18"/>
  <c r="P134" i="7941"/>
  <c r="Q792" i="18"/>
  <c r="R2455" i="7949"/>
  <c r="Q2495" i="7949"/>
  <c r="R2293" i="7949"/>
  <c r="Q2333" i="7949"/>
  <c r="R1969" i="7949"/>
  <c r="Q2009" i="7949"/>
  <c r="P151" i="7941"/>
  <c r="Q809" i="18"/>
  <c r="R1375" i="7949"/>
  <c r="Q1415" i="7949"/>
  <c r="P156" i="7941"/>
  <c r="Q814" i="18"/>
  <c r="R2347" i="7949"/>
  <c r="Q2387" i="7949"/>
  <c r="P149" i="7941"/>
  <c r="Q807" i="18"/>
  <c r="P737" i="7941"/>
  <c r="Q1239" i="18"/>
  <c r="R1537" i="7949"/>
  <c r="Q1577" i="7949"/>
  <c r="P732" i="7941"/>
  <c r="Q1234" i="18"/>
  <c r="P157" i="7941"/>
  <c r="Q815" i="18"/>
  <c r="P132" i="7941"/>
  <c r="Q790" i="18"/>
  <c r="P139" i="7941"/>
  <c r="Q797" i="18"/>
  <c r="R1483" i="7949"/>
  <c r="Q1523" i="7949"/>
  <c r="R2509" i="7949"/>
  <c r="Q2549" i="7949"/>
  <c r="R943" i="7949"/>
  <c r="Q983" i="7949"/>
  <c r="R1105" i="7949"/>
  <c r="Q1145" i="7949"/>
  <c r="P719" i="7941"/>
  <c r="Q1221" i="18"/>
  <c r="P147" i="7941"/>
  <c r="Q805" i="18"/>
  <c r="P155" i="7941"/>
  <c r="Q813" i="18"/>
  <c r="R2563" i="7949"/>
  <c r="Q2603" i="7949"/>
  <c r="P721" i="7941"/>
  <c r="Q1223" i="18"/>
  <c r="R1213" i="7949"/>
  <c r="Q1253" i="7949"/>
  <c r="R1429" i="7949"/>
  <c r="Q1469" i="7949"/>
  <c r="P724" i="7941"/>
  <c r="Q1226" i="18"/>
  <c r="P140" i="7941"/>
  <c r="Q798" i="18"/>
  <c r="R2239" i="7949"/>
  <c r="Q2279" i="7949"/>
  <c r="P705" i="7941"/>
  <c r="Q1207" i="18"/>
  <c r="P144" i="7941"/>
  <c r="Q802" i="18"/>
  <c r="R1861" i="7949"/>
  <c r="Q1901" i="7949"/>
  <c r="P710" i="7941"/>
  <c r="Q1212" i="18"/>
  <c r="P141" i="7941"/>
  <c r="Q799" i="18"/>
  <c r="P725" i="7941"/>
  <c r="Q1227" i="18"/>
  <c r="P131" i="7941"/>
  <c r="Q789" i="18"/>
  <c r="P133" i="7941"/>
  <c r="Q791" i="18"/>
  <c r="Q1601" i="18"/>
  <c r="Q1339" i="18" s="1"/>
  <c r="Q733" i="7941" s="1"/>
  <c r="R2617" i="7949"/>
  <c r="Q2657" i="7949"/>
  <c r="P150" i="7941"/>
  <c r="Q808" i="18"/>
  <c r="R889" i="7949"/>
  <c r="Q929" i="7949"/>
  <c r="R2401" i="7949"/>
  <c r="Q2441" i="7949"/>
  <c r="R1645" i="7949"/>
  <c r="Q1685" i="7949"/>
  <c r="R1159" i="7949"/>
  <c r="Q1199" i="7949"/>
  <c r="P735" i="7941"/>
  <c r="Q1237" i="18"/>
  <c r="P736" i="7941"/>
  <c r="Q1238" i="18"/>
  <c r="R1051" i="7949"/>
  <c r="Q1091" i="7949"/>
  <c r="P136" i="7941"/>
  <c r="Q794" i="18"/>
  <c r="P720" i="7941"/>
  <c r="Q1222" i="18"/>
  <c r="R835" i="7949"/>
  <c r="Q875" i="7949"/>
  <c r="P145" i="7941"/>
  <c r="Q803" i="18"/>
  <c r="P130" i="7941"/>
  <c r="Q788" i="18"/>
  <c r="R2077" i="7949"/>
  <c r="Q2117" i="7949"/>
  <c r="P135" i="7941"/>
  <c r="Q793" i="18"/>
  <c r="P729" i="7941"/>
  <c r="Q1231" i="18"/>
  <c r="R1915" i="7949"/>
  <c r="Q1955" i="7949"/>
  <c r="P160" i="7941"/>
  <c r="Q818" i="18"/>
  <c r="R1267" i="7949"/>
  <c r="Q1307" i="7949"/>
  <c r="R2185" i="7949"/>
  <c r="Q2225" i="7949"/>
  <c r="P128" i="7941"/>
  <c r="Q786" i="18"/>
  <c r="R997" i="7949"/>
  <c r="Q1037" i="7949"/>
  <c r="P730" i="7941"/>
  <c r="Q1232" i="18"/>
  <c r="P943" i="7941"/>
  <c r="Q629" i="7941"/>
  <c r="Q1224" i="18"/>
  <c r="P722" i="7941"/>
  <c r="R1807" i="7949"/>
  <c r="Q1847" i="7949"/>
  <c r="P734" i="7941"/>
  <c r="Q1236" i="18"/>
  <c r="P708" i="7941"/>
  <c r="Q1210" i="18"/>
  <c r="P143" i="7941"/>
  <c r="Q801" i="18"/>
  <c r="R781" i="7949"/>
  <c r="Q821" i="7949"/>
  <c r="P723" i="7941"/>
  <c r="Q1225" i="18"/>
  <c r="P731" i="7941"/>
  <c r="Q1233" i="18"/>
  <c r="P154" i="7941"/>
  <c r="Q812" i="18"/>
  <c r="R1321" i="7949"/>
  <c r="Q1361" i="7949"/>
  <c r="P126" i="7941"/>
  <c r="Q784" i="18"/>
  <c r="P704" i="7941"/>
  <c r="Q1206" i="18"/>
  <c r="P129" i="7941"/>
  <c r="Q787" i="18"/>
  <c r="R2023" i="7949"/>
  <c r="Q2063" i="7949"/>
  <c r="P713" i="7941"/>
  <c r="Q1215" i="18"/>
  <c r="R2131" i="7949"/>
  <c r="Q2171" i="7949"/>
  <c r="Q943" i="7941" l="1"/>
  <c r="R1235" i="18"/>
  <c r="S2077" i="7949"/>
  <c r="R2117" i="7949"/>
  <c r="S2563" i="7949"/>
  <c r="R2603" i="7949"/>
  <c r="S2509" i="7949"/>
  <c r="R2549" i="7949"/>
  <c r="Q1156" i="18"/>
  <c r="Q894" i="18" s="1"/>
  <c r="Q132" i="7941" s="1"/>
  <c r="Q1173" i="18"/>
  <c r="Q911" i="18" s="1"/>
  <c r="Q149" i="7941" s="1"/>
  <c r="Q1180" i="18"/>
  <c r="Q918" i="18" s="1"/>
  <c r="Q156" i="7941" s="1"/>
  <c r="Q1572" i="18"/>
  <c r="Q1310" i="18" s="1"/>
  <c r="Q704" i="7941" s="1"/>
  <c r="Q1167" i="18"/>
  <c r="Q905" i="18" s="1"/>
  <c r="Q143" i="7941" s="1"/>
  <c r="Q1602" i="18"/>
  <c r="Q1340" i="18" s="1"/>
  <c r="Q734" i="7941" s="1"/>
  <c r="Q618" i="7941"/>
  <c r="P932" i="7941"/>
  <c r="Q1598" i="18"/>
  <c r="Q1336" i="18" s="1"/>
  <c r="Q730" i="7941" s="1"/>
  <c r="Q1152" i="18"/>
  <c r="Q890" i="18" s="1"/>
  <c r="Q128" i="7941" s="1"/>
  <c r="S2185" i="7949"/>
  <c r="R2225" i="7949"/>
  <c r="Q1159" i="18"/>
  <c r="Q897" i="18" s="1"/>
  <c r="Q135" i="7941" s="1"/>
  <c r="Q1154" i="18"/>
  <c r="Q892" i="18" s="1"/>
  <c r="Q130" i="7941" s="1"/>
  <c r="Q1160" i="18"/>
  <c r="Q898" i="18" s="1"/>
  <c r="Q136" i="7941" s="1"/>
  <c r="S1051" i="7949"/>
  <c r="R1091" i="7949"/>
  <c r="Q631" i="7941"/>
  <c r="P945" i="7941"/>
  <c r="S1645" i="7949"/>
  <c r="R1685" i="7949"/>
  <c r="Q1174" i="18"/>
  <c r="Q912" i="18" s="1"/>
  <c r="Q150" i="7941" s="1"/>
  <c r="Q1157" i="18"/>
  <c r="Q895" i="18" s="1"/>
  <c r="Q133" i="7941" s="1"/>
  <c r="Q1593" i="18"/>
  <c r="Q1331" i="18" s="1"/>
  <c r="Q725" i="7941" s="1"/>
  <c r="Q1578" i="18"/>
  <c r="Q1316" i="18" s="1"/>
  <c r="Q710" i="7941" s="1"/>
  <c r="Q1164" i="18"/>
  <c r="Q902" i="18" s="1"/>
  <c r="Q140" i="7941" s="1"/>
  <c r="Q1592" i="18"/>
  <c r="Q1330" i="18" s="1"/>
  <c r="Q724" i="7941" s="1"/>
  <c r="Q1179" i="18"/>
  <c r="Q917" i="18" s="1"/>
  <c r="Q155" i="7941" s="1"/>
  <c r="Q1587" i="18"/>
  <c r="Q1325" i="18" s="1"/>
  <c r="Q719" i="7941" s="1"/>
  <c r="P349" i="7941"/>
  <c r="Q35" i="7941"/>
  <c r="P342" i="7941"/>
  <c r="Q28" i="7941"/>
  <c r="P367" i="7941"/>
  <c r="Q53" i="7941"/>
  <c r="S1537" i="7949"/>
  <c r="R1577" i="7949"/>
  <c r="Q45" i="7941"/>
  <c r="P359" i="7941"/>
  <c r="P366" i="7941"/>
  <c r="Q52" i="7941"/>
  <c r="Q47" i="7941"/>
  <c r="P361" i="7941"/>
  <c r="S2455" i="7949"/>
  <c r="R2495" i="7949"/>
  <c r="Q623" i="7941"/>
  <c r="P937" i="7941"/>
  <c r="S2671" i="7949"/>
  <c r="R2711" i="7949"/>
  <c r="S1699" i="7949"/>
  <c r="R1739" i="7949"/>
  <c r="P336" i="7941"/>
  <c r="Q22" i="7941"/>
  <c r="P364" i="7941"/>
  <c r="Q50" i="7941"/>
  <c r="Q627" i="7941"/>
  <c r="P941" i="7941"/>
  <c r="Q619" i="7941"/>
  <c r="P933" i="7941"/>
  <c r="P918" i="7941"/>
  <c r="Q604" i="7941"/>
  <c r="S1807" i="7949"/>
  <c r="R1847" i="7949"/>
  <c r="S997" i="7949"/>
  <c r="R1037" i="7949"/>
  <c r="P939" i="7941"/>
  <c r="Q625" i="7941"/>
  <c r="P355" i="7941"/>
  <c r="Q41" i="7941"/>
  <c r="S1861" i="7949"/>
  <c r="R1901" i="7949"/>
  <c r="S1429" i="7949"/>
  <c r="R1469" i="7949"/>
  <c r="P931" i="7941"/>
  <c r="Q617" i="7941"/>
  <c r="S1105" i="7949"/>
  <c r="R1145" i="7949"/>
  <c r="Q1163" i="18"/>
  <c r="Q901" i="18" s="1"/>
  <c r="Q139" i="7941" s="1"/>
  <c r="Q1181" i="18"/>
  <c r="Q919" i="18" s="1"/>
  <c r="Q157" i="7941" s="1"/>
  <c r="Q1175" i="18"/>
  <c r="Q913" i="18" s="1"/>
  <c r="Q151" i="7941" s="1"/>
  <c r="Q361" i="7941" s="1"/>
  <c r="Q1595" i="18"/>
  <c r="Q1333" i="18" s="1"/>
  <c r="Q727" i="7941" s="1"/>
  <c r="Q1153" i="18"/>
  <c r="Q891" i="18" s="1"/>
  <c r="Q129" i="7941" s="1"/>
  <c r="S2131" i="7949"/>
  <c r="R2171" i="7949"/>
  <c r="S2023" i="7949"/>
  <c r="R2063" i="7949"/>
  <c r="P339" i="7941"/>
  <c r="Q25" i="7941"/>
  <c r="P914" i="7941"/>
  <c r="Q600" i="7941"/>
  <c r="S1321" i="7949"/>
  <c r="R1361" i="7949"/>
  <c r="S781" i="7949"/>
  <c r="R821" i="7949"/>
  <c r="Q39" i="7941"/>
  <c r="P353" i="7941"/>
  <c r="P944" i="7941"/>
  <c r="Q630" i="7941"/>
  <c r="Q1590" i="18"/>
  <c r="Q1328" i="18" s="1"/>
  <c r="Q722" i="7941" s="1"/>
  <c r="P940" i="7941"/>
  <c r="Q626" i="7941"/>
  <c r="Q24" i="7941"/>
  <c r="P338" i="7941"/>
  <c r="S1267" i="7949"/>
  <c r="R1307" i="7949"/>
  <c r="S1915" i="7949"/>
  <c r="R1955" i="7949"/>
  <c r="P345" i="7941"/>
  <c r="Q31" i="7941"/>
  <c r="P340" i="7941"/>
  <c r="Q26" i="7941"/>
  <c r="S835" i="7949"/>
  <c r="R875" i="7949"/>
  <c r="P346" i="7941"/>
  <c r="Q32" i="7941"/>
  <c r="Q1604" i="18"/>
  <c r="Q1342" i="18" s="1"/>
  <c r="Q736" i="7941" s="1"/>
  <c r="S2401" i="7949"/>
  <c r="R2441" i="7949"/>
  <c r="S889" i="7949"/>
  <c r="R929" i="7949"/>
  <c r="Q46" i="7941"/>
  <c r="P360" i="7941"/>
  <c r="P343" i="7941"/>
  <c r="Q29" i="7941"/>
  <c r="P935" i="7941"/>
  <c r="Q621" i="7941"/>
  <c r="P920" i="7941"/>
  <c r="Q606" i="7941"/>
  <c r="S2239" i="7949"/>
  <c r="R2279" i="7949"/>
  <c r="P350" i="7941"/>
  <c r="Q36" i="7941"/>
  <c r="P934" i="7941"/>
  <c r="Q620" i="7941"/>
  <c r="S1213" i="7949"/>
  <c r="R1253" i="7949"/>
  <c r="P365" i="7941"/>
  <c r="Q51" i="7941"/>
  <c r="Q615" i="7941"/>
  <c r="P929" i="7941"/>
  <c r="S943" i="7949"/>
  <c r="R983" i="7949"/>
  <c r="S1483" i="7949"/>
  <c r="R1523" i="7949"/>
  <c r="Q1600" i="18"/>
  <c r="Q1338" i="18" s="1"/>
  <c r="Q732" i="7941" s="1"/>
  <c r="Q1605" i="18"/>
  <c r="Q1343" i="18" s="1"/>
  <c r="Q737" i="7941" s="1"/>
  <c r="Q1158" i="18"/>
  <c r="Q896" i="18" s="1"/>
  <c r="Q134" i="7941" s="1"/>
  <c r="Q1170" i="18"/>
  <c r="Q908" i="18" s="1"/>
  <c r="Q146" i="7941" s="1"/>
  <c r="P923" i="7941"/>
  <c r="Q609" i="7941"/>
  <c r="Q56" i="7941"/>
  <c r="P370" i="7941"/>
  <c r="Q616" i="7941"/>
  <c r="P930" i="7941"/>
  <c r="Q1603" i="18"/>
  <c r="Q1341" i="18" s="1"/>
  <c r="Q735" i="7941" s="1"/>
  <c r="S2617" i="7949"/>
  <c r="R2657" i="7949"/>
  <c r="Q27" i="7941"/>
  <c r="P341" i="7941"/>
  <c r="Q37" i="7941"/>
  <c r="P351" i="7941"/>
  <c r="P354" i="7941"/>
  <c r="Q40" i="7941"/>
  <c r="Q601" i="7941"/>
  <c r="P915" i="7941"/>
  <c r="Q43" i="7941"/>
  <c r="P357" i="7941"/>
  <c r="Q1581" i="18"/>
  <c r="Q1319" i="18" s="1"/>
  <c r="Q713" i="7941" s="1"/>
  <c r="Q1150" i="18"/>
  <c r="Q888" i="18" s="1"/>
  <c r="Q126" i="7941" s="1"/>
  <c r="Q1178" i="18"/>
  <c r="Q916" i="18" s="1"/>
  <c r="Q154" i="7941" s="1"/>
  <c r="Q1599" i="18"/>
  <c r="Q1337" i="18" s="1"/>
  <c r="Q731" i="7941" s="1"/>
  <c r="Q1591" i="18"/>
  <c r="Q1329" i="18" s="1"/>
  <c r="Q723" i="7941" s="1"/>
  <c r="Q1576" i="18"/>
  <c r="Q1314" i="18" s="1"/>
  <c r="Q708" i="7941" s="1"/>
  <c r="Q1184" i="18"/>
  <c r="Q922" i="18" s="1"/>
  <c r="Q160" i="7941" s="1"/>
  <c r="Q1597" i="18"/>
  <c r="Q1335" i="18" s="1"/>
  <c r="Q729" i="7941" s="1"/>
  <c r="Q1169" i="18"/>
  <c r="Q907" i="18" s="1"/>
  <c r="Q145" i="7941" s="1"/>
  <c r="Q1588" i="18"/>
  <c r="Q1326" i="18" s="1"/>
  <c r="Q720" i="7941" s="1"/>
  <c r="P946" i="7941"/>
  <c r="Q632" i="7941"/>
  <c r="S1159" i="7949"/>
  <c r="R1199" i="7949"/>
  <c r="Q1155" i="18"/>
  <c r="Q893" i="18" s="1"/>
  <c r="Q131" i="7941" s="1"/>
  <c r="Q1165" i="18"/>
  <c r="Q903" i="18" s="1"/>
  <c r="Q141" i="7941" s="1"/>
  <c r="Q1168" i="18"/>
  <c r="Q906" i="18" s="1"/>
  <c r="Q144" i="7941" s="1"/>
  <c r="Q1573" i="18"/>
  <c r="Q1311" i="18" s="1"/>
  <c r="Q705" i="7941" s="1"/>
  <c r="Q1589" i="18"/>
  <c r="Q1327" i="18" s="1"/>
  <c r="Q721" i="7941" s="1"/>
  <c r="Q1171" i="18"/>
  <c r="Q909" i="18" s="1"/>
  <c r="Q147" i="7941" s="1"/>
  <c r="P942" i="7941"/>
  <c r="Q628" i="7941"/>
  <c r="Q633" i="7941"/>
  <c r="P947" i="7941"/>
  <c r="S2347" i="7949"/>
  <c r="R2387" i="7949"/>
  <c r="S1375" i="7949"/>
  <c r="R1415" i="7949"/>
  <c r="S1969" i="7949"/>
  <c r="R2009" i="7949"/>
  <c r="S2293" i="7949"/>
  <c r="R2333" i="7949"/>
  <c r="Q30" i="7941"/>
  <c r="P344" i="7941"/>
  <c r="Q42" i="7941"/>
  <c r="P356" i="7941"/>
  <c r="S1753" i="7949"/>
  <c r="R1793" i="7949"/>
  <c r="S1591" i="7949"/>
  <c r="R1631" i="7949"/>
  <c r="Q934" i="7941" l="1"/>
  <c r="R794" i="18"/>
  <c r="Q336" i="7941"/>
  <c r="Q935" i="7941"/>
  <c r="Q338" i="7941"/>
  <c r="R1231" i="18"/>
  <c r="R799" i="18"/>
  <c r="R1238" i="18"/>
  <c r="Q345" i="7941"/>
  <c r="Q940" i="7941"/>
  <c r="R1224" i="18"/>
  <c r="R798" i="18"/>
  <c r="Q947" i="7941"/>
  <c r="R1207" i="18"/>
  <c r="R1222" i="18"/>
  <c r="Q370" i="7941"/>
  <c r="R812" i="18"/>
  <c r="R792" i="18"/>
  <c r="R1239" i="18"/>
  <c r="R809" i="18"/>
  <c r="R815" i="18"/>
  <c r="Q364" i="7941"/>
  <c r="Q366" i="7941"/>
  <c r="Q342" i="7941"/>
  <c r="R1221" i="18"/>
  <c r="R1227" i="18"/>
  <c r="R1236" i="18"/>
  <c r="R1223" i="18"/>
  <c r="Q946" i="7941"/>
  <c r="R1225" i="18"/>
  <c r="R793" i="18"/>
  <c r="R786" i="18"/>
  <c r="R807" i="18"/>
  <c r="R790" i="18"/>
  <c r="T2671" i="7949"/>
  <c r="S2711" i="7949"/>
  <c r="Q356" i="7941"/>
  <c r="R802" i="18"/>
  <c r="T1159" i="7949"/>
  <c r="S1199" i="7949"/>
  <c r="R803" i="18"/>
  <c r="R818" i="18"/>
  <c r="R1210" i="18"/>
  <c r="R1233" i="18"/>
  <c r="R784" i="18"/>
  <c r="R1215" i="18"/>
  <c r="Q354" i="7941"/>
  <c r="R1237" i="18"/>
  <c r="R804" i="18"/>
  <c r="R1234" i="18"/>
  <c r="T943" i="7949"/>
  <c r="S983" i="7949"/>
  <c r="Q365" i="7941"/>
  <c r="T1213" i="7949"/>
  <c r="S1253" i="7949"/>
  <c r="Q350" i="7941"/>
  <c r="Q920" i="7941"/>
  <c r="Q343" i="7941"/>
  <c r="T889" i="7949"/>
  <c r="S929" i="7949"/>
  <c r="Q346" i="7941"/>
  <c r="Q340" i="7941"/>
  <c r="T1915" i="7949"/>
  <c r="S1955" i="7949"/>
  <c r="Q944" i="7941"/>
  <c r="T781" i="7949"/>
  <c r="S821" i="7949"/>
  <c r="Q914" i="7941"/>
  <c r="T2023" i="7949"/>
  <c r="S2063" i="7949"/>
  <c r="T2131" i="7949"/>
  <c r="S2171" i="7949"/>
  <c r="R787" i="18"/>
  <c r="R1229" i="18"/>
  <c r="R797" i="18"/>
  <c r="Q931" i="7941"/>
  <c r="T1861" i="7949"/>
  <c r="S1901" i="7949"/>
  <c r="Q939" i="7941"/>
  <c r="Q941" i="7941"/>
  <c r="Q937" i="7941"/>
  <c r="Q932" i="7941"/>
  <c r="T1753" i="7949"/>
  <c r="S1793" i="7949"/>
  <c r="T2347" i="7949"/>
  <c r="S2387" i="7949"/>
  <c r="T1807" i="7949"/>
  <c r="S1847" i="7949"/>
  <c r="Q945" i="7941"/>
  <c r="T2563" i="7949"/>
  <c r="S2603" i="7949"/>
  <c r="R805" i="18"/>
  <c r="R789" i="18"/>
  <c r="T1591" i="7949"/>
  <c r="S1631" i="7949"/>
  <c r="T2293" i="7949"/>
  <c r="S2333" i="7949"/>
  <c r="T1375" i="7949"/>
  <c r="S1415" i="7949"/>
  <c r="Q357" i="7941"/>
  <c r="Q915" i="7941"/>
  <c r="Q351" i="7941"/>
  <c r="Q930" i="7941"/>
  <c r="Q929" i="7941"/>
  <c r="Q360" i="7941"/>
  <c r="Q353" i="7941"/>
  <c r="T997" i="7949"/>
  <c r="S1037" i="7949"/>
  <c r="Q918" i="7941"/>
  <c r="T1699" i="7949"/>
  <c r="S1739" i="7949"/>
  <c r="Q367" i="7941"/>
  <c r="Q349" i="7941"/>
  <c r="R813" i="18"/>
  <c r="R1226" i="18"/>
  <c r="R1212" i="18"/>
  <c r="R791" i="18"/>
  <c r="R808" i="18"/>
  <c r="R788" i="18"/>
  <c r="T2185" i="7949"/>
  <c r="S2225" i="7949"/>
  <c r="R1232" i="18"/>
  <c r="R801" i="18"/>
  <c r="R1206" i="18"/>
  <c r="R814" i="18"/>
  <c r="T2509" i="7949"/>
  <c r="S2549" i="7949"/>
  <c r="T2077" i="7949"/>
  <c r="S2117" i="7949"/>
  <c r="T1969" i="7949"/>
  <c r="S2009" i="7949"/>
  <c r="Q341" i="7941"/>
  <c r="T2455" i="7949"/>
  <c r="S2495" i="7949"/>
  <c r="T1537" i="7949"/>
  <c r="S1577" i="7949"/>
  <c r="Q344" i="7941"/>
  <c r="Q942" i="7941"/>
  <c r="T2617" i="7949"/>
  <c r="S2657" i="7949"/>
  <c r="Q923" i="7941"/>
  <c r="T1483" i="7949"/>
  <c r="S1523" i="7949"/>
  <c r="T2239" i="7949"/>
  <c r="S2279" i="7949"/>
  <c r="T2401" i="7949"/>
  <c r="S2441" i="7949"/>
  <c r="T835" i="7949"/>
  <c r="S875" i="7949"/>
  <c r="T1267" i="7949"/>
  <c r="S1307" i="7949"/>
  <c r="T1321" i="7949"/>
  <c r="S1361" i="7949"/>
  <c r="Q339" i="7941"/>
  <c r="T1105" i="7949"/>
  <c r="S1145" i="7949"/>
  <c r="T1429" i="7949"/>
  <c r="S1469" i="7949"/>
  <c r="Q355" i="7941"/>
  <c r="Q933" i="7941"/>
  <c r="T1645" i="7949"/>
  <c r="S1685" i="7949"/>
  <c r="T1051" i="7949"/>
  <c r="S1091" i="7949"/>
  <c r="Q359" i="7941"/>
  <c r="U1429" i="7949" l="1"/>
  <c r="T1469" i="7949"/>
  <c r="U2401" i="7949"/>
  <c r="T2441" i="7949"/>
  <c r="U2509" i="7949"/>
  <c r="T2549" i="7949"/>
  <c r="U1753" i="7949"/>
  <c r="T1793" i="7949"/>
  <c r="U1159" i="7949"/>
  <c r="T1199" i="7949"/>
  <c r="U1645" i="7949"/>
  <c r="T1685" i="7949"/>
  <c r="U1321" i="7949"/>
  <c r="T1361" i="7949"/>
  <c r="U2617" i="7949"/>
  <c r="T2657" i="7949"/>
  <c r="U1699" i="7949"/>
  <c r="T1739" i="7949"/>
  <c r="U2293" i="7949"/>
  <c r="T2333" i="7949"/>
  <c r="U2563" i="7949"/>
  <c r="T2603" i="7949"/>
  <c r="U1807" i="7949"/>
  <c r="T1847" i="7949"/>
  <c r="U1861" i="7949"/>
  <c r="T1901" i="7949"/>
  <c r="U2023" i="7949"/>
  <c r="T2063" i="7949"/>
  <c r="U781" i="7949"/>
  <c r="T821" i="7949"/>
  <c r="U1915" i="7949"/>
  <c r="T1955" i="7949"/>
  <c r="U2455" i="7949"/>
  <c r="T2495" i="7949"/>
  <c r="U1969" i="7949"/>
  <c r="T2009" i="7949"/>
  <c r="U997" i="7949"/>
  <c r="T1037" i="7949"/>
  <c r="U1105" i="7949"/>
  <c r="T1145" i="7949"/>
  <c r="U835" i="7949"/>
  <c r="T875" i="7949"/>
  <c r="U1483" i="7949"/>
  <c r="T1523" i="7949"/>
  <c r="U1537" i="7949"/>
  <c r="T1577" i="7949"/>
  <c r="U2077" i="7949"/>
  <c r="T2117" i="7949"/>
  <c r="U2185" i="7949"/>
  <c r="T2225" i="7949"/>
  <c r="U2347" i="7949"/>
  <c r="T2387" i="7949"/>
  <c r="U889" i="7949"/>
  <c r="T929" i="7949"/>
  <c r="U943" i="7949"/>
  <c r="T983" i="7949"/>
  <c r="U2671" i="7949"/>
  <c r="T2711" i="7949"/>
  <c r="U1051" i="7949"/>
  <c r="T1091" i="7949"/>
  <c r="U1267" i="7949"/>
  <c r="T1307" i="7949"/>
  <c r="U2239" i="7949"/>
  <c r="T2279" i="7949"/>
  <c r="U1375" i="7949"/>
  <c r="T1415" i="7949"/>
  <c r="U1591" i="7949"/>
  <c r="T1631" i="7949"/>
  <c r="U2131" i="7949"/>
  <c r="T2171" i="7949"/>
  <c r="U1213" i="7949"/>
  <c r="T1253" i="7949"/>
  <c r="V2347" i="7949" l="1"/>
  <c r="U2387" i="7949"/>
  <c r="V2077" i="7949"/>
  <c r="U2117" i="7949"/>
  <c r="V835" i="7949"/>
  <c r="U875" i="7949"/>
  <c r="V997" i="7949"/>
  <c r="U1037" i="7949"/>
  <c r="V2455" i="7949"/>
  <c r="U2495" i="7949"/>
  <c r="V1321" i="7949"/>
  <c r="U1361" i="7949"/>
  <c r="V1375" i="7949"/>
  <c r="U1415" i="7949"/>
  <c r="V2671" i="7949"/>
  <c r="U2711" i="7949"/>
  <c r="V781" i="7949"/>
  <c r="U821" i="7949"/>
  <c r="V1861" i="7949"/>
  <c r="U1901" i="7949"/>
  <c r="V1807" i="7949"/>
  <c r="U1847" i="7949"/>
  <c r="V2293" i="7949"/>
  <c r="U2333" i="7949"/>
  <c r="V1645" i="7949"/>
  <c r="U1685" i="7949"/>
  <c r="V1753" i="7949"/>
  <c r="U1793" i="7949"/>
  <c r="V2509" i="7949"/>
  <c r="U2549" i="7949"/>
  <c r="V2401" i="7949"/>
  <c r="U2441" i="7949"/>
  <c r="V2239" i="7949"/>
  <c r="U2279" i="7949"/>
  <c r="V1267" i="7949"/>
  <c r="U1307" i="7949"/>
  <c r="V1051" i="7949"/>
  <c r="U1091" i="7949"/>
  <c r="V889" i="7949"/>
  <c r="U929" i="7949"/>
  <c r="V2185" i="7949"/>
  <c r="U2225" i="7949"/>
  <c r="V1483" i="7949"/>
  <c r="U1523" i="7949"/>
  <c r="V1105" i="7949"/>
  <c r="U1145" i="7949"/>
  <c r="V1969" i="7949"/>
  <c r="U2009" i="7949"/>
  <c r="V2617" i="7949"/>
  <c r="U2657" i="7949"/>
  <c r="V1159" i="7949"/>
  <c r="U1199" i="7949"/>
  <c r="V943" i="7949"/>
  <c r="U983" i="7949"/>
  <c r="V1537" i="7949"/>
  <c r="U1577" i="7949"/>
  <c r="V1213" i="7949"/>
  <c r="U1253" i="7949"/>
  <c r="V2131" i="7949"/>
  <c r="U2171" i="7949"/>
  <c r="V1591" i="7949"/>
  <c r="U1631" i="7949"/>
  <c r="V1915" i="7949"/>
  <c r="U1955" i="7949"/>
  <c r="V2023" i="7949"/>
  <c r="U2063" i="7949"/>
  <c r="V2563" i="7949"/>
  <c r="U2603" i="7949"/>
  <c r="V1699" i="7949"/>
  <c r="U1739" i="7949"/>
  <c r="V1429" i="7949"/>
  <c r="U1469" i="7949"/>
  <c r="W2563" i="7949" l="1"/>
  <c r="W2603" i="7949" s="1"/>
  <c r="V2603" i="7949"/>
  <c r="W1537" i="7949"/>
  <c r="W1577" i="7949" s="1"/>
  <c r="V1577" i="7949"/>
  <c r="W2185" i="7949"/>
  <c r="W2225" i="7949" s="1"/>
  <c r="V2225" i="7949"/>
  <c r="W1051" i="7949"/>
  <c r="W1091" i="7949" s="1"/>
  <c r="V1091" i="7949"/>
  <c r="W997" i="7949"/>
  <c r="W1037" i="7949" s="1"/>
  <c r="V1037" i="7949"/>
  <c r="W1699" i="7949"/>
  <c r="W1739" i="7949" s="1"/>
  <c r="V1739" i="7949"/>
  <c r="W1915" i="7949"/>
  <c r="W1955" i="7949" s="1"/>
  <c r="V1955" i="7949"/>
  <c r="W1591" i="7949"/>
  <c r="W1631" i="7949" s="1"/>
  <c r="V1631" i="7949"/>
  <c r="W1105" i="7949"/>
  <c r="W1145" i="7949" s="1"/>
  <c r="V1145" i="7949"/>
  <c r="W2239" i="7949"/>
  <c r="W2279" i="7949" s="1"/>
  <c r="V2279" i="7949"/>
  <c r="W2401" i="7949"/>
  <c r="W2441" i="7949" s="1"/>
  <c r="V2441" i="7949"/>
  <c r="W1753" i="7949"/>
  <c r="W1793" i="7949" s="1"/>
  <c r="V1793" i="7949"/>
  <c r="W2293" i="7949"/>
  <c r="W2333" i="7949" s="1"/>
  <c r="V2333" i="7949"/>
  <c r="W1861" i="7949"/>
  <c r="W1901" i="7949" s="1"/>
  <c r="V1901" i="7949"/>
  <c r="W2671" i="7949"/>
  <c r="W2711" i="7949" s="1"/>
  <c r="V2711" i="7949"/>
  <c r="W1375" i="7949"/>
  <c r="W1415" i="7949" s="1"/>
  <c r="V1415" i="7949"/>
  <c r="W2077" i="7949"/>
  <c r="W2117" i="7949" s="1"/>
  <c r="V2117" i="7949"/>
  <c r="W2023" i="7949"/>
  <c r="W2063" i="7949" s="1"/>
  <c r="V2063" i="7949"/>
  <c r="W1429" i="7949"/>
  <c r="W1469" i="7949" s="1"/>
  <c r="V1469" i="7949"/>
  <c r="W2131" i="7949"/>
  <c r="W2171" i="7949" s="1"/>
  <c r="V2171" i="7949"/>
  <c r="W1213" i="7949"/>
  <c r="W1253" i="7949" s="1"/>
  <c r="V1253" i="7949"/>
  <c r="W943" i="7949"/>
  <c r="W983" i="7949" s="1"/>
  <c r="V983" i="7949"/>
  <c r="W1159" i="7949"/>
  <c r="W1199" i="7949" s="1"/>
  <c r="V1199" i="7949"/>
  <c r="W2617" i="7949"/>
  <c r="W2657" i="7949" s="1"/>
  <c r="V2657" i="7949"/>
  <c r="W1969" i="7949"/>
  <c r="W2009" i="7949" s="1"/>
  <c r="V2009" i="7949"/>
  <c r="W1483" i="7949"/>
  <c r="W1523" i="7949" s="1"/>
  <c r="V1523" i="7949"/>
  <c r="W889" i="7949"/>
  <c r="W929" i="7949" s="1"/>
  <c r="V929" i="7949"/>
  <c r="W1267" i="7949"/>
  <c r="W1307" i="7949" s="1"/>
  <c r="V1307" i="7949"/>
  <c r="W2509" i="7949"/>
  <c r="W2549" i="7949" s="1"/>
  <c r="V2549" i="7949"/>
  <c r="W1645" i="7949"/>
  <c r="W1685" i="7949" s="1"/>
  <c r="V1685" i="7949"/>
  <c r="W1807" i="7949"/>
  <c r="W1847" i="7949" s="1"/>
  <c r="V1847" i="7949"/>
  <c r="W781" i="7949"/>
  <c r="W821" i="7949" s="1"/>
  <c r="V821" i="7949"/>
  <c r="W1321" i="7949"/>
  <c r="W1361" i="7949" s="1"/>
  <c r="V1361" i="7949"/>
  <c r="W2455" i="7949"/>
  <c r="W2495" i="7949" s="1"/>
  <c r="V2495" i="7949"/>
  <c r="W835" i="7949"/>
  <c r="W875" i="7949" s="1"/>
  <c r="V875" i="7949"/>
  <c r="W2347" i="7949"/>
  <c r="W2387" i="7949" s="1"/>
  <c r="V2387" i="7949"/>
  <c r="M287" i="1" l="1"/>
  <c r="M289" i="1"/>
  <c r="M236" i="1" l="1"/>
  <c r="M182" i="1"/>
  <c r="M25" i="18" s="1"/>
  <c r="M835" i="18" s="1"/>
  <c r="M233" i="1"/>
  <c r="M179" i="1"/>
  <c r="M22" i="18" s="1"/>
  <c r="M832" i="18" s="1"/>
  <c r="M281" i="1"/>
  <c r="M282" i="1"/>
  <c r="M278" i="1" l="1"/>
  <c r="M284" i="1"/>
  <c r="M286" i="1"/>
  <c r="M280" i="1"/>
  <c r="M279" i="1"/>
  <c r="M283" i="1"/>
  <c r="N780" i="18"/>
  <c r="M70" i="7941"/>
  <c r="N249" i="7944"/>
  <c r="N254" i="7944" s="1"/>
  <c r="Q249" i="7944"/>
  <c r="P249" i="7944"/>
  <c r="O249" i="7944"/>
  <c r="M341" i="1"/>
  <c r="M70" i="7944"/>
  <c r="I554" i="7949"/>
  <c r="M277" i="1"/>
  <c r="M73" i="7941"/>
  <c r="N783" i="18"/>
  <c r="M344" i="1"/>
  <c r="I716" i="7949"/>
  <c r="N288" i="7944"/>
  <c r="N293" i="7944" s="1"/>
  <c r="Q288" i="7944"/>
  <c r="O288" i="7944"/>
  <c r="M73" i="7944"/>
  <c r="P288" i="7944"/>
  <c r="M285" i="1" l="1"/>
  <c r="O254" i="7944"/>
  <c r="P254" i="7944" s="1"/>
  <c r="Q254" i="7944" s="1"/>
  <c r="M230" i="1"/>
  <c r="M176" i="1"/>
  <c r="M19" i="18" s="1"/>
  <c r="M829" i="18" s="1"/>
  <c r="O293" i="7944"/>
  <c r="P293" i="7944" s="1"/>
  <c r="M335" i="7941"/>
  <c r="N21" i="7941"/>
  <c r="I711" i="7950"/>
  <c r="I722" i="7950" s="1"/>
  <c r="I727" i="7949"/>
  <c r="Q253" i="18"/>
  <c r="P253" i="18"/>
  <c r="O253" i="18"/>
  <c r="N253" i="18"/>
  <c r="N258" i="18" s="1"/>
  <c r="M74" i="18"/>
  <c r="M1252" i="18" s="1"/>
  <c r="M228" i="1"/>
  <c r="M174" i="1"/>
  <c r="M17" i="18" s="1"/>
  <c r="M827" i="18" s="1"/>
  <c r="Q292" i="18"/>
  <c r="P292" i="18"/>
  <c r="O292" i="18"/>
  <c r="N292" i="18"/>
  <c r="N297" i="18" s="1"/>
  <c r="M77" i="18"/>
  <c r="M1255" i="18" s="1"/>
  <c r="M332" i="7941"/>
  <c r="N18" i="7941"/>
  <c r="M227" i="1"/>
  <c r="M173" i="1"/>
  <c r="M16" i="18" s="1"/>
  <c r="M826" i="18" s="1"/>
  <c r="N1149" i="18"/>
  <c r="I549" i="7950"/>
  <c r="I560" i="7950" s="1"/>
  <c r="I565" i="7949"/>
  <c r="N1146" i="18"/>
  <c r="M171" i="1" l="1"/>
  <c r="M14" i="18" s="1"/>
  <c r="M824" i="18" s="1"/>
  <c r="M225" i="1"/>
  <c r="M172" i="1"/>
  <c r="M15" i="18" s="1"/>
  <c r="M825" i="18" s="1"/>
  <c r="M226" i="1"/>
  <c r="M65" i="7944"/>
  <c r="I284" i="7949"/>
  <c r="M336" i="1"/>
  <c r="P184" i="7944"/>
  <c r="N184" i="7944"/>
  <c r="N189" i="7944" s="1"/>
  <c r="Q184" i="7944"/>
  <c r="O184" i="7944"/>
  <c r="J722" i="7950"/>
  <c r="J762" i="7950" s="1"/>
  <c r="I762" i="7950"/>
  <c r="Q293" i="7944"/>
  <c r="N774" i="18"/>
  <c r="M64" i="7941"/>
  <c r="M649" i="7941"/>
  <c r="N1203" i="18"/>
  <c r="M646" i="7941"/>
  <c r="N1200" i="18"/>
  <c r="J565" i="7949"/>
  <c r="J605" i="7949" s="1"/>
  <c r="I605" i="7949"/>
  <c r="N171" i="7944"/>
  <c r="N176" i="7944" s="1"/>
  <c r="O171" i="7944"/>
  <c r="P171" i="7944"/>
  <c r="M64" i="7944"/>
  <c r="M335" i="1"/>
  <c r="Q171" i="7944"/>
  <c r="I230" i="7949"/>
  <c r="N1517" i="18"/>
  <c r="O297" i="18"/>
  <c r="P297" i="18" s="1"/>
  <c r="N1097" i="18"/>
  <c r="N887" i="18" s="1"/>
  <c r="N1094" i="18"/>
  <c r="N884" i="18" s="1"/>
  <c r="N1514" i="18"/>
  <c r="O258" i="18"/>
  <c r="P258" i="18" s="1"/>
  <c r="Q258" i="18" s="1"/>
  <c r="M67" i="7941"/>
  <c r="N777" i="18"/>
  <c r="M223" i="1"/>
  <c r="M169" i="1"/>
  <c r="I600" i="7950"/>
  <c r="J560" i="7950"/>
  <c r="J600" i="7950" s="1"/>
  <c r="M65" i="7941"/>
  <c r="N775" i="18"/>
  <c r="J727" i="7949"/>
  <c r="J767" i="7949" s="1"/>
  <c r="I767" i="7949"/>
  <c r="M67" i="7944"/>
  <c r="M338" i="1"/>
  <c r="M71" i="18" s="1"/>
  <c r="M1249" i="18" s="1"/>
  <c r="I392" i="7949"/>
  <c r="O189" i="7944" l="1"/>
  <c r="P189" i="7944" s="1"/>
  <c r="Q189" i="7944" s="1"/>
  <c r="K722" i="7950"/>
  <c r="K762" i="7950" s="1"/>
  <c r="K560" i="7950"/>
  <c r="K600" i="7950" s="1"/>
  <c r="K727" i="7949"/>
  <c r="N1141" i="18"/>
  <c r="M12" i="18"/>
  <c r="P1514" i="18"/>
  <c r="P1094" i="18"/>
  <c r="Q297" i="18"/>
  <c r="P1097" i="18"/>
  <c r="P1517" i="18"/>
  <c r="I225" i="7950"/>
  <c r="I236" i="7950" s="1"/>
  <c r="I241" i="7949"/>
  <c r="N597" i="7941"/>
  <c r="M911" i="7941"/>
  <c r="M334" i="1"/>
  <c r="P158" i="7944"/>
  <c r="N158" i="7944"/>
  <c r="N163" i="7944" s="1"/>
  <c r="Q158" i="7944"/>
  <c r="O158" i="7944"/>
  <c r="M63" i="7944"/>
  <c r="I176" i="7949"/>
  <c r="I387" i="7950"/>
  <c r="I398" i="7950" s="1"/>
  <c r="J398" i="7950" s="1"/>
  <c r="K398" i="7950" s="1"/>
  <c r="L398" i="7950" s="1"/>
  <c r="M398" i="7950" s="1"/>
  <c r="N398" i="7950" s="1"/>
  <c r="I403" i="7949"/>
  <c r="J403" i="7949" s="1"/>
  <c r="K403" i="7949" s="1"/>
  <c r="L403" i="7949" s="1"/>
  <c r="M403" i="7949" s="1"/>
  <c r="N403" i="7949" s="1"/>
  <c r="N119" i="7944"/>
  <c r="N124" i="7944" s="1"/>
  <c r="Q119" i="7944"/>
  <c r="O119" i="7944"/>
  <c r="M60" i="7944"/>
  <c r="I14" i="7949"/>
  <c r="M331" i="1"/>
  <c r="P119" i="7944"/>
  <c r="O1514" i="18"/>
  <c r="O1094" i="18"/>
  <c r="N125" i="7941"/>
  <c r="O783" i="18"/>
  <c r="N1566" i="18"/>
  <c r="N1304" i="18" s="1"/>
  <c r="N698" i="7941" s="1"/>
  <c r="N12" i="7941"/>
  <c r="M326" i="7941"/>
  <c r="M63" i="7941"/>
  <c r="N773" i="18"/>
  <c r="M229" i="1"/>
  <c r="M175" i="1"/>
  <c r="M18" i="18" s="1"/>
  <c r="M828" i="18" s="1"/>
  <c r="N13" i="7941"/>
  <c r="M327" i="7941"/>
  <c r="M643" i="7941"/>
  <c r="N1197" i="18"/>
  <c r="N1143" i="18"/>
  <c r="O1517" i="18"/>
  <c r="O1097" i="18"/>
  <c r="P175" i="18"/>
  <c r="Q175" i="18"/>
  <c r="N175" i="18"/>
  <c r="N180" i="18" s="1"/>
  <c r="M68" i="18"/>
  <c r="M1246" i="18" s="1"/>
  <c r="O175" i="18"/>
  <c r="O176" i="7944"/>
  <c r="P176" i="7944" s="1"/>
  <c r="K565" i="7949"/>
  <c r="N594" i="7941"/>
  <c r="M908" i="7941"/>
  <c r="N1140" i="18"/>
  <c r="P188" i="18"/>
  <c r="M69" i="18"/>
  <c r="M1247" i="18" s="1"/>
  <c r="N188" i="18"/>
  <c r="N193" i="18" s="1"/>
  <c r="O188" i="18"/>
  <c r="Q188" i="18"/>
  <c r="M333" i="1"/>
  <c r="I122" i="7949"/>
  <c r="N145" i="7944"/>
  <c r="N150" i="7944" s="1"/>
  <c r="Q145" i="7944"/>
  <c r="O145" i="7944"/>
  <c r="M62" i="7944"/>
  <c r="P145" i="7944"/>
  <c r="N15" i="7941"/>
  <c r="M329" i="7941"/>
  <c r="Q1094" i="18"/>
  <c r="Q1514" i="18"/>
  <c r="N122" i="7941"/>
  <c r="O780" i="18"/>
  <c r="N1569" i="18"/>
  <c r="N1307" i="18" s="1"/>
  <c r="N701" i="7941" s="1"/>
  <c r="I279" i="7950"/>
  <c r="I290" i="7950" s="1"/>
  <c r="I295" i="7949"/>
  <c r="M62" i="7941"/>
  <c r="N772" i="18"/>
  <c r="L722" i="7950" l="1"/>
  <c r="M722" i="7950" s="1"/>
  <c r="L560" i="7950"/>
  <c r="O1203" i="18"/>
  <c r="O150" i="7944"/>
  <c r="P150" i="7944" s="1"/>
  <c r="Q150" i="7944" s="1"/>
  <c r="Q176" i="7944"/>
  <c r="K767" i="7949"/>
  <c r="L727" i="7949"/>
  <c r="J290" i="7950"/>
  <c r="J330" i="7950" s="1"/>
  <c r="I330" i="7950"/>
  <c r="N1088" i="18"/>
  <c r="N878" i="18" s="1"/>
  <c r="N1508" i="18"/>
  <c r="O180" i="18"/>
  <c r="I335" i="7949"/>
  <c r="J295" i="7949"/>
  <c r="J335" i="7949" s="1"/>
  <c r="K605" i="7949"/>
  <c r="L565" i="7949"/>
  <c r="N1194" i="18"/>
  <c r="M640" i="7941"/>
  <c r="N1139" i="18"/>
  <c r="I9" i="7950"/>
  <c r="I25" i="7949"/>
  <c r="O124" i="7944"/>
  <c r="P124" i="7944" s="1"/>
  <c r="Q124" i="7944" s="1"/>
  <c r="N911" i="7941"/>
  <c r="M822" i="18"/>
  <c r="I117" i="7950"/>
  <c r="I128" i="7950" s="1"/>
  <c r="I133" i="7949"/>
  <c r="N443" i="7949"/>
  <c r="O403" i="7949"/>
  <c r="O162" i="18"/>
  <c r="M67" i="18"/>
  <c r="M1245" i="18" s="1"/>
  <c r="N162" i="18"/>
  <c r="N167" i="18" s="1"/>
  <c r="P162" i="18"/>
  <c r="Q162" i="18"/>
  <c r="N1138" i="18"/>
  <c r="O1569" i="18"/>
  <c r="O18" i="7941"/>
  <c r="N332" i="7941"/>
  <c r="M66" i="18"/>
  <c r="M1244" i="18" s="1"/>
  <c r="N149" i="18"/>
  <c r="N154" i="18" s="1"/>
  <c r="O149" i="18"/>
  <c r="Q149" i="18"/>
  <c r="P149" i="18"/>
  <c r="N1195" i="18"/>
  <c r="M641" i="7941"/>
  <c r="N908" i="7941"/>
  <c r="N1563" i="18"/>
  <c r="N776" i="18"/>
  <c r="M66" i="7941"/>
  <c r="O21" i="7941"/>
  <c r="N335" i="7941"/>
  <c r="N438" i="7950"/>
  <c r="O398" i="7950"/>
  <c r="J241" i="7949"/>
  <c r="J281" i="7949" s="1"/>
  <c r="I281" i="7949"/>
  <c r="Q1097" i="18"/>
  <c r="Q1517" i="18"/>
  <c r="O1146" i="18"/>
  <c r="O884" i="18" s="1"/>
  <c r="O122" i="7941" s="1"/>
  <c r="N1089" i="18"/>
  <c r="N879" i="18" s="1"/>
  <c r="N1509" i="18"/>
  <c r="O193" i="18"/>
  <c r="P193" i="18" s="1"/>
  <c r="N11" i="7941"/>
  <c r="M325" i="7941"/>
  <c r="O1149" i="18"/>
  <c r="O597" i="7941"/>
  <c r="M324" i="7941"/>
  <c r="N10" i="7941"/>
  <c r="O594" i="7941"/>
  <c r="N881" i="18"/>
  <c r="M905" i="7941"/>
  <c r="N591" i="7941"/>
  <c r="O197" i="7944"/>
  <c r="M66" i="7944"/>
  <c r="P197" i="7944"/>
  <c r="M337" i="1"/>
  <c r="I338" i="7949"/>
  <c r="N197" i="7944"/>
  <c r="N202" i="7944" s="1"/>
  <c r="Q197" i="7944"/>
  <c r="O1200" i="18"/>
  <c r="P123" i="18"/>
  <c r="Q123" i="18"/>
  <c r="M64" i="18"/>
  <c r="N123" i="18"/>
  <c r="N128" i="18" s="1"/>
  <c r="O123" i="18"/>
  <c r="I171" i="7950"/>
  <c r="I182" i="7950" s="1"/>
  <c r="I187" i="7949"/>
  <c r="O163" i="7944"/>
  <c r="P163" i="7944" s="1"/>
  <c r="Q163" i="7944" s="1"/>
  <c r="I276" i="7950"/>
  <c r="J236" i="7950"/>
  <c r="J276" i="7950" s="1"/>
  <c r="L762" i="7950" l="1"/>
  <c r="L600" i="7950"/>
  <c r="M560" i="7950"/>
  <c r="K290" i="7950"/>
  <c r="K330" i="7950" s="1"/>
  <c r="K236" i="7950"/>
  <c r="K276" i="7950" s="1"/>
  <c r="L767" i="7949"/>
  <c r="M727" i="7949"/>
  <c r="N1560" i="18"/>
  <c r="N1298" i="18" s="1"/>
  <c r="N692" i="7941" s="1"/>
  <c r="O1508" i="18"/>
  <c r="O1088" i="18"/>
  <c r="O438" i="7950"/>
  <c r="P398" i="7950"/>
  <c r="N1301" i="18"/>
  <c r="P18" i="7941"/>
  <c r="N1193" i="18"/>
  <c r="M639" i="7941"/>
  <c r="O1307" i="18"/>
  <c r="I65" i="7949"/>
  <c r="J25" i="7949"/>
  <c r="M565" i="7949"/>
  <c r="L605" i="7949"/>
  <c r="M1242" i="18"/>
  <c r="N1142" i="18"/>
  <c r="M638" i="7941"/>
  <c r="N1192" i="18"/>
  <c r="O332" i="7941"/>
  <c r="N1087" i="18"/>
  <c r="N877" i="18" s="1"/>
  <c r="N1507" i="18"/>
  <c r="O167" i="18"/>
  <c r="P167" i="18" s="1"/>
  <c r="M60" i="7941"/>
  <c r="N770" i="18"/>
  <c r="I222" i="7950"/>
  <c r="J182" i="7950"/>
  <c r="J222" i="7950" s="1"/>
  <c r="O1509" i="18"/>
  <c r="O1089" i="18"/>
  <c r="K241" i="7949"/>
  <c r="M903" i="7941"/>
  <c r="N589" i="7941"/>
  <c r="J133" i="7949"/>
  <c r="J173" i="7949" s="1"/>
  <c r="I173" i="7949"/>
  <c r="I20" i="7950"/>
  <c r="O1566" i="18"/>
  <c r="O887" i="18"/>
  <c r="N116" i="7941"/>
  <c r="O774" i="18"/>
  <c r="J187" i="7949"/>
  <c r="J227" i="7949" s="1"/>
  <c r="I227" i="7949"/>
  <c r="N119" i="7941"/>
  <c r="O777" i="18"/>
  <c r="Q193" i="18"/>
  <c r="P1089" i="18"/>
  <c r="P1509" i="18"/>
  <c r="O202" i="7944"/>
  <c r="P202" i="7944" s="1"/>
  <c r="I333" i="7950"/>
  <c r="I344" i="7950" s="1"/>
  <c r="I349" i="7949"/>
  <c r="O128" i="18"/>
  <c r="P128" i="18" s="1"/>
  <c r="Q128" i="18" s="1"/>
  <c r="N1084" i="18"/>
  <c r="N1504" i="18"/>
  <c r="N201" i="18"/>
  <c r="N206" i="18" s="1"/>
  <c r="P201" i="18"/>
  <c r="Q201" i="18"/>
  <c r="M70" i="18"/>
  <c r="M1248" i="18" s="1"/>
  <c r="O201" i="18"/>
  <c r="N117" i="7941"/>
  <c r="O775" i="18"/>
  <c r="P780" i="18"/>
  <c r="M328" i="7941"/>
  <c r="N14" i="7941"/>
  <c r="N1561" i="18"/>
  <c r="O154" i="18"/>
  <c r="P154" i="18" s="1"/>
  <c r="Q154" i="18" s="1"/>
  <c r="N1506" i="18"/>
  <c r="N1086" i="18"/>
  <c r="N876" i="18" s="1"/>
  <c r="P403" i="7949"/>
  <c r="O443" i="7949"/>
  <c r="J128" i="7950"/>
  <c r="J168" i="7950" s="1"/>
  <c r="I168" i="7950"/>
  <c r="N588" i="7941"/>
  <c r="M902" i="7941"/>
  <c r="M762" i="7950"/>
  <c r="N722" i="7950"/>
  <c r="K295" i="7949"/>
  <c r="P180" i="18"/>
  <c r="Q180" i="18" s="1"/>
  <c r="L236" i="7950" l="1"/>
  <c r="L276" i="7950" s="1"/>
  <c r="M600" i="7950"/>
  <c r="N560" i="7950"/>
  <c r="K187" i="7949"/>
  <c r="K227" i="7949" s="1"/>
  <c r="K133" i="7949"/>
  <c r="K173" i="7949" s="1"/>
  <c r="L290" i="7950"/>
  <c r="L330" i="7950" s="1"/>
  <c r="M767" i="7949"/>
  <c r="N727" i="7949"/>
  <c r="Q1086" i="18"/>
  <c r="Q1506" i="18"/>
  <c r="Q1508" i="18"/>
  <c r="Q1088" i="18"/>
  <c r="P1507" i="18"/>
  <c r="P1087" i="18"/>
  <c r="Q167" i="18"/>
  <c r="N762" i="7950"/>
  <c r="O722" i="7950"/>
  <c r="N114" i="7941"/>
  <c r="O772" i="18"/>
  <c r="N1196" i="18"/>
  <c r="M642" i="7941"/>
  <c r="Q1084" i="18"/>
  <c r="Q1504" i="18"/>
  <c r="N329" i="7941"/>
  <c r="O15" i="7941"/>
  <c r="O12" i="7941"/>
  <c r="N326" i="7941"/>
  <c r="K128" i="7950"/>
  <c r="Q403" i="7949"/>
  <c r="P443" i="7949"/>
  <c r="P1504" i="18"/>
  <c r="P1084" i="18"/>
  <c r="O1504" i="18"/>
  <c r="O1084" i="18"/>
  <c r="Q202" i="7944"/>
  <c r="P1146" i="18"/>
  <c r="Q1509" i="18"/>
  <c r="Q1089" i="18"/>
  <c r="J20" i="7950"/>
  <c r="I60" i="7950"/>
  <c r="M900" i="7941"/>
  <c r="N586" i="7941"/>
  <c r="M605" i="7949"/>
  <c r="N565" i="7949"/>
  <c r="O701" i="7941"/>
  <c r="P1203" i="18"/>
  <c r="O1194" i="18"/>
  <c r="O1560" i="18" s="1"/>
  <c r="O1298" i="18" s="1"/>
  <c r="O692" i="7941" s="1"/>
  <c r="P1508" i="18"/>
  <c r="P1088" i="18"/>
  <c r="N902" i="7941"/>
  <c r="O1506" i="18"/>
  <c r="O1086" i="18"/>
  <c r="O1141" i="18"/>
  <c r="O125" i="7941"/>
  <c r="P783" i="18"/>
  <c r="K281" i="7949"/>
  <c r="L241" i="7949"/>
  <c r="K182" i="7950"/>
  <c r="N1136" i="18"/>
  <c r="O1507" i="18"/>
  <c r="O1087" i="18"/>
  <c r="N1190" i="18"/>
  <c r="M636" i="7941"/>
  <c r="K25" i="7949"/>
  <c r="J65" i="7949"/>
  <c r="N587" i="7941"/>
  <c r="M901" i="7941"/>
  <c r="N695" i="7941"/>
  <c r="O1197" i="18"/>
  <c r="M231" i="1"/>
  <c r="M177" i="1"/>
  <c r="M20" i="18" s="1"/>
  <c r="M830" i="18" s="1"/>
  <c r="K335" i="7949"/>
  <c r="L295" i="7949"/>
  <c r="O588" i="7941"/>
  <c r="P1506" i="18"/>
  <c r="P1086" i="18"/>
  <c r="N327" i="7941"/>
  <c r="O13" i="7941"/>
  <c r="N1510" i="18"/>
  <c r="O206" i="18"/>
  <c r="P206" i="18" s="1"/>
  <c r="Q206" i="18" s="1"/>
  <c r="N1090" i="18"/>
  <c r="N880" i="18" s="1"/>
  <c r="I389" i="7949"/>
  <c r="J349" i="7949"/>
  <c r="J389" i="7949" s="1"/>
  <c r="O1143" i="18"/>
  <c r="O1140" i="18"/>
  <c r="O878" i="18" s="1"/>
  <c r="O1304" i="18"/>
  <c r="N1299" i="18"/>
  <c r="N8" i="7941"/>
  <c r="M322" i="7941"/>
  <c r="N1559" i="18"/>
  <c r="Q398" i="7950"/>
  <c r="P438" i="7950"/>
  <c r="I384" i="7950"/>
  <c r="J344" i="7950"/>
  <c r="J384" i="7950" s="1"/>
  <c r="N115" i="7941"/>
  <c r="O773" i="18"/>
  <c r="N1558" i="18"/>
  <c r="N1296" i="18" s="1"/>
  <c r="M236" i="7950" l="1"/>
  <c r="M276" i="7950" s="1"/>
  <c r="L187" i="7949"/>
  <c r="L227" i="7949" s="1"/>
  <c r="L133" i="7949"/>
  <c r="L173" i="7949" s="1"/>
  <c r="O560" i="7950"/>
  <c r="N600" i="7950"/>
  <c r="M290" i="7950"/>
  <c r="M330" i="7950" s="1"/>
  <c r="K344" i="7950"/>
  <c r="K384" i="7950" s="1"/>
  <c r="O727" i="7949"/>
  <c r="N767" i="7949"/>
  <c r="P588" i="7941"/>
  <c r="N690" i="7941"/>
  <c r="O586" i="7941" s="1"/>
  <c r="O1192" i="18"/>
  <c r="O1558" i="18" s="1"/>
  <c r="O116" i="7941"/>
  <c r="O326" i="7941" s="1"/>
  <c r="P774" i="18"/>
  <c r="N118" i="7941"/>
  <c r="O776" i="18"/>
  <c r="Q1510" i="18"/>
  <c r="Q1090" i="18"/>
  <c r="M170" i="1"/>
  <c r="M224" i="1"/>
  <c r="O1139" i="18"/>
  <c r="O877" i="18" s="1"/>
  <c r="O115" i="7941" s="1"/>
  <c r="N1297" i="18"/>
  <c r="N693" i="7941"/>
  <c r="O1195" i="18"/>
  <c r="M68" i="7944"/>
  <c r="I446" i="7949"/>
  <c r="M339" i="1"/>
  <c r="P223" i="7944"/>
  <c r="N223" i="7944"/>
  <c r="N228" i="7944" s="1"/>
  <c r="Q223" i="7944"/>
  <c r="O223" i="7944"/>
  <c r="O1563" i="18"/>
  <c r="N1556" i="18"/>
  <c r="K222" i="7950"/>
  <c r="L182" i="7950"/>
  <c r="P1149" i="18"/>
  <c r="O902" i="7941"/>
  <c r="P1194" i="18"/>
  <c r="P1569" i="18"/>
  <c r="P884" i="18"/>
  <c r="M904" i="7941"/>
  <c r="N590" i="7941"/>
  <c r="O10" i="7941"/>
  <c r="N324" i="7941"/>
  <c r="P1090" i="18"/>
  <c r="P1510" i="18"/>
  <c r="L335" i="7949"/>
  <c r="M295" i="7949"/>
  <c r="N905" i="7941"/>
  <c r="O591" i="7941"/>
  <c r="L281" i="7949"/>
  <c r="M241" i="7949"/>
  <c r="O335" i="7941"/>
  <c r="P21" i="7941"/>
  <c r="P597" i="7941"/>
  <c r="O911" i="7941"/>
  <c r="J60" i="7950"/>
  <c r="N1562" i="18"/>
  <c r="O762" i="7950"/>
  <c r="P722" i="7950"/>
  <c r="O11" i="7941"/>
  <c r="N325" i="7941"/>
  <c r="O698" i="7941"/>
  <c r="P1200" i="18"/>
  <c r="M187" i="7949"/>
  <c r="K65" i="7949"/>
  <c r="L25" i="7949"/>
  <c r="N605" i="7949"/>
  <c r="O565" i="7949"/>
  <c r="R403" i="7949"/>
  <c r="Q443" i="7949"/>
  <c r="R398" i="7950"/>
  <c r="Q438" i="7950"/>
  <c r="O881" i="18"/>
  <c r="K349" i="7949"/>
  <c r="O1090" i="18"/>
  <c r="O1510" i="18"/>
  <c r="M68" i="7941"/>
  <c r="N778" i="18"/>
  <c r="M898" i="7941"/>
  <c r="N584" i="7941"/>
  <c r="O879" i="18"/>
  <c r="K20" i="7950"/>
  <c r="K168" i="7950"/>
  <c r="L128" i="7950"/>
  <c r="N874" i="18"/>
  <c r="O1138" i="18"/>
  <c r="Q1507" i="18"/>
  <c r="Q1087" i="18"/>
  <c r="N236" i="7950" l="1"/>
  <c r="O236" i="7950" s="1"/>
  <c r="M133" i="7949"/>
  <c r="N133" i="7949" s="1"/>
  <c r="N290" i="7950"/>
  <c r="N330" i="7950" s="1"/>
  <c r="N900" i="7941"/>
  <c r="P560" i="7950"/>
  <c r="O600" i="7950"/>
  <c r="L344" i="7950"/>
  <c r="L384" i="7950" s="1"/>
  <c r="P11" i="7941"/>
  <c r="O767" i="7949"/>
  <c r="P727" i="7949"/>
  <c r="K389" i="7949"/>
  <c r="L349" i="7949"/>
  <c r="K60" i="7950"/>
  <c r="L20" i="7950"/>
  <c r="N1144" i="18"/>
  <c r="I441" i="7950"/>
  <c r="I452" i="7950" s="1"/>
  <c r="I457" i="7949"/>
  <c r="O1561" i="18"/>
  <c r="O1299" i="18" s="1"/>
  <c r="O693" i="7941" s="1"/>
  <c r="P773" i="18"/>
  <c r="N132" i="7944"/>
  <c r="N137" i="7944" s="1"/>
  <c r="Q132" i="7944"/>
  <c r="O132" i="7944"/>
  <c r="M61" i="7944"/>
  <c r="P132" i="7944"/>
  <c r="M332" i="1"/>
  <c r="I68" i="7949"/>
  <c r="P12" i="7941"/>
  <c r="M330" i="7941"/>
  <c r="N16" i="7941"/>
  <c r="S398" i="7950"/>
  <c r="R438" i="7950"/>
  <c r="S403" i="7949"/>
  <c r="R443" i="7949"/>
  <c r="L65" i="7949"/>
  <c r="M25" i="7949"/>
  <c r="P594" i="7941"/>
  <c r="O908" i="7941"/>
  <c r="P762" i="7950"/>
  <c r="Q722" i="7950"/>
  <c r="M281" i="7949"/>
  <c r="N241" i="7949"/>
  <c r="M335" i="7949"/>
  <c r="N295" i="7949"/>
  <c r="O228" i="7944"/>
  <c r="P228" i="7944" s="1"/>
  <c r="O589" i="7941"/>
  <c r="N903" i="7941"/>
  <c r="M13" i="18"/>
  <c r="O1142" i="18"/>
  <c r="O880" i="18" s="1"/>
  <c r="O118" i="7941" s="1"/>
  <c r="N112" i="7941"/>
  <c r="O770" i="18"/>
  <c r="M173" i="7949"/>
  <c r="P1566" i="18"/>
  <c r="L168" i="7950"/>
  <c r="M128" i="7950"/>
  <c r="O605" i="7949"/>
  <c r="P565" i="7949"/>
  <c r="N187" i="7949"/>
  <c r="M227" i="7949"/>
  <c r="O325" i="7941"/>
  <c r="O1296" i="18"/>
  <c r="O690" i="7941" s="1"/>
  <c r="O876" i="18"/>
  <c r="L222" i="7950"/>
  <c r="M182" i="7950"/>
  <c r="N1294" i="18"/>
  <c r="P1560" i="18"/>
  <c r="O14" i="7941"/>
  <c r="N328" i="7941"/>
  <c r="O117" i="7941"/>
  <c r="P775" i="18"/>
  <c r="O119" i="7941"/>
  <c r="P777" i="18"/>
  <c r="N276" i="7950"/>
  <c r="P122" i="7941"/>
  <c r="Q780" i="18"/>
  <c r="P1307" i="18"/>
  <c r="P887" i="18"/>
  <c r="O1301" i="18"/>
  <c r="N227" i="18"/>
  <c r="N232" i="18" s="1"/>
  <c r="Q227" i="18"/>
  <c r="O227" i="18"/>
  <c r="M72" i="18"/>
  <c r="M1250" i="18" s="1"/>
  <c r="P227" i="18"/>
  <c r="N1300" i="18"/>
  <c r="N691" i="7941"/>
  <c r="O1193" i="18"/>
  <c r="P1140" i="18"/>
  <c r="O290" i="7950" l="1"/>
  <c r="P600" i="7950"/>
  <c r="Q560" i="7950"/>
  <c r="M344" i="7950"/>
  <c r="N344" i="7950" s="1"/>
  <c r="P14" i="7941"/>
  <c r="P589" i="7941"/>
  <c r="P1195" i="18"/>
  <c r="P1561" i="18" s="1"/>
  <c r="P1299" i="18" s="1"/>
  <c r="P693" i="7941" s="1"/>
  <c r="Q727" i="7949"/>
  <c r="P767" i="7949"/>
  <c r="P776" i="18"/>
  <c r="Q228" i="7944"/>
  <c r="O900" i="7941"/>
  <c r="P586" i="7941"/>
  <c r="I63" i="7950"/>
  <c r="I74" i="7950" s="1"/>
  <c r="I79" i="7949"/>
  <c r="T403" i="7949"/>
  <c r="S443" i="7949"/>
  <c r="O587" i="7941"/>
  <c r="N901" i="7941"/>
  <c r="P236" i="7950"/>
  <c r="O276" i="7950"/>
  <c r="P1192" i="18"/>
  <c r="P1298" i="18"/>
  <c r="N688" i="7941"/>
  <c r="O1190" i="18"/>
  <c r="P605" i="7949"/>
  <c r="Q565" i="7949"/>
  <c r="M168" i="7950"/>
  <c r="N128" i="7950"/>
  <c r="P1304" i="18"/>
  <c r="O903" i="7941"/>
  <c r="N281" i="7949"/>
  <c r="O241" i="7949"/>
  <c r="M65" i="7949"/>
  <c r="N25" i="7949"/>
  <c r="M65" i="18"/>
  <c r="P136" i="18"/>
  <c r="Q136" i="18"/>
  <c r="N136" i="18"/>
  <c r="N141" i="18" s="1"/>
  <c r="O136" i="18"/>
  <c r="M644" i="7941"/>
  <c r="N1198" i="18"/>
  <c r="P125" i="7941"/>
  <c r="Q783" i="18"/>
  <c r="P332" i="7941"/>
  <c r="Q18" i="7941"/>
  <c r="P15" i="7941"/>
  <c r="O329" i="7941"/>
  <c r="O114" i="7941"/>
  <c r="P772" i="18"/>
  <c r="N227" i="7949"/>
  <c r="O187" i="7949"/>
  <c r="O1136" i="18"/>
  <c r="M823" i="18"/>
  <c r="Q762" i="7950"/>
  <c r="R722" i="7950"/>
  <c r="N694" i="7941"/>
  <c r="O1196" i="18"/>
  <c r="O695" i="7941"/>
  <c r="P1197" i="18"/>
  <c r="P701" i="7941"/>
  <c r="Q1203" i="18"/>
  <c r="P1141" i="18"/>
  <c r="M222" i="7950"/>
  <c r="N182" i="7950"/>
  <c r="O330" i="7950"/>
  <c r="P290" i="7950"/>
  <c r="N173" i="7949"/>
  <c r="O133" i="7949"/>
  <c r="O8" i="7941"/>
  <c r="N322" i="7941"/>
  <c r="S438" i="7950"/>
  <c r="T398" i="7950"/>
  <c r="O137" i="7944"/>
  <c r="P137" i="7944" s="1"/>
  <c r="J457" i="7949"/>
  <c r="J497" i="7949" s="1"/>
  <c r="I497" i="7949"/>
  <c r="L60" i="7950"/>
  <c r="M20" i="7950"/>
  <c r="O1559" i="18"/>
  <c r="P878" i="18"/>
  <c r="N1092" i="18"/>
  <c r="N882" i="18" s="1"/>
  <c r="N1512" i="18"/>
  <c r="O232" i="18"/>
  <c r="P232" i="18" s="1"/>
  <c r="Q1146" i="18"/>
  <c r="Q884" i="18" s="1"/>
  <c r="Q122" i="7941" s="1"/>
  <c r="P1143" i="18"/>
  <c r="P13" i="7941"/>
  <c r="O327" i="7941"/>
  <c r="O328" i="7941"/>
  <c r="N335" i="7949"/>
  <c r="O295" i="7949"/>
  <c r="P1139" i="18"/>
  <c r="J452" i="7950"/>
  <c r="J492" i="7950" s="1"/>
  <c r="I492" i="7950"/>
  <c r="L389" i="7949"/>
  <c r="M349" i="7949"/>
  <c r="M384" i="7950" l="1"/>
  <c r="Q589" i="7941"/>
  <c r="Q600" i="7950"/>
  <c r="R560" i="7950"/>
  <c r="Q1195" i="18"/>
  <c r="Q1561" i="18" s="1"/>
  <c r="Q1299" i="18" s="1"/>
  <c r="Q693" i="7941" s="1"/>
  <c r="Q232" i="18"/>
  <c r="Q1512" i="18" s="1"/>
  <c r="Q137" i="7944"/>
  <c r="P903" i="7941"/>
  <c r="K457" i="7949"/>
  <c r="Q767" i="7949"/>
  <c r="R727" i="7949"/>
  <c r="P1142" i="18"/>
  <c r="P880" i="18" s="1"/>
  <c r="P118" i="7941" s="1"/>
  <c r="Q14" i="7941" s="1"/>
  <c r="N120" i="7941"/>
  <c r="O778" i="18"/>
  <c r="N222" i="7950"/>
  <c r="O182" i="7950"/>
  <c r="O905" i="7941"/>
  <c r="P591" i="7941"/>
  <c r="O1556" i="18"/>
  <c r="P877" i="18"/>
  <c r="N384" i="7950"/>
  <c r="O344" i="7950"/>
  <c r="P1512" i="18"/>
  <c r="P1092" i="18"/>
  <c r="Q1569" i="18"/>
  <c r="Q1307" i="18" s="1"/>
  <c r="Q701" i="7941" s="1"/>
  <c r="O1562" i="18"/>
  <c r="P10" i="7941"/>
  <c r="O324" i="7941"/>
  <c r="Q332" i="7941"/>
  <c r="N592" i="7941"/>
  <c r="M906" i="7941"/>
  <c r="M1243" i="18"/>
  <c r="O281" i="7949"/>
  <c r="P241" i="7949"/>
  <c r="P1558" i="18"/>
  <c r="U403" i="7949"/>
  <c r="T443" i="7949"/>
  <c r="J74" i="7950"/>
  <c r="J114" i="7950" s="1"/>
  <c r="I114" i="7950"/>
  <c r="O173" i="7949"/>
  <c r="P133" i="7949"/>
  <c r="P879" i="18"/>
  <c r="M389" i="7949"/>
  <c r="N349" i="7949"/>
  <c r="O1512" i="18"/>
  <c r="O1092" i="18"/>
  <c r="P116" i="7941"/>
  <c r="Q774" i="18"/>
  <c r="O1297" i="18"/>
  <c r="P330" i="7950"/>
  <c r="Q290" i="7950"/>
  <c r="P911" i="7941"/>
  <c r="Q597" i="7941"/>
  <c r="O590" i="7941"/>
  <c r="N904" i="7941"/>
  <c r="M61" i="7941"/>
  <c r="N771" i="18"/>
  <c r="O227" i="7949"/>
  <c r="P187" i="7949"/>
  <c r="Q1149" i="18"/>
  <c r="Q887" i="18" s="1"/>
  <c r="Q125" i="7941" s="1"/>
  <c r="O141" i="18"/>
  <c r="N1085" i="18"/>
  <c r="N1505" i="18"/>
  <c r="Q605" i="7949"/>
  <c r="R565" i="7949"/>
  <c r="O584" i="7941"/>
  <c r="N898" i="7941"/>
  <c r="U398" i="7950"/>
  <c r="T438" i="7950"/>
  <c r="P1138" i="18"/>
  <c r="N1564" i="18"/>
  <c r="N168" i="7950"/>
  <c r="O128" i="7950"/>
  <c r="I119" i="7949"/>
  <c r="J79" i="7949"/>
  <c r="J119" i="7949" s="1"/>
  <c r="M232" i="1"/>
  <c r="M178" i="1"/>
  <c r="K452" i="7950"/>
  <c r="O335" i="7949"/>
  <c r="P295" i="7949"/>
  <c r="P881" i="18"/>
  <c r="R780" i="18"/>
  <c r="N1302" i="18"/>
  <c r="N696" i="7941" s="1"/>
  <c r="O592" i="7941" s="1"/>
  <c r="M60" i="7950"/>
  <c r="N20" i="7950"/>
  <c r="P1563" i="18"/>
  <c r="R762" i="7950"/>
  <c r="S722" i="7950"/>
  <c r="O874" i="18"/>
  <c r="Q21" i="7941"/>
  <c r="P335" i="7941"/>
  <c r="N65" i="7949"/>
  <c r="O25" i="7949"/>
  <c r="P698" i="7941"/>
  <c r="Q1200" i="18"/>
  <c r="P692" i="7941"/>
  <c r="Q1194" i="18"/>
  <c r="P276" i="7950"/>
  <c r="Q236" i="7950"/>
  <c r="Q1092" i="18" l="1"/>
  <c r="R600" i="7950"/>
  <c r="S560" i="7950"/>
  <c r="K74" i="7950"/>
  <c r="K114" i="7950" s="1"/>
  <c r="Q335" i="7941"/>
  <c r="Q903" i="7941"/>
  <c r="Q776" i="18"/>
  <c r="Q1142" i="18" s="1"/>
  <c r="Q880" i="18" s="1"/>
  <c r="Q118" i="7941" s="1"/>
  <c r="R767" i="7949"/>
  <c r="S727" i="7949"/>
  <c r="R783" i="18"/>
  <c r="P328" i="7941"/>
  <c r="K497" i="7949"/>
  <c r="L457" i="7949"/>
  <c r="O112" i="7941"/>
  <c r="P770" i="18"/>
  <c r="S762" i="7950"/>
  <c r="T722" i="7950"/>
  <c r="O1144" i="18"/>
  <c r="M21" i="18"/>
  <c r="P876" i="18"/>
  <c r="O1505" i="18"/>
  <c r="O1085" i="18"/>
  <c r="O691" i="7941"/>
  <c r="P1193" i="18"/>
  <c r="N389" i="7949"/>
  <c r="O349" i="7949"/>
  <c r="V403" i="7949"/>
  <c r="U443" i="7949"/>
  <c r="O1300" i="18"/>
  <c r="N330" i="7941"/>
  <c r="O16" i="7941"/>
  <c r="P1301" i="18"/>
  <c r="O236" i="7944"/>
  <c r="M69" i="7944"/>
  <c r="I500" i="7949"/>
  <c r="M340" i="1"/>
  <c r="P236" i="7944"/>
  <c r="N236" i="7944"/>
  <c r="N241" i="7944" s="1"/>
  <c r="Q236" i="7944"/>
  <c r="R605" i="7949"/>
  <c r="S565" i="7949"/>
  <c r="P141" i="18"/>
  <c r="P227" i="7949"/>
  <c r="Q187" i="7949"/>
  <c r="N9" i="7941"/>
  <c r="M323" i="7941"/>
  <c r="Q911" i="7941"/>
  <c r="Q1140" i="18"/>
  <c r="Q878" i="18" s="1"/>
  <c r="Q116" i="7941" s="1"/>
  <c r="P117" i="7941"/>
  <c r="Q775" i="18"/>
  <c r="P1296" i="18"/>
  <c r="R1203" i="18"/>
  <c r="P115" i="7941"/>
  <c r="Q773" i="18"/>
  <c r="O222" i="7950"/>
  <c r="P182" i="7950"/>
  <c r="P908" i="7941"/>
  <c r="Q594" i="7941"/>
  <c r="P119" i="7941"/>
  <c r="Q777" i="18"/>
  <c r="O168" i="7950"/>
  <c r="P128" i="7950"/>
  <c r="P281" i="7949"/>
  <c r="Q241" i="7949"/>
  <c r="N906" i="7941"/>
  <c r="Q1560" i="18"/>
  <c r="Q1298" i="18" s="1"/>
  <c r="Q692" i="7941" s="1"/>
  <c r="P335" i="7949"/>
  <c r="Q295" i="7949"/>
  <c r="O1198" i="18"/>
  <c r="O1564" i="18" s="1"/>
  <c r="O1302" i="18" s="1"/>
  <c r="O696" i="7941" s="1"/>
  <c r="P592" i="7941" s="1"/>
  <c r="Q141" i="18"/>
  <c r="N1137" i="18"/>
  <c r="Q588" i="7941"/>
  <c r="P902" i="7941"/>
  <c r="Q276" i="7950"/>
  <c r="R236" i="7950"/>
  <c r="Q1566" i="18"/>
  <c r="Q1304" i="18" s="1"/>
  <c r="Q698" i="7941" s="1"/>
  <c r="O65" i="7949"/>
  <c r="P25" i="7949"/>
  <c r="N60" i="7950"/>
  <c r="O20" i="7950"/>
  <c r="K492" i="7950"/>
  <c r="L452" i="7950"/>
  <c r="K79" i="7949"/>
  <c r="V398" i="7950"/>
  <c r="U438" i="7950"/>
  <c r="Q330" i="7950"/>
  <c r="R290" i="7950"/>
  <c r="Q12" i="7941"/>
  <c r="P326" i="7941"/>
  <c r="R1195" i="18"/>
  <c r="P173" i="7949"/>
  <c r="Q133" i="7949"/>
  <c r="M637" i="7941"/>
  <c r="N1191" i="18"/>
  <c r="O384" i="7950"/>
  <c r="P344" i="7950"/>
  <c r="O1294" i="18"/>
  <c r="Q902" i="7941" l="1"/>
  <c r="S600" i="7950"/>
  <c r="T560" i="7950"/>
  <c r="L74" i="7950"/>
  <c r="Q328" i="7941"/>
  <c r="R776" i="18"/>
  <c r="L497" i="7949"/>
  <c r="M457" i="7949"/>
  <c r="S767" i="7949"/>
  <c r="T727" i="7949"/>
  <c r="O906" i="7941"/>
  <c r="R330" i="7950"/>
  <c r="S290" i="7950"/>
  <c r="Q1085" i="18"/>
  <c r="Q1505" i="18"/>
  <c r="I495" i="7950"/>
  <c r="I506" i="7950" s="1"/>
  <c r="I511" i="7949"/>
  <c r="P695" i="7941"/>
  <c r="Q1197" i="18"/>
  <c r="P114" i="7941"/>
  <c r="Q772" i="18"/>
  <c r="N1557" i="18"/>
  <c r="Q173" i="7949"/>
  <c r="R133" i="7949"/>
  <c r="R1200" i="18"/>
  <c r="R1194" i="18"/>
  <c r="Q281" i="7949"/>
  <c r="R241" i="7949"/>
  <c r="Q15" i="7941"/>
  <c r="P329" i="7941"/>
  <c r="Q13" i="7941"/>
  <c r="P327" i="7941"/>
  <c r="O241" i="7944"/>
  <c r="P241" i="7944" s="1"/>
  <c r="T762" i="7950"/>
  <c r="U722" i="7950"/>
  <c r="O322" i="7941"/>
  <c r="P8" i="7941"/>
  <c r="V438" i="7950"/>
  <c r="W398" i="7950"/>
  <c r="W438" i="7950" s="1"/>
  <c r="O60" i="7950"/>
  <c r="P20" i="7950"/>
  <c r="Q335" i="7949"/>
  <c r="R295" i="7949"/>
  <c r="Q1143" i="18"/>
  <c r="Q881" i="18" s="1"/>
  <c r="Q119" i="7941" s="1"/>
  <c r="P222" i="7950"/>
  <c r="Q182" i="7950"/>
  <c r="Q1141" i="18"/>
  <c r="Q879" i="18" s="1"/>
  <c r="Q117" i="7941" s="1"/>
  <c r="Q227" i="7949"/>
  <c r="R187" i="7949"/>
  <c r="O389" i="7949"/>
  <c r="P349" i="7949"/>
  <c r="O882" i="18"/>
  <c r="O688" i="7941"/>
  <c r="P1190" i="18"/>
  <c r="K119" i="7949"/>
  <c r="L79" i="7949"/>
  <c r="N585" i="7941"/>
  <c r="M899" i="7941"/>
  <c r="L492" i="7950"/>
  <c r="M452" i="7950"/>
  <c r="P65" i="7949"/>
  <c r="Q25" i="7949"/>
  <c r="R276" i="7950"/>
  <c r="S236" i="7950"/>
  <c r="P168" i="7950"/>
  <c r="Q128" i="7950"/>
  <c r="Q1139" i="18"/>
  <c r="Q877" i="18" s="1"/>
  <c r="Q115" i="7941" s="1"/>
  <c r="Q326" i="7941"/>
  <c r="P1085" i="18"/>
  <c r="P1505" i="18"/>
  <c r="O694" i="7941"/>
  <c r="P1196" i="18"/>
  <c r="P1559" i="18"/>
  <c r="M831" i="18"/>
  <c r="P384" i="7950"/>
  <c r="Q344" i="7950"/>
  <c r="N875" i="18"/>
  <c r="P1198" i="18"/>
  <c r="P1564" i="18" s="1"/>
  <c r="P1302" i="18" s="1"/>
  <c r="P696" i="7941" s="1"/>
  <c r="Q592" i="7941" s="1"/>
  <c r="Q908" i="7941"/>
  <c r="P325" i="7941"/>
  <c r="Q11" i="7941"/>
  <c r="P690" i="7941"/>
  <c r="Q1192" i="18"/>
  <c r="R774" i="18"/>
  <c r="S605" i="7949"/>
  <c r="T565" i="7949"/>
  <c r="M73" i="18"/>
  <c r="Q240" i="18"/>
  <c r="O240" i="18"/>
  <c r="N240" i="18"/>
  <c r="N245" i="18" s="1"/>
  <c r="P240" i="18"/>
  <c r="W403" i="7949"/>
  <c r="W443" i="7949" s="1"/>
  <c r="V443" i="7949"/>
  <c r="P587" i="7941"/>
  <c r="O901" i="7941"/>
  <c r="P1136" i="18"/>
  <c r="T600" i="7950" l="1"/>
  <c r="U560" i="7950"/>
  <c r="L114" i="7950"/>
  <c r="M74" i="7950"/>
  <c r="T767" i="7949"/>
  <c r="U727" i="7949"/>
  <c r="Q241" i="7944"/>
  <c r="M497" i="7949"/>
  <c r="N457" i="7949"/>
  <c r="M1251" i="18"/>
  <c r="M69" i="7941"/>
  <c r="N779" i="18"/>
  <c r="P1556" i="18"/>
  <c r="O120" i="7941"/>
  <c r="P778" i="18"/>
  <c r="N1295" i="18"/>
  <c r="P905" i="7941"/>
  <c r="Q591" i="7941"/>
  <c r="T605" i="7949"/>
  <c r="U565" i="7949"/>
  <c r="M492" i="7950"/>
  <c r="N452" i="7950"/>
  <c r="P60" i="7950"/>
  <c r="Q20" i="7950"/>
  <c r="Q329" i="7941"/>
  <c r="R173" i="7949"/>
  <c r="S133" i="7949"/>
  <c r="Q1138" i="18"/>
  <c r="Q876" i="18" s="1"/>
  <c r="Q114" i="7941" s="1"/>
  <c r="I551" i="7949"/>
  <c r="J511" i="7949"/>
  <c r="J551" i="7949" s="1"/>
  <c r="P900" i="7941"/>
  <c r="Q586" i="7941"/>
  <c r="Q325" i="7941"/>
  <c r="L119" i="7949"/>
  <c r="M79" i="7949"/>
  <c r="P584" i="7941"/>
  <c r="O898" i="7941"/>
  <c r="R775" i="18"/>
  <c r="R777" i="18"/>
  <c r="P324" i="7941"/>
  <c r="Q10" i="7941"/>
  <c r="J506" i="7950"/>
  <c r="J546" i="7950" s="1"/>
  <c r="I546" i="7950"/>
  <c r="S330" i="7950"/>
  <c r="T290" i="7950"/>
  <c r="P906" i="7941"/>
  <c r="Q168" i="7950"/>
  <c r="R128" i="7950"/>
  <c r="U762" i="7950"/>
  <c r="V722" i="7950"/>
  <c r="N1093" i="18"/>
  <c r="O245" i="18"/>
  <c r="N1513" i="18"/>
  <c r="Q384" i="7950"/>
  <c r="R344" i="7950"/>
  <c r="P1297" i="18"/>
  <c r="S276" i="7950"/>
  <c r="T236" i="7950"/>
  <c r="P389" i="7949"/>
  <c r="Q349" i="7949"/>
  <c r="Q1198" i="18"/>
  <c r="N113" i="7941"/>
  <c r="O771" i="18"/>
  <c r="P1562" i="18"/>
  <c r="P874" i="18"/>
  <c r="Q1558" i="18"/>
  <c r="Q1296" i="18" s="1"/>
  <c r="Q690" i="7941" s="1"/>
  <c r="P590" i="7941"/>
  <c r="O904" i="7941"/>
  <c r="R773" i="18"/>
  <c r="Q65" i="7949"/>
  <c r="R25" i="7949"/>
  <c r="R227" i="7949"/>
  <c r="S187" i="7949"/>
  <c r="Q222" i="7950"/>
  <c r="R182" i="7950"/>
  <c r="R335" i="7949"/>
  <c r="S295" i="7949"/>
  <c r="Q327" i="7941"/>
  <c r="R281" i="7949"/>
  <c r="S241" i="7949"/>
  <c r="Q1563" i="18"/>
  <c r="Q1301" i="18" s="1"/>
  <c r="Q695" i="7941" s="1"/>
  <c r="Q900" i="7941" l="1"/>
  <c r="U600" i="7950"/>
  <c r="V560" i="7950"/>
  <c r="M114" i="7950"/>
  <c r="N74" i="7950"/>
  <c r="Q1564" i="18"/>
  <c r="Q1302" i="18" s="1"/>
  <c r="Q696" i="7941" s="1"/>
  <c r="Q906" i="7941" s="1"/>
  <c r="U767" i="7949"/>
  <c r="V727" i="7949"/>
  <c r="O457" i="7949"/>
  <c r="N497" i="7949"/>
  <c r="S281" i="7949"/>
  <c r="T241" i="7949"/>
  <c r="P112" i="7941"/>
  <c r="Q770" i="18"/>
  <c r="P1300" i="18"/>
  <c r="P691" i="7941"/>
  <c r="Q1193" i="18"/>
  <c r="O1513" i="18"/>
  <c r="O1093" i="18"/>
  <c r="R168" i="7950"/>
  <c r="S128" i="7950"/>
  <c r="T330" i="7950"/>
  <c r="U290" i="7950"/>
  <c r="Q60" i="7950"/>
  <c r="R20" i="7950"/>
  <c r="U605" i="7949"/>
  <c r="V565" i="7949"/>
  <c r="P1144" i="18"/>
  <c r="N1145" i="18"/>
  <c r="R222" i="7950"/>
  <c r="S182" i="7950"/>
  <c r="R65" i="7949"/>
  <c r="S25" i="7949"/>
  <c r="R1192" i="18"/>
  <c r="O9" i="7941"/>
  <c r="N323" i="7941"/>
  <c r="T276" i="7950"/>
  <c r="U236" i="7950"/>
  <c r="R384" i="7950"/>
  <c r="S344" i="7950"/>
  <c r="N883" i="18"/>
  <c r="O779" i="18" s="1"/>
  <c r="K506" i="7950"/>
  <c r="Q324" i="7941"/>
  <c r="M119" i="7949"/>
  <c r="N79" i="7949"/>
  <c r="P16" i="7941"/>
  <c r="O330" i="7941"/>
  <c r="N17" i="7941"/>
  <c r="M331" i="7941"/>
  <c r="P245" i="18"/>
  <c r="V762" i="7950"/>
  <c r="W722" i="7950"/>
  <c r="W762" i="7950" s="1"/>
  <c r="K511" i="7949"/>
  <c r="R772" i="18"/>
  <c r="N492" i="7950"/>
  <c r="O452" i="7950"/>
  <c r="Q905" i="7941"/>
  <c r="P1294" i="18"/>
  <c r="M181" i="1"/>
  <c r="M24" i="18" s="1"/>
  <c r="M834" i="18" s="1"/>
  <c r="M235" i="1"/>
  <c r="R1197" i="18"/>
  <c r="S335" i="7949"/>
  <c r="T295" i="7949"/>
  <c r="S227" i="7949"/>
  <c r="T187" i="7949"/>
  <c r="O1137" i="18"/>
  <c r="Q389" i="7949"/>
  <c r="R349" i="7949"/>
  <c r="S173" i="7949"/>
  <c r="T133" i="7949"/>
  <c r="N689" i="7941"/>
  <c r="O1191" i="18"/>
  <c r="N1199" i="18"/>
  <c r="M645" i="7941"/>
  <c r="V600" i="7950" l="1"/>
  <c r="W560" i="7950"/>
  <c r="W600" i="7950" s="1"/>
  <c r="N114" i="7950"/>
  <c r="O74" i="7950"/>
  <c r="W727" i="7949"/>
  <c r="W767" i="7949" s="1"/>
  <c r="V767" i="7949"/>
  <c r="O497" i="7949"/>
  <c r="P457" i="7949"/>
  <c r="R1198" i="18"/>
  <c r="N593" i="7941"/>
  <c r="M907" i="7941"/>
  <c r="M72" i="7941"/>
  <c r="N782" i="18"/>
  <c r="R60" i="7950"/>
  <c r="S20" i="7950"/>
  <c r="P694" i="7941"/>
  <c r="Q1196" i="18"/>
  <c r="T173" i="7949"/>
  <c r="U133" i="7949"/>
  <c r="P1093" i="18"/>
  <c r="P1513" i="18"/>
  <c r="N119" i="7949"/>
  <c r="O79" i="7949"/>
  <c r="S65" i="7949"/>
  <c r="T25" i="7949"/>
  <c r="P882" i="18"/>
  <c r="Q1559" i="18"/>
  <c r="Q1297" i="18" s="1"/>
  <c r="Q691" i="7941" s="1"/>
  <c r="Q1136" i="18"/>
  <c r="O1557" i="18"/>
  <c r="T227" i="7949"/>
  <c r="U187" i="7949"/>
  <c r="N121" i="7941"/>
  <c r="U276" i="7950"/>
  <c r="V236" i="7950"/>
  <c r="O1145" i="18"/>
  <c r="V605" i="7949"/>
  <c r="W565" i="7949"/>
  <c r="W605" i="7949" s="1"/>
  <c r="U330" i="7950"/>
  <c r="V290" i="7950"/>
  <c r="Q587" i="7941"/>
  <c r="P901" i="7941"/>
  <c r="Q8" i="7941"/>
  <c r="P322" i="7941"/>
  <c r="T281" i="7949"/>
  <c r="U241" i="7949"/>
  <c r="N899" i="7941"/>
  <c r="O585" i="7941"/>
  <c r="T335" i="7949"/>
  <c r="U295" i="7949"/>
  <c r="O492" i="7950"/>
  <c r="P452" i="7950"/>
  <c r="K546" i="7950"/>
  <c r="L506" i="7950"/>
  <c r="S384" i="7950"/>
  <c r="T344" i="7950"/>
  <c r="S168" i="7950"/>
  <c r="T128" i="7950"/>
  <c r="M288" i="1"/>
  <c r="M327" i="1" s="1"/>
  <c r="R328" i="1" s="1"/>
  <c r="M165" i="1"/>
  <c r="R166" i="1" s="1"/>
  <c r="N1565" i="18"/>
  <c r="R389" i="7949"/>
  <c r="S349" i="7949"/>
  <c r="M234" i="1"/>
  <c r="M180" i="1"/>
  <c r="M111" i="1"/>
  <c r="R112" i="1" s="1"/>
  <c r="O875" i="18"/>
  <c r="N275" i="7944"/>
  <c r="N280" i="7944" s="1"/>
  <c r="Q275" i="7944"/>
  <c r="M343" i="1"/>
  <c r="O275" i="7944"/>
  <c r="I662" i="7949"/>
  <c r="M72" i="7944"/>
  <c r="P275" i="7944"/>
  <c r="P688" i="7941"/>
  <c r="Q1190" i="18"/>
  <c r="K551" i="7949"/>
  <c r="L511" i="7949"/>
  <c r="Q245" i="18"/>
  <c r="S222" i="7950"/>
  <c r="T182" i="7950"/>
  <c r="P74" i="7950" l="1"/>
  <c r="O114" i="7950"/>
  <c r="P497" i="7949"/>
  <c r="Q457" i="7949"/>
  <c r="Q901" i="7941"/>
  <c r="M23" i="18"/>
  <c r="M219" i="1"/>
  <c r="R220" i="1" s="1"/>
  <c r="Q1556" i="18"/>
  <c r="Q1093" i="18"/>
  <c r="Q1513" i="18"/>
  <c r="P279" i="18"/>
  <c r="Q279" i="18"/>
  <c r="O279" i="18"/>
  <c r="N279" i="18"/>
  <c r="N284" i="18" s="1"/>
  <c r="M76" i="18"/>
  <c r="M1254" i="18" s="1"/>
  <c r="T168" i="7950"/>
  <c r="U128" i="7950"/>
  <c r="L546" i="7950"/>
  <c r="M506" i="7950"/>
  <c r="U335" i="7949"/>
  <c r="V295" i="7949"/>
  <c r="Q590" i="7941"/>
  <c r="P904" i="7941"/>
  <c r="O883" i="18"/>
  <c r="M71" i="7944"/>
  <c r="M59" i="7944" s="1"/>
  <c r="I608" i="7949"/>
  <c r="M342" i="1"/>
  <c r="P262" i="7944"/>
  <c r="N262" i="7944"/>
  <c r="N267" i="7944" s="1"/>
  <c r="Q262" i="7944"/>
  <c r="O262" i="7944"/>
  <c r="M273" i="1"/>
  <c r="R274" i="1" s="1"/>
  <c r="U227" i="7949"/>
  <c r="V187" i="7949"/>
  <c r="O1295" i="18"/>
  <c r="T65" i="7949"/>
  <c r="U25" i="7949"/>
  <c r="O119" i="7949"/>
  <c r="P79" i="7949"/>
  <c r="O17" i="7941"/>
  <c r="U173" i="7949"/>
  <c r="V133" i="7949"/>
  <c r="N331" i="7941"/>
  <c r="T222" i="7950"/>
  <c r="U182" i="7950"/>
  <c r="I657" i="7950"/>
  <c r="I668" i="7950" s="1"/>
  <c r="I673" i="7949"/>
  <c r="O280" i="7944"/>
  <c r="P280" i="7944" s="1"/>
  <c r="O113" i="7941"/>
  <c r="P771" i="18"/>
  <c r="S389" i="7949"/>
  <c r="T349" i="7949"/>
  <c r="T384" i="7950"/>
  <c r="U344" i="7950"/>
  <c r="P492" i="7950"/>
  <c r="Q452" i="7950"/>
  <c r="V330" i="7950"/>
  <c r="W290" i="7950"/>
  <c r="W330" i="7950" s="1"/>
  <c r="V276" i="7950"/>
  <c r="W236" i="7950"/>
  <c r="W276" i="7950" s="1"/>
  <c r="Q874" i="18"/>
  <c r="R1193" i="18"/>
  <c r="N1148" i="18"/>
  <c r="P120" i="7941"/>
  <c r="Q778" i="18"/>
  <c r="N1303" i="18"/>
  <c r="M511" i="7949"/>
  <c r="L551" i="7949"/>
  <c r="P898" i="7941"/>
  <c r="Q584" i="7941"/>
  <c r="U281" i="7949"/>
  <c r="V241" i="7949"/>
  <c r="Q1562" i="18"/>
  <c r="Q1300" i="18" s="1"/>
  <c r="Q694" i="7941" s="1"/>
  <c r="S60" i="7950"/>
  <c r="T20" i="7950"/>
  <c r="N20" i="7941"/>
  <c r="M334" i="7941"/>
  <c r="P114" i="7950" l="1"/>
  <c r="Q74" i="7950"/>
  <c r="Q497" i="7949"/>
  <c r="R457" i="7949"/>
  <c r="Q1144" i="18"/>
  <c r="Q882" i="18" s="1"/>
  <c r="Q120" i="7941" s="1"/>
  <c r="U384" i="7950"/>
  <c r="V344" i="7950"/>
  <c r="P1137" i="18"/>
  <c r="N697" i="7941"/>
  <c r="O1199" i="18"/>
  <c r="P330" i="7941"/>
  <c r="Q16" i="7941"/>
  <c r="I713" i="7949"/>
  <c r="J673" i="7949"/>
  <c r="J713" i="7949" s="1"/>
  <c r="I603" i="7950"/>
  <c r="I614" i="7950" s="1"/>
  <c r="I619" i="7949"/>
  <c r="N506" i="7950"/>
  <c r="M546" i="7950"/>
  <c r="M648" i="7941"/>
  <c r="N1202" i="18"/>
  <c r="Q1294" i="18"/>
  <c r="M551" i="7949"/>
  <c r="N511" i="7949"/>
  <c r="Q112" i="7941"/>
  <c r="R770" i="18"/>
  <c r="O689" i="7941"/>
  <c r="P1191" i="18"/>
  <c r="Q904" i="7941"/>
  <c r="R1196" i="18"/>
  <c r="T60" i="7950"/>
  <c r="U20" i="7950"/>
  <c r="V281" i="7949"/>
  <c r="W241" i="7949"/>
  <c r="W281" i="7949" s="1"/>
  <c r="Q492" i="7950"/>
  <c r="R452" i="7950"/>
  <c r="T389" i="7949"/>
  <c r="U349" i="7949"/>
  <c r="P9" i="7941"/>
  <c r="O323" i="7941"/>
  <c r="I708" i="7950"/>
  <c r="J668" i="7950"/>
  <c r="J708" i="7950" s="1"/>
  <c r="P119" i="7949"/>
  <c r="Q79" i="7949"/>
  <c r="V227" i="7949"/>
  <c r="W187" i="7949"/>
  <c r="W227" i="7949" s="1"/>
  <c r="O267" i="7944"/>
  <c r="O111" i="7944" s="1"/>
  <c r="N111" i="7944"/>
  <c r="N1516" i="18"/>
  <c r="O284" i="18"/>
  <c r="N1096" i="18"/>
  <c r="N886" i="18" s="1"/>
  <c r="M833" i="18"/>
  <c r="M11" i="18"/>
  <c r="U65" i="7949"/>
  <c r="V25" i="7949"/>
  <c r="Q266" i="18"/>
  <c r="M75" i="18"/>
  <c r="P266" i="18"/>
  <c r="O266" i="18"/>
  <c r="N266" i="18"/>
  <c r="N271" i="18" s="1"/>
  <c r="M381" i="1"/>
  <c r="R382" i="1" s="1"/>
  <c r="Q280" i="7944"/>
  <c r="U222" i="7950"/>
  <c r="V182" i="7950"/>
  <c r="V173" i="7949"/>
  <c r="W133" i="7949"/>
  <c r="W173" i="7949" s="1"/>
  <c r="O121" i="7941"/>
  <c r="P17" i="7941" s="1"/>
  <c r="P779" i="18"/>
  <c r="V335" i="7949"/>
  <c r="W295" i="7949"/>
  <c r="W335" i="7949" s="1"/>
  <c r="U168" i="7950"/>
  <c r="V128" i="7950"/>
  <c r="R74" i="7950" l="1"/>
  <c r="Q114" i="7950"/>
  <c r="P267" i="7944"/>
  <c r="P111" i="7944" s="1"/>
  <c r="O331" i="7941"/>
  <c r="K673" i="7949"/>
  <c r="K713" i="7949" s="1"/>
  <c r="R497" i="7949"/>
  <c r="S457" i="7949"/>
  <c r="N124" i="7941"/>
  <c r="O782" i="18"/>
  <c r="O899" i="7941"/>
  <c r="P585" i="7941"/>
  <c r="N551" i="7949"/>
  <c r="O511" i="7949"/>
  <c r="N1568" i="18"/>
  <c r="N1306" i="18" s="1"/>
  <c r="N700" i="7941" s="1"/>
  <c r="J619" i="7949"/>
  <c r="J659" i="7949" s="1"/>
  <c r="I659" i="7949"/>
  <c r="M1253" i="18"/>
  <c r="M63" i="18"/>
  <c r="N781" i="18"/>
  <c r="M71" i="7941"/>
  <c r="M821" i="18"/>
  <c r="O1516" i="18"/>
  <c r="O1096" i="18"/>
  <c r="Q119" i="7949"/>
  <c r="R79" i="7949"/>
  <c r="U389" i="7949"/>
  <c r="V349" i="7949"/>
  <c r="N596" i="7941"/>
  <c r="M910" i="7941"/>
  <c r="J614" i="7950"/>
  <c r="J654" i="7950" s="1"/>
  <c r="I654" i="7950"/>
  <c r="O1565" i="18"/>
  <c r="Q330" i="7941"/>
  <c r="V168" i="7950"/>
  <c r="W128" i="7950"/>
  <c r="W168" i="7950" s="1"/>
  <c r="P1145" i="18"/>
  <c r="V222" i="7950"/>
  <c r="W182" i="7950"/>
  <c r="W222" i="7950" s="1"/>
  <c r="N1515" i="18"/>
  <c r="N1095" i="18"/>
  <c r="O271" i="18"/>
  <c r="P271" i="18" s="1"/>
  <c r="N115" i="18"/>
  <c r="P1557" i="18"/>
  <c r="Q688" i="7941"/>
  <c r="R1190" i="18"/>
  <c r="R778" i="18"/>
  <c r="V65" i="7949"/>
  <c r="W25" i="7949"/>
  <c r="W65" i="7949" s="1"/>
  <c r="P284" i="18"/>
  <c r="N19" i="7944"/>
  <c r="O19" i="7944" s="1"/>
  <c r="P19" i="7944" s="1"/>
  <c r="N45" i="7944"/>
  <c r="O45" i="7944" s="1"/>
  <c r="N40" i="7944"/>
  <c r="O40" i="7944" s="1"/>
  <c r="N23" i="7944"/>
  <c r="O23" i="7944" s="1"/>
  <c r="N28" i="7944"/>
  <c r="O28" i="7944" s="1"/>
  <c r="P28" i="7944" s="1"/>
  <c r="N29" i="7944"/>
  <c r="O29" i="7944" s="1"/>
  <c r="N37" i="7944"/>
  <c r="O37" i="7944" s="1"/>
  <c r="N52" i="7944"/>
  <c r="O52" i="7944" s="1"/>
  <c r="N36" i="7944"/>
  <c r="O36" i="7944" s="1"/>
  <c r="P36" i="7944" s="1"/>
  <c r="N26" i="7944"/>
  <c r="O26" i="7944" s="1"/>
  <c r="N56" i="7944"/>
  <c r="O56" i="7944" s="1"/>
  <c r="N39" i="7944"/>
  <c r="O39" i="7944" s="1"/>
  <c r="N34" i="7944"/>
  <c r="O34" i="7944" s="1"/>
  <c r="P34" i="7944" s="1"/>
  <c r="N32" i="7944"/>
  <c r="O32" i="7944" s="1"/>
  <c r="N54" i="7944"/>
  <c r="O54" i="7944" s="1"/>
  <c r="N55" i="7944"/>
  <c r="O55" i="7944" s="1"/>
  <c r="N42" i="7944"/>
  <c r="O42" i="7944" s="1"/>
  <c r="P42" i="7944" s="1"/>
  <c r="N43" i="7944"/>
  <c r="O43" i="7944" s="1"/>
  <c r="N49" i="7944"/>
  <c r="O49" i="7944" s="1"/>
  <c r="N25" i="7944"/>
  <c r="O25" i="7944" s="1"/>
  <c r="N53" i="7944"/>
  <c r="O53" i="7944" s="1"/>
  <c r="P53" i="7944" s="1"/>
  <c r="N50" i="7944"/>
  <c r="O50" i="7944" s="1"/>
  <c r="N35" i="7944"/>
  <c r="O35" i="7944" s="1"/>
  <c r="N47" i="7944"/>
  <c r="O47" i="7944" s="1"/>
  <c r="N48" i="7944"/>
  <c r="O48" i="7944" s="1"/>
  <c r="P48" i="7944" s="1"/>
  <c r="N24" i="7944"/>
  <c r="O24" i="7944" s="1"/>
  <c r="N38" i="7944"/>
  <c r="O38" i="7944" s="1"/>
  <c r="N30" i="7944"/>
  <c r="O30" i="7944" s="1"/>
  <c r="N57" i="7944"/>
  <c r="O57" i="7944" s="1"/>
  <c r="P57" i="7944" s="1"/>
  <c r="N22" i="7944"/>
  <c r="O22" i="7944" s="1"/>
  <c r="N44" i="7944"/>
  <c r="O44" i="7944" s="1"/>
  <c r="N46" i="7944"/>
  <c r="O46" i="7944" s="1"/>
  <c r="N51" i="7944"/>
  <c r="O51" i="7944" s="1"/>
  <c r="P51" i="7944" s="1"/>
  <c r="N33" i="7944"/>
  <c r="O33" i="7944" s="1"/>
  <c r="N31" i="7944"/>
  <c r="N27" i="7944"/>
  <c r="O27" i="7944" s="1"/>
  <c r="N41" i="7944"/>
  <c r="O41" i="7944" s="1"/>
  <c r="P41" i="7944" s="1"/>
  <c r="N21" i="7944"/>
  <c r="O21" i="7944" s="1"/>
  <c r="N18" i="7944"/>
  <c r="O18" i="7944" s="1"/>
  <c r="N15" i="7944"/>
  <c r="O15" i="7944" s="1"/>
  <c r="N12" i="7944"/>
  <c r="O12" i="7944" s="1"/>
  <c r="P12" i="7944" s="1"/>
  <c r="N13" i="7944"/>
  <c r="O13" i="7944" s="1"/>
  <c r="N10" i="7944"/>
  <c r="O10" i="7944" s="1"/>
  <c r="N8" i="7944"/>
  <c r="N11" i="7944"/>
  <c r="O11" i="7944" s="1"/>
  <c r="P11" i="7944" s="1"/>
  <c r="N14" i="7944"/>
  <c r="O14" i="7944" s="1"/>
  <c r="N16" i="7944"/>
  <c r="O16" i="7944" s="1"/>
  <c r="N9" i="7944"/>
  <c r="O9" i="7944" s="1"/>
  <c r="N17" i="7944"/>
  <c r="O17" i="7944" s="1"/>
  <c r="P17" i="7944" s="1"/>
  <c r="N20" i="7944"/>
  <c r="O20" i="7944" s="1"/>
  <c r="K668" i="7950"/>
  <c r="R492" i="7950"/>
  <c r="S452" i="7950"/>
  <c r="U60" i="7950"/>
  <c r="V20" i="7950"/>
  <c r="Q322" i="7941"/>
  <c r="N546" i="7950"/>
  <c r="O506" i="7950"/>
  <c r="N907" i="7941"/>
  <c r="O593" i="7941"/>
  <c r="P875" i="18"/>
  <c r="V384" i="7950"/>
  <c r="W344" i="7950"/>
  <c r="W384" i="7950" s="1"/>
  <c r="R114" i="7950" l="1"/>
  <c r="S74" i="7950"/>
  <c r="P9" i="7944"/>
  <c r="P15" i="7944"/>
  <c r="P27" i="7944"/>
  <c r="P46" i="7944"/>
  <c r="P30" i="7944"/>
  <c r="P47" i="7944"/>
  <c r="P25" i="7944"/>
  <c r="P55" i="7944"/>
  <c r="P39" i="7944"/>
  <c r="P52" i="7944"/>
  <c r="P23" i="7944"/>
  <c r="Q267" i="7944"/>
  <c r="Q111" i="7944" s="1"/>
  <c r="Q11" i="7944" s="1"/>
  <c r="R11" i="7944" s="1"/>
  <c r="N10" i="7946" s="1"/>
  <c r="O10" i="7946" s="1"/>
  <c r="L673" i="7949"/>
  <c r="L713" i="7949" s="1"/>
  <c r="P16" i="7944"/>
  <c r="P10" i="7944"/>
  <c r="P18" i="7944"/>
  <c r="P44" i="7944"/>
  <c r="P38" i="7944"/>
  <c r="P35" i="7944"/>
  <c r="P49" i="7944"/>
  <c r="P54" i="7944"/>
  <c r="P56" i="7944"/>
  <c r="P37" i="7944"/>
  <c r="P40" i="7944"/>
  <c r="P20" i="7944"/>
  <c r="P14" i="7944"/>
  <c r="P13" i="7944"/>
  <c r="Q13" i="7944" s="1"/>
  <c r="R13" i="7944" s="1"/>
  <c r="N12" i="7946" s="1"/>
  <c r="O12" i="7946" s="1"/>
  <c r="P21" i="7944"/>
  <c r="P33" i="7944"/>
  <c r="P22" i="7944"/>
  <c r="P24" i="7944"/>
  <c r="Q24" i="7944" s="1"/>
  <c r="R24" i="7944" s="1"/>
  <c r="N23" i="7946" s="1"/>
  <c r="O23" i="7946" s="1"/>
  <c r="P50" i="7944"/>
  <c r="P43" i="7944"/>
  <c r="P32" i="7944"/>
  <c r="P26" i="7944"/>
  <c r="Q26" i="7944" s="1"/>
  <c r="R26" i="7944" s="1"/>
  <c r="N25" i="7946" s="1"/>
  <c r="O25" i="7946" s="1"/>
  <c r="P29" i="7944"/>
  <c r="P45" i="7944"/>
  <c r="S497" i="7949"/>
  <c r="T457" i="7949"/>
  <c r="P113" i="7941"/>
  <c r="Q771" i="18"/>
  <c r="P1515" i="18"/>
  <c r="P1095" i="18"/>
  <c r="P115" i="18"/>
  <c r="P883" i="18"/>
  <c r="O1303" i="18"/>
  <c r="N910" i="7941"/>
  <c r="V389" i="7949"/>
  <c r="W349" i="7949"/>
  <c r="W389" i="7949" s="1"/>
  <c r="N19" i="7941"/>
  <c r="M333" i="7941"/>
  <c r="M59" i="7941"/>
  <c r="O1202" i="18"/>
  <c r="O1568" i="18" s="1"/>
  <c r="O1306" i="18" s="1"/>
  <c r="O700" i="7941" s="1"/>
  <c r="O1148" i="18"/>
  <c r="O546" i="7950"/>
  <c r="P506" i="7950"/>
  <c r="V60" i="7950"/>
  <c r="W20" i="7950"/>
  <c r="W60" i="7950" s="1"/>
  <c r="O8" i="7944"/>
  <c r="N7" i="7944"/>
  <c r="P1516" i="18"/>
  <c r="P1096" i="18"/>
  <c r="P1295" i="18"/>
  <c r="Q284" i="18"/>
  <c r="O1515" i="18"/>
  <c r="O1503" i="18" s="1"/>
  <c r="O1095" i="18"/>
  <c r="O115" i="18"/>
  <c r="K614" i="7950"/>
  <c r="O596" i="7941"/>
  <c r="O886" i="18"/>
  <c r="O124" i="7941" s="1"/>
  <c r="N1147" i="18"/>
  <c r="N885" i="18" s="1"/>
  <c r="N769" i="18"/>
  <c r="N1201" i="18"/>
  <c r="M647" i="7941"/>
  <c r="M1241" i="18"/>
  <c r="N334" i="7941"/>
  <c r="O20" i="7941"/>
  <c r="K708" i="7950"/>
  <c r="L668" i="7950"/>
  <c r="O31" i="7944"/>
  <c r="P31" i="7944" s="1"/>
  <c r="N1083" i="18"/>
  <c r="K619" i="7949"/>
  <c r="O551" i="7949"/>
  <c r="P511" i="7949"/>
  <c r="S492" i="7950"/>
  <c r="T452" i="7950"/>
  <c r="Q898" i="7941"/>
  <c r="Q271" i="18"/>
  <c r="N1503" i="18"/>
  <c r="R119" i="7949"/>
  <c r="S79" i="7949"/>
  <c r="Q19" i="7944"/>
  <c r="R19" i="7944" s="1"/>
  <c r="N18" i="7946" s="1"/>
  <c r="Q29" i="7944" l="1"/>
  <c r="R29" i="7944" s="1"/>
  <c r="N28" i="7946" s="1"/>
  <c r="O28" i="7946" s="1"/>
  <c r="Q32" i="7944"/>
  <c r="R32" i="7944" s="1"/>
  <c r="N31" i="7946" s="1"/>
  <c r="O31" i="7946" s="1"/>
  <c r="Q22" i="7944"/>
  <c r="R22" i="7944" s="1"/>
  <c r="N21" i="7946" s="1"/>
  <c r="O21" i="7946" s="1"/>
  <c r="Q14" i="7944"/>
  <c r="R14" i="7944" s="1"/>
  <c r="N13" i="7946" s="1"/>
  <c r="O13" i="7946" s="1"/>
  <c r="Q37" i="7944"/>
  <c r="R37" i="7944" s="1"/>
  <c r="N36" i="7946" s="1"/>
  <c r="O36" i="7946" s="1"/>
  <c r="Q35" i="7944"/>
  <c r="R35" i="7944" s="1"/>
  <c r="N34" i="7946" s="1"/>
  <c r="O34" i="7946" s="1"/>
  <c r="Q45" i="7944"/>
  <c r="R45" i="7944" s="1"/>
  <c r="N44" i="7946" s="1"/>
  <c r="O44" i="7946" s="1"/>
  <c r="Q43" i="7944"/>
  <c r="R43" i="7944" s="1"/>
  <c r="N42" i="7946" s="1"/>
  <c r="O42" i="7946" s="1"/>
  <c r="Q33" i="7944"/>
  <c r="R33" i="7944" s="1"/>
  <c r="N32" i="7946" s="1"/>
  <c r="O32" i="7946" s="1"/>
  <c r="Q54" i="7944"/>
  <c r="R54" i="7944" s="1"/>
  <c r="N53" i="7946" s="1"/>
  <c r="O53" i="7946" s="1"/>
  <c r="S114" i="7950"/>
  <c r="T74" i="7950"/>
  <c r="Q10" i="7944"/>
  <c r="R10" i="7944" s="1"/>
  <c r="N9" i="7946" s="1"/>
  <c r="O9" i="7946" s="1"/>
  <c r="Q20" i="7944"/>
  <c r="R20" i="7944" s="1"/>
  <c r="N19" i="7946" s="1"/>
  <c r="Q40" i="7944"/>
  <c r="R40" i="7944" s="1"/>
  <c r="N39" i="7946" s="1"/>
  <c r="O39" i="7946" s="1"/>
  <c r="Q49" i="7944"/>
  <c r="R49" i="7944" s="1"/>
  <c r="N48" i="7946" s="1"/>
  <c r="O48" i="7946" s="1"/>
  <c r="Q50" i="7944"/>
  <c r="R50" i="7944" s="1"/>
  <c r="N49" i="7946" s="1"/>
  <c r="O49" i="7946" s="1"/>
  <c r="Q21" i="7944"/>
  <c r="R21" i="7944" s="1"/>
  <c r="N20" i="7946" s="1"/>
  <c r="O20" i="7946" s="1"/>
  <c r="M673" i="7949"/>
  <c r="N673" i="7949" s="1"/>
  <c r="Q18" i="7944"/>
  <c r="R18" i="7944" s="1"/>
  <c r="N17" i="7946" s="1"/>
  <c r="O17" i="7946" s="1"/>
  <c r="Q39" i="7944"/>
  <c r="R39" i="7944" s="1"/>
  <c r="N38" i="7946" s="1"/>
  <c r="O38" i="7946" s="1"/>
  <c r="Q30" i="7944"/>
  <c r="R30" i="7944" s="1"/>
  <c r="N29" i="7946" s="1"/>
  <c r="O29" i="7946" s="1"/>
  <c r="Q9" i="7944"/>
  <c r="R9" i="7944" s="1"/>
  <c r="N8" i="7946" s="1"/>
  <c r="O8" i="7946" s="1"/>
  <c r="Q42" i="7944"/>
  <c r="R42" i="7944" s="1"/>
  <c r="N41" i="7946" s="1"/>
  <c r="O41" i="7946" s="1"/>
  <c r="Q51" i="7944"/>
  <c r="R51" i="7944" s="1"/>
  <c r="N50" i="7946" s="1"/>
  <c r="O50" i="7946" s="1"/>
  <c r="Q17" i="7944"/>
  <c r="R17" i="7944" s="1"/>
  <c r="N16" i="7946" s="1"/>
  <c r="O16" i="7946" s="1"/>
  <c r="Q55" i="7944"/>
  <c r="R55" i="7944" s="1"/>
  <c r="N54" i="7946" s="1"/>
  <c r="O54" i="7946" s="1"/>
  <c r="Q46" i="7944"/>
  <c r="R46" i="7944" s="1"/>
  <c r="N45" i="7946" s="1"/>
  <c r="O45" i="7946" s="1"/>
  <c r="Q28" i="7944"/>
  <c r="R28" i="7944" s="1"/>
  <c r="N27" i="7946" s="1"/>
  <c r="O27" i="7946" s="1"/>
  <c r="Q53" i="7944"/>
  <c r="R53" i="7944" s="1"/>
  <c r="N52" i="7946" s="1"/>
  <c r="O52" i="7946" s="1"/>
  <c r="Q41" i="7944"/>
  <c r="R41" i="7944" s="1"/>
  <c r="N40" i="7946" s="1"/>
  <c r="O40" i="7946" s="1"/>
  <c r="Q56" i="7944"/>
  <c r="R56" i="7944" s="1"/>
  <c r="N55" i="7946" s="1"/>
  <c r="O55" i="7946" s="1"/>
  <c r="Q38" i="7944"/>
  <c r="R38" i="7944" s="1"/>
  <c r="N37" i="7946" s="1"/>
  <c r="O37" i="7946" s="1"/>
  <c r="Q16" i="7944"/>
  <c r="R16" i="7944" s="1"/>
  <c r="N15" i="7946" s="1"/>
  <c r="O15" i="7946" s="1"/>
  <c r="Q23" i="7944"/>
  <c r="R23" i="7944" s="1"/>
  <c r="N22" i="7946" s="1"/>
  <c r="O22" i="7946" s="1"/>
  <c r="Q25" i="7944"/>
  <c r="R25" i="7944" s="1"/>
  <c r="N24" i="7946" s="1"/>
  <c r="O24" i="7946" s="1"/>
  <c r="Q27" i="7944"/>
  <c r="R27" i="7944" s="1"/>
  <c r="N26" i="7946" s="1"/>
  <c r="O26" i="7946" s="1"/>
  <c r="Q36" i="7944"/>
  <c r="R36" i="7944" s="1"/>
  <c r="N35" i="7946" s="1"/>
  <c r="O35" i="7946" s="1"/>
  <c r="Q48" i="7944"/>
  <c r="R48" i="7944" s="1"/>
  <c r="N47" i="7946" s="1"/>
  <c r="O47" i="7946" s="1"/>
  <c r="Q12" i="7944"/>
  <c r="R12" i="7944" s="1"/>
  <c r="N11" i="7946" s="1"/>
  <c r="O11" i="7946" s="1"/>
  <c r="Q44" i="7944"/>
  <c r="R44" i="7944" s="1"/>
  <c r="N43" i="7946" s="1"/>
  <c r="O43" i="7946" s="1"/>
  <c r="Q52" i="7944"/>
  <c r="R52" i="7944" s="1"/>
  <c r="N51" i="7946" s="1"/>
  <c r="O51" i="7946" s="1"/>
  <c r="Q47" i="7944"/>
  <c r="R47" i="7944" s="1"/>
  <c r="N46" i="7946" s="1"/>
  <c r="O46" i="7946" s="1"/>
  <c r="Q15" i="7944"/>
  <c r="R15" i="7944" s="1"/>
  <c r="N14" i="7946" s="1"/>
  <c r="O14" i="7946" s="1"/>
  <c r="Q34" i="7944"/>
  <c r="R34" i="7944" s="1"/>
  <c r="N33" i="7946" s="1"/>
  <c r="O33" i="7946" s="1"/>
  <c r="Q57" i="7944"/>
  <c r="R57" i="7944" s="1"/>
  <c r="N56" i="7946" s="1"/>
  <c r="O56" i="7946" s="1"/>
  <c r="O910" i="7941"/>
  <c r="T497" i="7949"/>
  <c r="U457" i="7949"/>
  <c r="Q1095" i="18"/>
  <c r="Q1515" i="18"/>
  <c r="Q115" i="18"/>
  <c r="M909" i="7941"/>
  <c r="N595" i="7941"/>
  <c r="M635" i="7941"/>
  <c r="K659" i="7949"/>
  <c r="L619" i="7949"/>
  <c r="N123" i="7941"/>
  <c r="N111" i="7941" s="1"/>
  <c r="N873" i="18"/>
  <c r="L708" i="7950"/>
  <c r="M668" i="7950"/>
  <c r="P20" i="7941"/>
  <c r="N1567" i="18"/>
  <c r="N1189" i="18"/>
  <c r="O1083" i="18"/>
  <c r="O19" i="7941"/>
  <c r="O7" i="7941" s="1"/>
  <c r="N7" i="7941"/>
  <c r="O334" i="7941"/>
  <c r="O781" i="18"/>
  <c r="P596" i="7941"/>
  <c r="P689" i="7941"/>
  <c r="Q1191" i="18"/>
  <c r="P782" i="18"/>
  <c r="P1148" i="18" s="1"/>
  <c r="P1202" i="18"/>
  <c r="P1568" i="18" s="1"/>
  <c r="P1306" i="18" s="1"/>
  <c r="P700" i="7941" s="1"/>
  <c r="O697" i="7941"/>
  <c r="P1199" i="18"/>
  <c r="P1083" i="18"/>
  <c r="Q1137" i="18"/>
  <c r="S119" i="7949"/>
  <c r="T79" i="7949"/>
  <c r="T492" i="7950"/>
  <c r="U452" i="7950"/>
  <c r="P551" i="7949"/>
  <c r="Q511" i="7949"/>
  <c r="Q31" i="7944"/>
  <c r="R31" i="7944" s="1"/>
  <c r="N30" i="7946" s="1"/>
  <c r="O30" i="7946" s="1"/>
  <c r="N1135" i="18"/>
  <c r="K654" i="7950"/>
  <c r="L614" i="7950"/>
  <c r="Q1096" i="18"/>
  <c r="Q1516" i="18"/>
  <c r="P8" i="7944"/>
  <c r="O7" i="7944"/>
  <c r="P546" i="7950"/>
  <c r="Q506" i="7950"/>
  <c r="P121" i="7941"/>
  <c r="Q779" i="18"/>
  <c r="P1503" i="18"/>
  <c r="M321" i="7941"/>
  <c r="P323" i="7941"/>
  <c r="Q9" i="7941"/>
  <c r="M713" i="7949" l="1"/>
  <c r="T114" i="7950"/>
  <c r="U74" i="7950"/>
  <c r="Q1083" i="18"/>
  <c r="N333" i="7941"/>
  <c r="N321" i="7941" s="1"/>
  <c r="M401" i="7941" s="1"/>
  <c r="Q596" i="7941"/>
  <c r="Q1202" i="18"/>
  <c r="Q1568" i="18" s="1"/>
  <c r="Q1306" i="18" s="1"/>
  <c r="Q700" i="7941" s="1"/>
  <c r="U497" i="7949"/>
  <c r="V457" i="7949"/>
  <c r="O769" i="18"/>
  <c r="P1565" i="18"/>
  <c r="N1555" i="18"/>
  <c r="N1305" i="18"/>
  <c r="N583" i="7941"/>
  <c r="Q1145" i="18"/>
  <c r="Q883" i="18" s="1"/>
  <c r="Q121" i="7941" s="1"/>
  <c r="U492" i="7950"/>
  <c r="V452" i="7950"/>
  <c r="Q875" i="18"/>
  <c r="Q1557" i="18"/>
  <c r="M708" i="7950"/>
  <c r="O19" i="7946" s="1"/>
  <c r="N668" i="7950"/>
  <c r="Q17" i="7941"/>
  <c r="P331" i="7941"/>
  <c r="Q8" i="7944"/>
  <c r="Q7" i="7944" s="1"/>
  <c r="P7" i="7944"/>
  <c r="L654" i="7950"/>
  <c r="M614" i="7950"/>
  <c r="L374" i="7941"/>
  <c r="L508" i="7941"/>
  <c r="L497" i="7941"/>
  <c r="L523" i="7941"/>
  <c r="L407" i="7941"/>
  <c r="L453" i="7941"/>
  <c r="L376" i="7941"/>
  <c r="L484" i="7941"/>
  <c r="L421" i="7941"/>
  <c r="L568" i="7941"/>
  <c r="L562" i="7941"/>
  <c r="L538" i="7941"/>
  <c r="L456" i="7941"/>
  <c r="L385" i="7941"/>
  <c r="L410" i="7941"/>
  <c r="L427" i="7941"/>
  <c r="L418" i="7941"/>
  <c r="L391" i="7941"/>
  <c r="L472" i="7941"/>
  <c r="L469" i="7941"/>
  <c r="L398" i="7941"/>
  <c r="L474" i="7941"/>
  <c r="L478" i="7941"/>
  <c r="L463" i="7941"/>
  <c r="L435" i="7941"/>
  <c r="L507" i="7941"/>
  <c r="L509" i="7941"/>
  <c r="L419" i="7941"/>
  <c r="L461" i="7941"/>
  <c r="L415" i="7941"/>
  <c r="L530" i="7941"/>
  <c r="L539" i="7941"/>
  <c r="L532" i="7941"/>
  <c r="L501" i="7941"/>
  <c r="L468" i="7941"/>
  <c r="L540" i="7941"/>
  <c r="L444" i="7941"/>
  <c r="L525" i="7941"/>
  <c r="L487" i="7941"/>
  <c r="L377" i="7941"/>
  <c r="L429" i="7941"/>
  <c r="L458" i="7941"/>
  <c r="L447" i="7941"/>
  <c r="L520" i="7941"/>
  <c r="L481" i="7941"/>
  <c r="L399" i="7941"/>
  <c r="L392" i="7941"/>
  <c r="L432" i="7941"/>
  <c r="L430" i="7941"/>
  <c r="L521" i="7941"/>
  <c r="L404" i="7941"/>
  <c r="L518" i="7941"/>
  <c r="L552" i="7941"/>
  <c r="L557" i="7941"/>
  <c r="L571" i="7941"/>
  <c r="L382" i="7941"/>
  <c r="L384" i="7941"/>
  <c r="L436" i="7941"/>
  <c r="L379" i="7941"/>
  <c r="L375" i="7941"/>
  <c r="L439" i="7941"/>
  <c r="L386" i="7941"/>
  <c r="L526" i="7941"/>
  <c r="L417" i="7941"/>
  <c r="L576" i="7941"/>
  <c r="L504" i="7941"/>
  <c r="L575" i="7941"/>
  <c r="L493" i="7941"/>
  <c r="L500" i="7941"/>
  <c r="L486" i="7941"/>
  <c r="L578" i="7941"/>
  <c r="L542" i="7941"/>
  <c r="L559" i="7941"/>
  <c r="L457" i="7941"/>
  <c r="L492" i="7941"/>
  <c r="L506" i="7941"/>
  <c r="L394" i="7941"/>
  <c r="L395" i="7941"/>
  <c r="L491" i="7941"/>
  <c r="L397" i="7941"/>
  <c r="L396" i="7941"/>
  <c r="L473" i="7941"/>
  <c r="L577" i="7941"/>
  <c r="L563" i="7941"/>
  <c r="L550" i="7941"/>
  <c r="L488" i="7941"/>
  <c r="L490" i="7941"/>
  <c r="L498" i="7941"/>
  <c r="L413" i="7941"/>
  <c r="L502" i="7941"/>
  <c r="L445" i="7941"/>
  <c r="L408" i="7941"/>
  <c r="L381" i="7941"/>
  <c r="L471" i="7941"/>
  <c r="L411" i="7941"/>
  <c r="L547" i="7941"/>
  <c r="L565" i="7941"/>
  <c r="L544" i="7941"/>
  <c r="L451" i="7941"/>
  <c r="L466" i="7941"/>
  <c r="L567" i="7941"/>
  <c r="L454" i="7941"/>
  <c r="L511" i="7941"/>
  <c r="L403" i="7941"/>
  <c r="L536" i="7941"/>
  <c r="L537" i="7941"/>
  <c r="L551" i="7941"/>
  <c r="L455" i="7941"/>
  <c r="L412" i="7941"/>
  <c r="L426" i="7941"/>
  <c r="L437" i="7941"/>
  <c r="L423" i="7941"/>
  <c r="L467" i="7941"/>
  <c r="L519" i="7941"/>
  <c r="L406" i="7941"/>
  <c r="L527" i="7941"/>
  <c r="L549" i="7941"/>
  <c r="L560" i="7941"/>
  <c r="L572" i="7941"/>
  <c r="L452" i="7941"/>
  <c r="L440" i="7941"/>
  <c r="L414" i="7941"/>
  <c r="L449" i="7941"/>
  <c r="L495" i="7941"/>
  <c r="L512" i="7941"/>
  <c r="L503" i="7941"/>
  <c r="L516" i="7941"/>
  <c r="L383" i="7941"/>
  <c r="L482" i="7941"/>
  <c r="L543" i="7941"/>
  <c r="L546" i="7941"/>
  <c r="L573" i="7941"/>
  <c r="L401" i="7941"/>
  <c r="L489" i="7941"/>
  <c r="L464" i="7941"/>
  <c r="L535" i="7941"/>
  <c r="L499" i="7941"/>
  <c r="L441" i="7941"/>
  <c r="L534" i="7941"/>
  <c r="L579" i="7941"/>
  <c r="L564" i="7941"/>
  <c r="L480" i="7941"/>
  <c r="L434" i="7941"/>
  <c r="L422" i="7941"/>
  <c r="L390" i="7941"/>
  <c r="L505" i="7941"/>
  <c r="L517" i="7941"/>
  <c r="L524" i="7941"/>
  <c r="L515" i="7941"/>
  <c r="L465" i="7941"/>
  <c r="L402" i="7941"/>
  <c r="L570" i="7941"/>
  <c r="L553" i="7941"/>
  <c r="L531" i="7941"/>
  <c r="L389" i="7941"/>
  <c r="L479" i="7941"/>
  <c r="L459" i="7941"/>
  <c r="L510" i="7941"/>
  <c r="L494" i="7941"/>
  <c r="L470" i="7941"/>
  <c r="L387" i="7941"/>
  <c r="L431" i="7941"/>
  <c r="L522" i="7941"/>
  <c r="L574" i="7941"/>
  <c r="L545" i="7941"/>
  <c r="L569" i="7941"/>
  <c r="L438" i="7941"/>
  <c r="L514" i="7941"/>
  <c r="L405" i="7941"/>
  <c r="L462" i="7941"/>
  <c r="L420" i="7941"/>
  <c r="L378" i="7941"/>
  <c r="L556" i="7941"/>
  <c r="L555" i="7941"/>
  <c r="L558" i="7941"/>
  <c r="L448" i="7941"/>
  <c r="L409" i="7941"/>
  <c r="L400" i="7941"/>
  <c r="L433" i="7941"/>
  <c r="L496" i="7941"/>
  <c r="L475" i="7941"/>
  <c r="L450" i="7941"/>
  <c r="L443" i="7941"/>
  <c r="L483" i="7941"/>
  <c r="L393" i="7941"/>
  <c r="L548" i="7941"/>
  <c r="L566" i="7941"/>
  <c r="L554" i="7941"/>
  <c r="L446" i="7941"/>
  <c r="L380" i="7941"/>
  <c r="L388" i="7941"/>
  <c r="L428" i="7941"/>
  <c r="L485" i="7941"/>
  <c r="L460" i="7941"/>
  <c r="L513" i="7941"/>
  <c r="L442" i="7941"/>
  <c r="L416" i="7941"/>
  <c r="L561" i="7941"/>
  <c r="L541" i="7941"/>
  <c r="L533" i="7941"/>
  <c r="M392" i="7941"/>
  <c r="M483" i="7941"/>
  <c r="M384" i="7941"/>
  <c r="M485" i="7941"/>
  <c r="M498" i="7941"/>
  <c r="M390" i="7941"/>
  <c r="M508" i="7941"/>
  <c r="M525" i="7941"/>
  <c r="M388" i="7941"/>
  <c r="M380" i="7941"/>
  <c r="M516" i="7941"/>
  <c r="M460" i="7941"/>
  <c r="M564" i="7941" s="1"/>
  <c r="M461" i="7941"/>
  <c r="M565" i="7941" s="1"/>
  <c r="M467" i="7941"/>
  <c r="M571" i="7941" s="1"/>
  <c r="M429" i="7941"/>
  <c r="M533" i="7941" s="1"/>
  <c r="M448" i="7941"/>
  <c r="M552" i="7941" s="1"/>
  <c r="M446" i="7941"/>
  <c r="M550" i="7941" s="1"/>
  <c r="M433" i="7941"/>
  <c r="M537" i="7941" s="1"/>
  <c r="Q546" i="7950"/>
  <c r="R506" i="7950"/>
  <c r="P886" i="18"/>
  <c r="P124" i="7941" s="1"/>
  <c r="P334" i="7941" s="1"/>
  <c r="O1147" i="18"/>
  <c r="Q551" i="7949"/>
  <c r="R511" i="7949"/>
  <c r="T119" i="7949"/>
  <c r="U79" i="7949"/>
  <c r="Q585" i="7941"/>
  <c r="P899" i="7941"/>
  <c r="M897" i="7941"/>
  <c r="P910" i="7941"/>
  <c r="N713" i="7949"/>
  <c r="O673" i="7949"/>
  <c r="L659" i="7949"/>
  <c r="M619" i="7949"/>
  <c r="Q1503" i="18"/>
  <c r="O907" i="7941"/>
  <c r="P593" i="7941"/>
  <c r="M442" i="7941" l="1"/>
  <c r="M546" i="7941" s="1"/>
  <c r="M474" i="7941"/>
  <c r="M578" i="7941" s="1"/>
  <c r="M459" i="7941"/>
  <c r="M563" i="7941" s="1"/>
  <c r="M406" i="7941"/>
  <c r="M512" i="7941"/>
  <c r="M494" i="7941"/>
  <c r="M523" i="7941"/>
  <c r="M482" i="7941"/>
  <c r="M375" i="7941"/>
  <c r="M458" i="7941"/>
  <c r="M562" i="7941" s="1"/>
  <c r="M471" i="7941"/>
  <c r="M575" i="7941" s="1"/>
  <c r="M432" i="7941"/>
  <c r="M536" i="7941" s="1"/>
  <c r="M383" i="7941"/>
  <c r="M385" i="7941"/>
  <c r="M404" i="7941"/>
  <c r="M515" i="7941"/>
  <c r="M418" i="7941"/>
  <c r="M378" i="7941"/>
  <c r="M407" i="7941"/>
  <c r="M419" i="7941"/>
  <c r="V74" i="7950"/>
  <c r="U114" i="7950"/>
  <c r="M463" i="7941"/>
  <c r="M567" i="7941" s="1"/>
  <c r="M436" i="7941"/>
  <c r="M540" i="7941" s="1"/>
  <c r="M450" i="7941"/>
  <c r="M554" i="7941" s="1"/>
  <c r="M469" i="7941"/>
  <c r="M573" i="7941" s="1"/>
  <c r="M464" i="7941"/>
  <c r="M568" i="7941" s="1"/>
  <c r="M440" i="7941"/>
  <c r="M544" i="7941" s="1"/>
  <c r="M451" i="7941"/>
  <c r="M555" i="7941" s="1"/>
  <c r="M445" i="7941"/>
  <c r="M549" i="7941" s="1"/>
  <c r="M530" i="7941"/>
  <c r="M475" i="7941"/>
  <c r="M579" i="7941" s="1"/>
  <c r="M434" i="7941"/>
  <c r="M538" i="7941" s="1"/>
  <c r="M473" i="7941"/>
  <c r="M577" i="7941" s="1"/>
  <c r="M509" i="7941"/>
  <c r="M386" i="7941"/>
  <c r="M504" i="7941"/>
  <c r="M377" i="7941"/>
  <c r="M408" i="7941"/>
  <c r="M492" i="7941"/>
  <c r="M526" i="7941"/>
  <c r="M481" i="7941"/>
  <c r="M500" i="7941"/>
  <c r="M411" i="7941"/>
  <c r="M415" i="7941"/>
  <c r="M497" i="7941"/>
  <c r="M519" i="7941"/>
  <c r="M410" i="7941"/>
  <c r="M493" i="7941"/>
  <c r="M522" i="7941"/>
  <c r="M501" i="7941"/>
  <c r="M491" i="7941"/>
  <c r="M513" i="7941"/>
  <c r="M507" i="7941"/>
  <c r="M487" i="7941"/>
  <c r="M422" i="7941"/>
  <c r="M391" i="7941"/>
  <c r="M503" i="7941"/>
  <c r="M379" i="7941"/>
  <c r="M462" i="7941"/>
  <c r="M566" i="7941" s="1"/>
  <c r="M453" i="7941"/>
  <c r="M557" i="7941" s="1"/>
  <c r="M441" i="7941"/>
  <c r="M545" i="7941" s="1"/>
  <c r="M449" i="7941"/>
  <c r="M553" i="7941" s="1"/>
  <c r="M428" i="7941"/>
  <c r="M532" i="7941" s="1"/>
  <c r="M472" i="7941"/>
  <c r="M576" i="7941" s="1"/>
  <c r="M431" i="7941"/>
  <c r="M535" i="7941" s="1"/>
  <c r="M455" i="7941"/>
  <c r="M559" i="7941" s="1"/>
  <c r="M444" i="7941"/>
  <c r="M548" i="7941" s="1"/>
  <c r="M443" i="7941"/>
  <c r="M547" i="7941" s="1"/>
  <c r="M452" i="7941"/>
  <c r="M556" i="7941" s="1"/>
  <c r="M437" i="7941"/>
  <c r="M541" i="7941" s="1"/>
  <c r="M438" i="7941"/>
  <c r="M542" i="7941" s="1"/>
  <c r="M405" i="7941"/>
  <c r="M376" i="7941"/>
  <c r="M416" i="7941"/>
  <c r="M414" i="7941"/>
  <c r="M421" i="7941"/>
  <c r="M389" i="7941"/>
  <c r="M403" i="7941"/>
  <c r="M400" i="7941"/>
  <c r="M505" i="7941"/>
  <c r="M420" i="7941"/>
  <c r="M397" i="7941"/>
  <c r="M382" i="7941"/>
  <c r="M417" i="7941"/>
  <c r="M395" i="7941"/>
  <c r="M511" i="7941"/>
  <c r="M490" i="7941"/>
  <c r="M396" i="7941"/>
  <c r="M412" i="7941"/>
  <c r="M510" i="7941"/>
  <c r="M480" i="7941"/>
  <c r="M381" i="7941"/>
  <c r="M521" i="7941"/>
  <c r="M517" i="7941"/>
  <c r="M393" i="7941"/>
  <c r="M502" i="7941"/>
  <c r="M470" i="7941"/>
  <c r="M574" i="7941" s="1"/>
  <c r="M427" i="7941"/>
  <c r="M531" i="7941" s="1"/>
  <c r="M426" i="7941"/>
  <c r="M454" i="7941"/>
  <c r="M558" i="7941" s="1"/>
  <c r="M457" i="7941"/>
  <c r="M561" i="7941" s="1"/>
  <c r="M465" i="7941"/>
  <c r="M569" i="7941" s="1"/>
  <c r="M439" i="7941"/>
  <c r="M543" i="7941" s="1"/>
  <c r="M447" i="7941"/>
  <c r="M551" i="7941" s="1"/>
  <c r="M430" i="7941"/>
  <c r="M534" i="7941" s="1"/>
  <c r="M468" i="7941"/>
  <c r="M572" i="7941" s="1"/>
  <c r="M456" i="7941"/>
  <c r="M560" i="7941" s="1"/>
  <c r="M435" i="7941"/>
  <c r="M539" i="7941" s="1"/>
  <c r="M466" i="7941"/>
  <c r="M570" i="7941" s="1"/>
  <c r="M496" i="7941"/>
  <c r="M398" i="7941"/>
  <c r="M518" i="7941"/>
  <c r="M495" i="7941"/>
  <c r="M524" i="7941"/>
  <c r="M488" i="7941"/>
  <c r="M409" i="7941"/>
  <c r="M399" i="7941"/>
  <c r="M486" i="7941"/>
  <c r="M489" i="7941"/>
  <c r="M479" i="7941"/>
  <c r="M499" i="7941"/>
  <c r="M527" i="7941"/>
  <c r="M506" i="7941"/>
  <c r="M374" i="7941"/>
  <c r="M402" i="7941"/>
  <c r="M413" i="7941"/>
  <c r="M478" i="7941"/>
  <c r="M423" i="7941"/>
  <c r="M484" i="7941"/>
  <c r="M514" i="7941"/>
  <c r="M520" i="7941"/>
  <c r="M387" i="7941"/>
  <c r="M394" i="7941"/>
  <c r="Q782" i="18"/>
  <c r="Q1148" i="18" s="1"/>
  <c r="Q886" i="18" s="1"/>
  <c r="Q124" i="7941" s="1"/>
  <c r="V497" i="7949"/>
  <c r="W457" i="7949"/>
  <c r="W497" i="7949" s="1"/>
  <c r="Q331" i="7941"/>
  <c r="R1202" i="18"/>
  <c r="Q910" i="7941"/>
  <c r="O713" i="7949"/>
  <c r="P673" i="7949"/>
  <c r="U119" i="7949"/>
  <c r="V79" i="7949"/>
  <c r="O1135" i="18"/>
  <c r="O885" i="18"/>
  <c r="L529" i="7941"/>
  <c r="L477" i="7941"/>
  <c r="V492" i="7950"/>
  <c r="W452" i="7950"/>
  <c r="W492" i="7950" s="1"/>
  <c r="R782" i="18"/>
  <c r="L425" i="7941"/>
  <c r="M654" i="7950"/>
  <c r="O18" i="7946" s="1"/>
  <c r="N614" i="7950"/>
  <c r="N708" i="7950"/>
  <c r="O668" i="7950"/>
  <c r="P1303" i="18"/>
  <c r="Q20" i="7941"/>
  <c r="R551" i="7949"/>
  <c r="S511" i="7949"/>
  <c r="L373" i="7941"/>
  <c r="M659" i="7949"/>
  <c r="N619" i="7949"/>
  <c r="R546" i="7950"/>
  <c r="S506" i="7950"/>
  <c r="L1061" i="7941"/>
  <c r="L974" i="7941"/>
  <c r="L1116" i="7941"/>
  <c r="L1095" i="7941"/>
  <c r="L1004" i="7941"/>
  <c r="L970" i="7941"/>
  <c r="L1076" i="7941"/>
  <c r="L988" i="7941"/>
  <c r="L1065" i="7941"/>
  <c r="L1135" i="7941"/>
  <c r="L1123" i="7941"/>
  <c r="L1133" i="7941"/>
  <c r="L1084" i="7941"/>
  <c r="L985" i="7941"/>
  <c r="L1027" i="7941"/>
  <c r="L1077" i="7941"/>
  <c r="L989" i="7941"/>
  <c r="L981" i="7941"/>
  <c r="L982" i="7941"/>
  <c r="L1031" i="7941"/>
  <c r="L1081" i="7941"/>
  <c r="L1025" i="7941"/>
  <c r="L1110" i="7941"/>
  <c r="L1131" i="7941"/>
  <c r="L1144" i="7941"/>
  <c r="L1097" i="7941"/>
  <c r="L1038" i="7941"/>
  <c r="L994" i="7941"/>
  <c r="L1086" i="7941"/>
  <c r="L1051" i="7941"/>
  <c r="L960" i="7941"/>
  <c r="L1015" i="7941"/>
  <c r="L1079" i="7941"/>
  <c r="L1070" i="7941"/>
  <c r="L1112" i="7941"/>
  <c r="L1130" i="7941"/>
  <c r="L1134" i="7941"/>
  <c r="L1092" i="7941"/>
  <c r="L1036" i="7941"/>
  <c r="L1120" i="7941"/>
  <c r="L971" i="7941"/>
  <c r="L1091" i="7941"/>
  <c r="L980" i="7941"/>
  <c r="L983" i="7941"/>
  <c r="L1035" i="7941"/>
  <c r="L1062" i="7941"/>
  <c r="L1041" i="7941"/>
  <c r="L1124" i="7941"/>
  <c r="L1132" i="7941"/>
  <c r="L991" i="7941"/>
  <c r="L1005" i="7941"/>
  <c r="L987" i="7941"/>
  <c r="L1059" i="7941"/>
  <c r="L1007" i="7941"/>
  <c r="L1096" i="7941"/>
  <c r="L1043" i="7941"/>
  <c r="L1078" i="7941"/>
  <c r="L955" i="7941"/>
  <c r="L1149" i="7941"/>
  <c r="L1126" i="7941"/>
  <c r="L1137" i="7941"/>
  <c r="L978" i="7941"/>
  <c r="L966" i="7941"/>
  <c r="L1122" i="7941" s="1"/>
  <c r="L1155" i="7941"/>
  <c r="L958" i="7941"/>
  <c r="L1026" i="7941"/>
  <c r="L956" i="7941"/>
  <c r="L1058" i="7941"/>
  <c r="L1057" i="7941"/>
  <c r="L973" i="7941"/>
  <c r="L1019" i="7941"/>
  <c r="L1115" i="7941"/>
  <c r="L1107" i="7941"/>
  <c r="L957" i="7941"/>
  <c r="L1113" i="7941" s="1"/>
  <c r="L1067" i="7941"/>
  <c r="L1013" i="7941"/>
  <c r="L964" i="7941"/>
  <c r="L1042" i="7941"/>
  <c r="L984" i="7941"/>
  <c r="L1073" i="7941"/>
  <c r="L1028" i="7941"/>
  <c r="L1101" i="7941"/>
  <c r="L1002" i="7941"/>
  <c r="L1129" i="7941"/>
  <c r="L1117" i="7941"/>
  <c r="L1118" i="7941"/>
  <c r="L1068" i="7941"/>
  <c r="L1039" i="7941"/>
  <c r="L992" i="7941"/>
  <c r="L1060" i="7941"/>
  <c r="L1024" i="7941"/>
  <c r="L1098" i="7941"/>
  <c r="L1006" i="7941"/>
  <c r="L1064" i="7941"/>
  <c r="L1009" i="7941"/>
  <c r="L1153" i="7941"/>
  <c r="L1148" i="7941"/>
  <c r="L1136" i="7941"/>
  <c r="L1069" i="7941"/>
  <c r="L999" i="7941"/>
  <c r="L1046" i="7941"/>
  <c r="L950" i="7941"/>
  <c r="L952" i="7941"/>
  <c r="L965" i="7941"/>
  <c r="L1093" i="7941"/>
  <c r="L1050" i="7941"/>
  <c r="L1085" i="7941"/>
  <c r="L1030" i="7941"/>
  <c r="L1150" i="7941"/>
  <c r="L1114" i="7941"/>
  <c r="L1109" i="7941"/>
  <c r="L1072" i="7941"/>
  <c r="L1021" i="7941"/>
  <c r="L1088" i="7941"/>
  <c r="L1087" i="7941"/>
  <c r="L1012" i="7941"/>
  <c r="L996" i="7941"/>
  <c r="L1152" i="7941" s="1"/>
  <c r="L1049" i="7941"/>
  <c r="L995" i="7941"/>
  <c r="L1016" i="7941"/>
  <c r="L1127" i="7941"/>
  <c r="L1138" i="7941"/>
  <c r="L1140" i="7941"/>
  <c r="L1063" i="7941"/>
  <c r="L961" i="7941"/>
  <c r="L1011" i="7941"/>
  <c r="L954" i="7941"/>
  <c r="L951" i="7941"/>
  <c r="L1075" i="7941"/>
  <c r="L1083" i="7941"/>
  <c r="L1010" i="7941"/>
  <c r="L993" i="7941"/>
  <c r="L1034" i="7941"/>
  <c r="L1119" i="7941"/>
  <c r="L1125" i="7941"/>
  <c r="L990" i="7941"/>
  <c r="L962" i="7941"/>
  <c r="L1008" i="7941"/>
  <c r="L997" i="7941"/>
  <c r="L998" i="7941"/>
  <c r="L1099" i="7941"/>
  <c r="L979" i="7941"/>
  <c r="L1018" i="7941"/>
  <c r="L969" i="7941"/>
  <c r="L1023" i="7941"/>
  <c r="L1111" i="7941"/>
  <c r="L1128" i="7941"/>
  <c r="L1139" i="7941"/>
  <c r="L968" i="7941"/>
  <c r="L1103" i="7941"/>
  <c r="L1145" i="7941"/>
  <c r="L1080" i="7941"/>
  <c r="L1033" i="7941"/>
  <c r="L1151" i="7941"/>
  <c r="L1146" i="7941"/>
  <c r="L1074" i="7941"/>
  <c r="L1106" i="7941"/>
  <c r="L1037" i="7941"/>
  <c r="L1089" i="7941"/>
  <c r="L1141" i="7941"/>
  <c r="L1054" i="7941"/>
  <c r="L1048" i="7941"/>
  <c r="L1090" i="7941"/>
  <c r="L1014" i="7941"/>
  <c r="L1071" i="7941"/>
  <c r="L1022" i="7941"/>
  <c r="L1147" i="7941"/>
  <c r="L1100" i="7941"/>
  <c r="L1055" i="7941"/>
  <c r="L1142" i="7941"/>
  <c r="L1066" i="7941"/>
  <c r="L986" i="7941"/>
  <c r="L1108" i="7941"/>
  <c r="L976" i="7941"/>
  <c r="L1056" i="7941"/>
  <c r="L1044" i="7941"/>
  <c r="L963" i="7941"/>
  <c r="L1003" i="7941"/>
  <c r="L1040" i="7941"/>
  <c r="L1102" i="7941"/>
  <c r="L1029" i="7941"/>
  <c r="L1082" i="7941"/>
  <c r="L972" i="7941"/>
  <c r="L1032" i="7941"/>
  <c r="L977" i="7941"/>
  <c r="L1143" i="7941"/>
  <c r="L1017" i="7941"/>
  <c r="L1121" i="7941"/>
  <c r="L1020" i="7941"/>
  <c r="L975" i="7941"/>
  <c r="L1154" i="7941"/>
  <c r="L967" i="7941"/>
  <c r="L959" i="7941"/>
  <c r="L1045" i="7941"/>
  <c r="L1094" i="7941"/>
  <c r="L953" i="7941"/>
  <c r="L1047" i="7941"/>
  <c r="R8" i="7944"/>
  <c r="Q1295" i="18"/>
  <c r="Q113" i="7941"/>
  <c r="R771" i="18"/>
  <c r="R779" i="18"/>
  <c r="N699" i="7941"/>
  <c r="N1293" i="18"/>
  <c r="O1201" i="18"/>
  <c r="V114" i="7950" l="1"/>
  <c r="W74" i="7950"/>
  <c r="W114" i="7950" s="1"/>
  <c r="M477" i="7941"/>
  <c r="M373" i="7941"/>
  <c r="M529" i="7941"/>
  <c r="M425" i="7941"/>
  <c r="Q334" i="7941"/>
  <c r="N909" i="7941"/>
  <c r="N687" i="7941"/>
  <c r="O595" i="7941"/>
  <c r="L1053" i="7941"/>
  <c r="L1105" i="7941"/>
  <c r="O123" i="7941"/>
  <c r="O873" i="18"/>
  <c r="P781" i="18"/>
  <c r="L1001" i="7941"/>
  <c r="O1189" i="18"/>
  <c r="O1567" i="18"/>
  <c r="Q689" i="7941"/>
  <c r="R1191" i="18"/>
  <c r="N659" i="7949"/>
  <c r="O619" i="7949"/>
  <c r="S551" i="7949"/>
  <c r="T511" i="7949"/>
  <c r="N654" i="7950"/>
  <c r="O614" i="7950"/>
  <c r="R7" i="7944"/>
  <c r="N7" i="7946"/>
  <c r="P697" i="7941"/>
  <c r="Q1199" i="18"/>
  <c r="V119" i="7949"/>
  <c r="W79" i="7949"/>
  <c r="W119" i="7949" s="1"/>
  <c r="P713" i="7949"/>
  <c r="Q673" i="7949"/>
  <c r="Q323" i="7941"/>
  <c r="L949" i="7941"/>
  <c r="S546" i="7950"/>
  <c r="T506" i="7950"/>
  <c r="O708" i="7950"/>
  <c r="P668" i="7950"/>
  <c r="P708" i="7950" l="1"/>
  <c r="Q668" i="7950"/>
  <c r="O654" i="7950"/>
  <c r="P614" i="7950"/>
  <c r="O659" i="7949"/>
  <c r="P619" i="7949"/>
  <c r="Q899" i="7941"/>
  <c r="P769" i="18"/>
  <c r="P1147" i="18"/>
  <c r="P907" i="7941"/>
  <c r="Q593" i="7941"/>
  <c r="O583" i="7941"/>
  <c r="T546" i="7950"/>
  <c r="U506" i="7950"/>
  <c r="O7" i="7946"/>
  <c r="N57" i="7946"/>
  <c r="T551" i="7949"/>
  <c r="U511" i="7949"/>
  <c r="O1305" i="18"/>
  <c r="O1555" i="18"/>
  <c r="O111" i="7941"/>
  <c r="O333" i="7941"/>
  <c r="P19" i="7941"/>
  <c r="Q713" i="7949"/>
  <c r="R673" i="7949"/>
  <c r="Q1565" i="18"/>
  <c r="N897" i="7941"/>
  <c r="P7" i="7941" l="1"/>
  <c r="U546" i="7950"/>
  <c r="V506" i="7950"/>
  <c r="P1135" i="18"/>
  <c r="P885" i="18"/>
  <c r="O321" i="7941"/>
  <c r="R713" i="7949"/>
  <c r="S673" i="7949"/>
  <c r="U551" i="7949"/>
  <c r="V511" i="7949"/>
  <c r="P654" i="7950"/>
  <c r="Q614" i="7950"/>
  <c r="Q1303" i="18"/>
  <c r="O699" i="7941"/>
  <c r="O1293" i="18"/>
  <c r="P1201" i="18"/>
  <c r="P659" i="7949"/>
  <c r="Q619" i="7949"/>
  <c r="Q708" i="7950"/>
  <c r="R668" i="7950"/>
  <c r="M1022" i="7941"/>
  <c r="M1126" i="7941" s="1"/>
  <c r="M1016" i="7941"/>
  <c r="M1120" i="7941" s="1"/>
  <c r="M1046" i="7941"/>
  <c r="M1150" i="7941" s="1"/>
  <c r="M1037" i="7941"/>
  <c r="M1141" i="7941" s="1"/>
  <c r="M1030" i="7941"/>
  <c r="M1134" i="7941" s="1"/>
  <c r="M1044" i="7941"/>
  <c r="M1148" i="7941" s="1"/>
  <c r="M1106" i="7941"/>
  <c r="M1007" i="7941"/>
  <c r="M1111" i="7941" s="1"/>
  <c r="M1006" i="7941"/>
  <c r="M1110" i="7941" s="1"/>
  <c r="M1050" i="7941"/>
  <c r="M1154" i="7941" s="1"/>
  <c r="M1039" i="7941"/>
  <c r="M1143" i="7941" s="1"/>
  <c r="M1034" i="7941"/>
  <c r="M1138" i="7941" s="1"/>
  <c r="M1003" i="7941"/>
  <c r="M1107" i="7941" s="1"/>
  <c r="M1017" i="7941"/>
  <c r="M1121" i="7941" s="1"/>
  <c r="M1008" i="7941"/>
  <c r="M1112" i="7941" s="1"/>
  <c r="M1042" i="7941"/>
  <c r="M1146" i="7941" s="1"/>
  <c r="M1028" i="7941"/>
  <c r="M1132" i="7941" s="1"/>
  <c r="M1038" i="7941"/>
  <c r="M1142" i="7941" s="1"/>
  <c r="M1048" i="7941"/>
  <c r="M1152" i="7941" s="1"/>
  <c r="M1043" i="7941"/>
  <c r="M1147" i="7941" s="1"/>
  <c r="M1004" i="7941"/>
  <c r="M1108" i="7941" s="1"/>
  <c r="M1049" i="7941"/>
  <c r="M1153" i="7941" s="1"/>
  <c r="M1027" i="7941"/>
  <c r="M1131" i="7941" s="1"/>
  <c r="M1045" i="7941"/>
  <c r="M1149" i="7941" s="1"/>
  <c r="M1015" i="7941"/>
  <c r="M1119" i="7941" s="1"/>
  <c r="M1035" i="7941"/>
  <c r="M1139" i="7941" s="1"/>
  <c r="M1011" i="7941"/>
  <c r="M1115" i="7941" s="1"/>
  <c r="M1024" i="7941"/>
  <c r="M1128" i="7941" s="1"/>
  <c r="M1047" i="7941"/>
  <c r="M1151" i="7941" s="1"/>
  <c r="M1026" i="7941"/>
  <c r="M1130" i="7941" s="1"/>
  <c r="M1040" i="7941"/>
  <c r="M1144" i="7941" s="1"/>
  <c r="M1018" i="7941"/>
  <c r="M1122" i="7941" s="1"/>
  <c r="M1029" i="7941"/>
  <c r="M1133" i="7941" s="1"/>
  <c r="M1014" i="7941"/>
  <c r="M1118" i="7941" s="1"/>
  <c r="M1051" i="7941"/>
  <c r="M1155" i="7941" s="1"/>
  <c r="M1002" i="7941"/>
  <c r="M1010" i="7941"/>
  <c r="M1114" i="7941" s="1"/>
  <c r="M1033" i="7941"/>
  <c r="M1137" i="7941" s="1"/>
  <c r="M1041" i="7941"/>
  <c r="M1145" i="7941" s="1"/>
  <c r="M1013" i="7941"/>
  <c r="M1117" i="7941" s="1"/>
  <c r="M1025" i="7941"/>
  <c r="M1129" i="7941" s="1"/>
  <c r="M1019" i="7941"/>
  <c r="M1123" i="7941" s="1"/>
  <c r="M1021" i="7941"/>
  <c r="M1125" i="7941" s="1"/>
  <c r="M1009" i="7941"/>
  <c r="M1113" i="7941" s="1"/>
  <c r="M1023" i="7941"/>
  <c r="M1127" i="7941" s="1"/>
  <c r="M1012" i="7941"/>
  <c r="M1116" i="7941" s="1"/>
  <c r="M1020" i="7941"/>
  <c r="M1124" i="7941" s="1"/>
  <c r="M1031" i="7941"/>
  <c r="M1135" i="7941" s="1"/>
  <c r="M1032" i="7941"/>
  <c r="M1136" i="7941" s="1"/>
  <c r="M1036" i="7941"/>
  <c r="M1140" i="7941" s="1"/>
  <c r="M1005" i="7941"/>
  <c r="M1109" i="7941" s="1"/>
  <c r="M997" i="7941"/>
  <c r="M961" i="7941"/>
  <c r="M966" i="7941"/>
  <c r="M1084" i="7941"/>
  <c r="M985" i="7941"/>
  <c r="M970" i="7941"/>
  <c r="M1101" i="7941"/>
  <c r="M981" i="7941"/>
  <c r="M1089" i="7941"/>
  <c r="M1083" i="7941"/>
  <c r="M955" i="7941"/>
  <c r="M978" i="7941"/>
  <c r="M990" i="7941"/>
  <c r="M1100" i="7941"/>
  <c r="M1063" i="7941"/>
  <c r="M1060" i="7941"/>
  <c r="M1094" i="7941"/>
  <c r="M999" i="7941"/>
  <c r="M974" i="7941"/>
  <c r="M1099" i="7941"/>
  <c r="M1088" i="7941"/>
  <c r="M967" i="7941"/>
  <c r="M1091" i="7941"/>
  <c r="M992" i="7941"/>
  <c r="M1102" i="7941"/>
  <c r="M951" i="7941"/>
  <c r="M987" i="7941"/>
  <c r="M962" i="7941"/>
  <c r="M1068" i="7941"/>
  <c r="M1055" i="7941"/>
  <c r="M1093" i="7941"/>
  <c r="M988" i="7941"/>
  <c r="M1086" i="7941"/>
  <c r="M1082" i="7941"/>
  <c r="M984" i="7941"/>
  <c r="M1092" i="7941"/>
  <c r="M1058" i="7941"/>
  <c r="M998" i="7941"/>
  <c r="M1087" i="7941"/>
  <c r="M1070" i="7941"/>
  <c r="M1059" i="7941"/>
  <c r="M968" i="7941"/>
  <c r="M1080" i="7941"/>
  <c r="M1067" i="7941"/>
  <c r="M996" i="7941"/>
  <c r="M975" i="7941"/>
  <c r="M1078" i="7941"/>
  <c r="M976" i="7941"/>
  <c r="M1075" i="7941"/>
  <c r="M1073" i="7941"/>
  <c r="M1069" i="7941"/>
  <c r="M1103" i="7941"/>
  <c r="M982" i="7941"/>
  <c r="M1077" i="7941"/>
  <c r="M952" i="7941"/>
  <c r="M1074" i="7941"/>
  <c r="M1072" i="7941"/>
  <c r="M980" i="7941"/>
  <c r="M1061" i="7941"/>
  <c r="M994" i="7941"/>
  <c r="M1057" i="7941"/>
  <c r="M979" i="7941"/>
  <c r="M1064" i="7941"/>
  <c r="M1085" i="7941"/>
  <c r="M956" i="7941"/>
  <c r="M1098" i="7941"/>
  <c r="M1095" i="7941"/>
  <c r="M977" i="7941"/>
  <c r="M1079" i="7941"/>
  <c r="M1076" i="7941"/>
  <c r="M1054" i="7941"/>
  <c r="M971" i="7941"/>
  <c r="M1065" i="7941"/>
  <c r="M989" i="7941"/>
  <c r="M960" i="7941"/>
  <c r="M983" i="7941"/>
  <c r="M954" i="7941"/>
  <c r="M1071" i="7941"/>
  <c r="M950" i="7941"/>
  <c r="M993" i="7941"/>
  <c r="M972" i="7941"/>
  <c r="M1056" i="7941"/>
  <c r="M964" i="7941"/>
  <c r="M1081" i="7941"/>
  <c r="M995" i="7941"/>
  <c r="M959" i="7941"/>
  <c r="M957" i="7941"/>
  <c r="M958" i="7941"/>
  <c r="M1062" i="7941"/>
  <c r="M969" i="7941"/>
  <c r="M991" i="7941"/>
  <c r="M953" i="7941"/>
  <c r="M973" i="7941"/>
  <c r="M1096" i="7941"/>
  <c r="M965" i="7941"/>
  <c r="M1090" i="7941"/>
  <c r="M1097" i="7941"/>
  <c r="M963" i="7941"/>
  <c r="M986" i="7941"/>
  <c r="M1066" i="7941"/>
  <c r="M949" i="7941" l="1"/>
  <c r="M1053" i="7941"/>
  <c r="Q659" i="7949"/>
  <c r="R619" i="7949"/>
  <c r="P1189" i="18"/>
  <c r="P1567" i="18"/>
  <c r="V551" i="7949"/>
  <c r="W511" i="7949"/>
  <c r="W551" i="7949" s="1"/>
  <c r="V546" i="7950"/>
  <c r="W506" i="7950"/>
  <c r="W546" i="7950" s="1"/>
  <c r="Q697" i="7941"/>
  <c r="R1199" i="18"/>
  <c r="M1001" i="7941"/>
  <c r="R708" i="7950"/>
  <c r="S668" i="7950"/>
  <c r="O687" i="7941"/>
  <c r="O909" i="7941"/>
  <c r="P595" i="7941"/>
  <c r="Q654" i="7950"/>
  <c r="R614" i="7950"/>
  <c r="S713" i="7949"/>
  <c r="T673" i="7949"/>
  <c r="N460" i="7941"/>
  <c r="N564" i="7941" s="1"/>
  <c r="N453" i="7941"/>
  <c r="N557" i="7941" s="1"/>
  <c r="N465" i="7941"/>
  <c r="N569" i="7941" s="1"/>
  <c r="N430" i="7941"/>
  <c r="N534" i="7941" s="1"/>
  <c r="N438" i="7941"/>
  <c r="N542" i="7941" s="1"/>
  <c r="N456" i="7941"/>
  <c r="N560" i="7941" s="1"/>
  <c r="N466" i="7941"/>
  <c r="N570" i="7941" s="1"/>
  <c r="N446" i="7941"/>
  <c r="N550" i="7941" s="1"/>
  <c r="N462" i="7941"/>
  <c r="N566" i="7941" s="1"/>
  <c r="N436" i="7941"/>
  <c r="N540" i="7941" s="1"/>
  <c r="N451" i="7941"/>
  <c r="N555" i="7941" s="1"/>
  <c r="N429" i="7941"/>
  <c r="N533" i="7941" s="1"/>
  <c r="N440" i="7941"/>
  <c r="N544" i="7941" s="1"/>
  <c r="N442" i="7941"/>
  <c r="N546" i="7941" s="1"/>
  <c r="N427" i="7941"/>
  <c r="N531" i="7941" s="1"/>
  <c r="N455" i="7941"/>
  <c r="N559" i="7941" s="1"/>
  <c r="N452" i="7941"/>
  <c r="N556" i="7941" s="1"/>
  <c r="N437" i="7941"/>
  <c r="N541" i="7941" s="1"/>
  <c r="N470" i="7941"/>
  <c r="N574" i="7941" s="1"/>
  <c r="N461" i="7941"/>
  <c r="N565" i="7941" s="1"/>
  <c r="N428" i="7941"/>
  <c r="N532" i="7941" s="1"/>
  <c r="N434" i="7941"/>
  <c r="N538" i="7941" s="1"/>
  <c r="N472" i="7941"/>
  <c r="N576" i="7941" s="1"/>
  <c r="N431" i="7941"/>
  <c r="N535" i="7941" s="1"/>
  <c r="N471" i="7941"/>
  <c r="N575" i="7941" s="1"/>
  <c r="N475" i="7941"/>
  <c r="N579" i="7941" s="1"/>
  <c r="N426" i="7941"/>
  <c r="N433" i="7941"/>
  <c r="N537" i="7941" s="1"/>
  <c r="N432" i="7941"/>
  <c r="N536" i="7941" s="1"/>
  <c r="N468" i="7941"/>
  <c r="N572" i="7941" s="1"/>
  <c r="N448" i="7941"/>
  <c r="N552" i="7941" s="1"/>
  <c r="N458" i="7941"/>
  <c r="N562" i="7941" s="1"/>
  <c r="N439" i="7941"/>
  <c r="N543" i="7941" s="1"/>
  <c r="N467" i="7941"/>
  <c r="N571" i="7941" s="1"/>
  <c r="N464" i="7941"/>
  <c r="N568" i="7941" s="1"/>
  <c r="N457" i="7941"/>
  <c r="N561" i="7941" s="1"/>
  <c r="N530" i="7941"/>
  <c r="N463" i="7941"/>
  <c r="N567" i="7941" s="1"/>
  <c r="N435" i="7941"/>
  <c r="N539" i="7941" s="1"/>
  <c r="N459" i="7941"/>
  <c r="N563" i="7941" s="1"/>
  <c r="N447" i="7941"/>
  <c r="N551" i="7941" s="1"/>
  <c r="N469" i="7941"/>
  <c r="N573" i="7941" s="1"/>
  <c r="N444" i="7941"/>
  <c r="N548" i="7941" s="1"/>
  <c r="N473" i="7941"/>
  <c r="N577" i="7941" s="1"/>
  <c r="N441" i="7941"/>
  <c r="N545" i="7941" s="1"/>
  <c r="N454" i="7941"/>
  <c r="N558" i="7941" s="1"/>
  <c r="N474" i="7941"/>
  <c r="N578" i="7941" s="1"/>
  <c r="N449" i="7941"/>
  <c r="N553" i="7941" s="1"/>
  <c r="N450" i="7941"/>
  <c r="N554" i="7941" s="1"/>
  <c r="N445" i="7941"/>
  <c r="N549" i="7941" s="1"/>
  <c r="N443" i="7941"/>
  <c r="N547" i="7941" s="1"/>
  <c r="N480" i="7941"/>
  <c r="N378" i="7941"/>
  <c r="N486" i="7941"/>
  <c r="N484" i="7941"/>
  <c r="N522" i="7941"/>
  <c r="N478" i="7941"/>
  <c r="N411" i="7941"/>
  <c r="N376" i="7941"/>
  <c r="N397" i="7941"/>
  <c r="N375" i="7941"/>
  <c r="N413" i="7941"/>
  <c r="N403" i="7941"/>
  <c r="N508" i="7941"/>
  <c r="N523" i="7941"/>
  <c r="N421" i="7941"/>
  <c r="N517" i="7941"/>
  <c r="N423" i="7941"/>
  <c r="N395" i="7941"/>
  <c r="N519" i="7941"/>
  <c r="N406" i="7941"/>
  <c r="N422" i="7941"/>
  <c r="N520" i="7941"/>
  <c r="N497" i="7941"/>
  <c r="N487" i="7941"/>
  <c r="N488" i="7941"/>
  <c r="N479" i="7941"/>
  <c r="N511" i="7941"/>
  <c r="N483" i="7941"/>
  <c r="N493" i="7941"/>
  <c r="N384" i="7941"/>
  <c r="N505" i="7941"/>
  <c r="N503" i="7941"/>
  <c r="N414" i="7941"/>
  <c r="N379" i="7941"/>
  <c r="N512" i="7941"/>
  <c r="N491" i="7941"/>
  <c r="N383" i="7941"/>
  <c r="N419" i="7941"/>
  <c r="N409" i="7941"/>
  <c r="N521" i="7941"/>
  <c r="N420" i="7941"/>
  <c r="N516" i="7941"/>
  <c r="N494" i="7941"/>
  <c r="N507" i="7941"/>
  <c r="N382" i="7941"/>
  <c r="N498" i="7941"/>
  <c r="N518" i="7941"/>
  <c r="N506" i="7941"/>
  <c r="N501" i="7941"/>
  <c r="N418" i="7941"/>
  <c r="N377" i="7941"/>
  <c r="N408" i="7941"/>
  <c r="N495" i="7941"/>
  <c r="N396" i="7941"/>
  <c r="N504" i="7941"/>
  <c r="N374" i="7941"/>
  <c r="N481" i="7941"/>
  <c r="N492" i="7941"/>
  <c r="N526" i="7941"/>
  <c r="N416" i="7941"/>
  <c r="N513" i="7941"/>
  <c r="N496" i="7941"/>
  <c r="N524" i="7941"/>
  <c r="N398" i="7941"/>
  <c r="N402" i="7941"/>
  <c r="N527" i="7941"/>
  <c r="N415" i="7941"/>
  <c r="N385" i="7941"/>
  <c r="N390" i="7941"/>
  <c r="N417" i="7941"/>
  <c r="N393" i="7941"/>
  <c r="N401" i="7941"/>
  <c r="N509" i="7941"/>
  <c r="N407" i="7941"/>
  <c r="N392" i="7941"/>
  <c r="N389" i="7941"/>
  <c r="N388" i="7941"/>
  <c r="N399" i="7941"/>
  <c r="N490" i="7941"/>
  <c r="N386" i="7941"/>
  <c r="N404" i="7941"/>
  <c r="N502" i="7941"/>
  <c r="N380" i="7941"/>
  <c r="N381" i="7941"/>
  <c r="N510" i="7941"/>
  <c r="N525" i="7941"/>
  <c r="N400" i="7941"/>
  <c r="N405" i="7941"/>
  <c r="N482" i="7941"/>
  <c r="N410" i="7941"/>
  <c r="N394" i="7941"/>
  <c r="N515" i="7941"/>
  <c r="N499" i="7941"/>
  <c r="N489" i="7941"/>
  <c r="N485" i="7941"/>
  <c r="N387" i="7941"/>
  <c r="N412" i="7941"/>
  <c r="N500" i="7941"/>
  <c r="N514" i="7941"/>
  <c r="N391" i="7941"/>
  <c r="P123" i="7941"/>
  <c r="P873" i="18"/>
  <c r="Q781" i="18"/>
  <c r="M1105" i="7941"/>
  <c r="N373" i="7941" l="1"/>
  <c r="N425" i="7941"/>
  <c r="O897" i="7941"/>
  <c r="P1305" i="18"/>
  <c r="P1555" i="18"/>
  <c r="R659" i="7949"/>
  <c r="S619" i="7949"/>
  <c r="R654" i="7950"/>
  <c r="S614" i="7950"/>
  <c r="Q769" i="18"/>
  <c r="Q1147" i="18"/>
  <c r="N477" i="7941"/>
  <c r="N529" i="7941"/>
  <c r="S708" i="7950"/>
  <c r="T668" i="7950"/>
  <c r="P111" i="7941"/>
  <c r="Q19" i="7941"/>
  <c r="Q7" i="7941" s="1"/>
  <c r="P333" i="7941"/>
  <c r="T713" i="7949"/>
  <c r="U673" i="7949"/>
  <c r="P583" i="7941"/>
  <c r="Q907" i="7941"/>
  <c r="P321" i="7941" l="1"/>
  <c r="N1045" i="7941"/>
  <c r="N1149" i="7941" s="1"/>
  <c r="N1026" i="7941"/>
  <c r="N1130" i="7941" s="1"/>
  <c r="N1012" i="7941"/>
  <c r="N1116" i="7941" s="1"/>
  <c r="N1031" i="7941"/>
  <c r="N1135" i="7941" s="1"/>
  <c r="N1006" i="7941"/>
  <c r="N1110" i="7941" s="1"/>
  <c r="N1009" i="7941"/>
  <c r="N1113" i="7941" s="1"/>
  <c r="N1106" i="7941"/>
  <c r="N1008" i="7941"/>
  <c r="N1112" i="7941" s="1"/>
  <c r="N1019" i="7941"/>
  <c r="N1123" i="7941" s="1"/>
  <c r="N1035" i="7941"/>
  <c r="N1139" i="7941" s="1"/>
  <c r="N1041" i="7941"/>
  <c r="N1145" i="7941" s="1"/>
  <c r="N1047" i="7941"/>
  <c r="N1151" i="7941" s="1"/>
  <c r="N1005" i="7941"/>
  <c r="N1109" i="7941" s="1"/>
  <c r="N1014" i="7941"/>
  <c r="N1118" i="7941" s="1"/>
  <c r="N1043" i="7941"/>
  <c r="N1147" i="7941" s="1"/>
  <c r="N1007" i="7941"/>
  <c r="N1111" i="7941" s="1"/>
  <c r="N1044" i="7941"/>
  <c r="N1148" i="7941" s="1"/>
  <c r="N1051" i="7941"/>
  <c r="N1155" i="7941" s="1"/>
  <c r="N1030" i="7941"/>
  <c r="N1134" i="7941" s="1"/>
  <c r="N1021" i="7941"/>
  <c r="N1125" i="7941" s="1"/>
  <c r="N1017" i="7941"/>
  <c r="N1121" i="7941" s="1"/>
  <c r="N1024" i="7941"/>
  <c r="N1128" i="7941" s="1"/>
  <c r="N1023" i="7941"/>
  <c r="N1127" i="7941" s="1"/>
  <c r="N1011" i="7941"/>
  <c r="N1115" i="7941" s="1"/>
  <c r="N1037" i="7941"/>
  <c r="N1141" i="7941" s="1"/>
  <c r="N1020" i="7941"/>
  <c r="N1124" i="7941" s="1"/>
  <c r="N1029" i="7941"/>
  <c r="N1133" i="7941" s="1"/>
  <c r="N1004" i="7941"/>
  <c r="N1108" i="7941" s="1"/>
  <c r="N1018" i="7941"/>
  <c r="N1122" i="7941" s="1"/>
  <c r="N1028" i="7941"/>
  <c r="N1132" i="7941" s="1"/>
  <c r="N1039" i="7941"/>
  <c r="N1143" i="7941" s="1"/>
  <c r="N1048" i="7941"/>
  <c r="N1152" i="7941" s="1"/>
  <c r="N1050" i="7941"/>
  <c r="N1154" i="7941" s="1"/>
  <c r="N1049" i="7941"/>
  <c r="N1153" i="7941" s="1"/>
  <c r="N1025" i="7941"/>
  <c r="N1129" i="7941" s="1"/>
  <c r="N1036" i="7941"/>
  <c r="N1140" i="7941" s="1"/>
  <c r="N1038" i="7941"/>
  <c r="N1142" i="7941" s="1"/>
  <c r="N1010" i="7941"/>
  <c r="N1114" i="7941" s="1"/>
  <c r="N1033" i="7941"/>
  <c r="N1137" i="7941" s="1"/>
  <c r="N1015" i="7941"/>
  <c r="N1119" i="7941" s="1"/>
  <c r="N1032" i="7941"/>
  <c r="N1136" i="7941" s="1"/>
  <c r="N1002" i="7941"/>
  <c r="N1016" i="7941"/>
  <c r="N1120" i="7941" s="1"/>
  <c r="N1003" i="7941"/>
  <c r="N1107" i="7941" s="1"/>
  <c r="N1013" i="7941"/>
  <c r="N1117" i="7941" s="1"/>
  <c r="N1042" i="7941"/>
  <c r="N1146" i="7941" s="1"/>
  <c r="N1034" i="7941"/>
  <c r="N1138" i="7941" s="1"/>
  <c r="N1040" i="7941"/>
  <c r="N1144" i="7941" s="1"/>
  <c r="N1022" i="7941"/>
  <c r="N1126" i="7941" s="1"/>
  <c r="N1046" i="7941"/>
  <c r="N1150" i="7941" s="1"/>
  <c r="N1027" i="7941"/>
  <c r="N1131" i="7941" s="1"/>
  <c r="N1074" i="7941"/>
  <c r="N983" i="7941"/>
  <c r="N1087" i="7941"/>
  <c r="N955" i="7941"/>
  <c r="N994" i="7941"/>
  <c r="N1082" i="7941"/>
  <c r="N1078" i="7941"/>
  <c r="N950" i="7941"/>
  <c r="N1091" i="7941"/>
  <c r="N1101" i="7941"/>
  <c r="N1094" i="7941"/>
  <c r="N1099" i="7941"/>
  <c r="N1089" i="7941"/>
  <c r="N1067" i="7941"/>
  <c r="N984" i="7941"/>
  <c r="N1075" i="7941"/>
  <c r="N971" i="7941"/>
  <c r="N982" i="7941"/>
  <c r="N978" i="7941"/>
  <c r="N1103" i="7941"/>
  <c r="N986" i="7941"/>
  <c r="N1065" i="7941"/>
  <c r="N1073" i="7941"/>
  <c r="N981" i="7941"/>
  <c r="N1071" i="7941"/>
  <c r="N960" i="7941"/>
  <c r="N1060" i="7941"/>
  <c r="N1077" i="7941"/>
  <c r="N1056" i="7941"/>
  <c r="N1070" i="7941"/>
  <c r="N1072" i="7941"/>
  <c r="N996" i="7941"/>
  <c r="N953" i="7941"/>
  <c r="N1069" i="7941"/>
  <c r="N973" i="7941"/>
  <c r="N1063" i="7941"/>
  <c r="N1080" i="7941"/>
  <c r="N992" i="7941"/>
  <c r="N990" i="7941"/>
  <c r="N951" i="7941"/>
  <c r="N1084" i="7941"/>
  <c r="N998" i="7941"/>
  <c r="N976" i="7941"/>
  <c r="N979" i="7941"/>
  <c r="N952" i="7941"/>
  <c r="N1064" i="7941"/>
  <c r="N1083" i="7941"/>
  <c r="N1095" i="7941"/>
  <c r="N964" i="7941"/>
  <c r="N975" i="7941"/>
  <c r="N966" i="7941"/>
  <c r="N1102" i="7941"/>
  <c r="N995" i="7941"/>
  <c r="N962" i="7941"/>
  <c r="N991" i="7941"/>
  <c r="N1096" i="7941"/>
  <c r="N970" i="7941"/>
  <c r="N958" i="7941"/>
  <c r="N956" i="7941"/>
  <c r="N1057" i="7941"/>
  <c r="N1054" i="7941"/>
  <c r="N969" i="7941"/>
  <c r="N1093" i="7941"/>
  <c r="N1058" i="7941"/>
  <c r="N1098" i="7941"/>
  <c r="N954" i="7941"/>
  <c r="N993" i="7941"/>
  <c r="N1100" i="7941"/>
  <c r="N972" i="7941"/>
  <c r="N1059" i="7941"/>
  <c r="N1086" i="7941"/>
  <c r="N957" i="7941"/>
  <c r="N965" i="7941"/>
  <c r="N987" i="7941"/>
  <c r="N999" i="7941"/>
  <c r="N1097" i="7941"/>
  <c r="N1079" i="7941"/>
  <c r="N1062" i="7941"/>
  <c r="N959" i="7941"/>
  <c r="N989" i="7941"/>
  <c r="N963" i="7941"/>
  <c r="N1055" i="7941"/>
  <c r="N1076" i="7941"/>
  <c r="N988" i="7941"/>
  <c r="N1088" i="7941"/>
  <c r="N974" i="7941"/>
  <c r="N980" i="7941"/>
  <c r="N1068" i="7941"/>
  <c r="N1081" i="7941"/>
  <c r="N1066" i="7941"/>
  <c r="N1090" i="7941"/>
  <c r="N967" i="7941"/>
  <c r="N997" i="7941"/>
  <c r="N1061" i="7941"/>
  <c r="N1085" i="7941"/>
  <c r="N977" i="7941"/>
  <c r="N968" i="7941"/>
  <c r="N985" i="7941"/>
  <c r="N1092" i="7941"/>
  <c r="N961" i="7941"/>
  <c r="T708" i="7950"/>
  <c r="U668" i="7950"/>
  <c r="S654" i="7950"/>
  <c r="T614" i="7950"/>
  <c r="S659" i="7949"/>
  <c r="T619" i="7949"/>
  <c r="P699" i="7941"/>
  <c r="P1293" i="18"/>
  <c r="Q1201" i="18"/>
  <c r="Q885" i="18"/>
  <c r="Q1135" i="18"/>
  <c r="U713" i="7949"/>
  <c r="V673" i="7949"/>
  <c r="V713" i="7949" l="1"/>
  <c r="W673" i="7949"/>
  <c r="W713" i="7949" s="1"/>
  <c r="P687" i="7941"/>
  <c r="Q595" i="7941"/>
  <c r="Q583" i="7941" s="1"/>
  <c r="P909" i="7941"/>
  <c r="N1001" i="7941"/>
  <c r="Q123" i="7941"/>
  <c r="Q873" i="18"/>
  <c r="R781" i="18"/>
  <c r="R769" i="18" s="1"/>
  <c r="T659" i="7949"/>
  <c r="U619" i="7949"/>
  <c r="U708" i="7950"/>
  <c r="V668" i="7950"/>
  <c r="Q1189" i="18"/>
  <c r="Q1567" i="18"/>
  <c r="N1053" i="7941"/>
  <c r="T654" i="7950"/>
  <c r="U614" i="7950"/>
  <c r="N949" i="7941"/>
  <c r="N1105" i="7941"/>
  <c r="O455" i="7941"/>
  <c r="O559" i="7941" s="1"/>
  <c r="O450" i="7941"/>
  <c r="O554" i="7941" s="1"/>
  <c r="O530" i="7941"/>
  <c r="O474" i="7941"/>
  <c r="O578" i="7941" s="1"/>
  <c r="O432" i="7941"/>
  <c r="O536" i="7941" s="1"/>
  <c r="O453" i="7941"/>
  <c r="O557" i="7941" s="1"/>
  <c r="O441" i="7941"/>
  <c r="O545" i="7941" s="1"/>
  <c r="O473" i="7941"/>
  <c r="O577" i="7941" s="1"/>
  <c r="O461" i="7941"/>
  <c r="O565" i="7941" s="1"/>
  <c r="O447" i="7941"/>
  <c r="O551" i="7941" s="1"/>
  <c r="O431" i="7941"/>
  <c r="O535" i="7941" s="1"/>
  <c r="O459" i="7941"/>
  <c r="O563" i="7941" s="1"/>
  <c r="O435" i="7941"/>
  <c r="O539" i="7941" s="1"/>
  <c r="O467" i="7941"/>
  <c r="O571" i="7941" s="1"/>
  <c r="O469" i="7941"/>
  <c r="O573" i="7941" s="1"/>
  <c r="O472" i="7941"/>
  <c r="O576" i="7941" s="1"/>
  <c r="O449" i="7941"/>
  <c r="O553" i="7941" s="1"/>
  <c r="O466" i="7941"/>
  <c r="O570" i="7941" s="1"/>
  <c r="O429" i="7941"/>
  <c r="O533" i="7941" s="1"/>
  <c r="O448" i="7941"/>
  <c r="O552" i="7941" s="1"/>
  <c r="O462" i="7941"/>
  <c r="O566" i="7941" s="1"/>
  <c r="O436" i="7941"/>
  <c r="O540" i="7941" s="1"/>
  <c r="O458" i="7941"/>
  <c r="O562" i="7941" s="1"/>
  <c r="O440" i="7941"/>
  <c r="O544" i="7941" s="1"/>
  <c r="O446" i="7941"/>
  <c r="O550" i="7941" s="1"/>
  <c r="O465" i="7941"/>
  <c r="O569" i="7941" s="1"/>
  <c r="O445" i="7941"/>
  <c r="O549" i="7941" s="1"/>
  <c r="O443" i="7941"/>
  <c r="O547" i="7941" s="1"/>
  <c r="O471" i="7941"/>
  <c r="O575" i="7941" s="1"/>
  <c r="O444" i="7941"/>
  <c r="O548" i="7941" s="1"/>
  <c r="O438" i="7941"/>
  <c r="O542" i="7941" s="1"/>
  <c r="O457" i="7941"/>
  <c r="O561" i="7941" s="1"/>
  <c r="O475" i="7941"/>
  <c r="O579" i="7941" s="1"/>
  <c r="O456" i="7941"/>
  <c r="O560" i="7941" s="1"/>
  <c r="O437" i="7941"/>
  <c r="O541" i="7941" s="1"/>
  <c r="O468" i="7941"/>
  <c r="O572" i="7941" s="1"/>
  <c r="O470" i="7941"/>
  <c r="O574" i="7941" s="1"/>
  <c r="O428" i="7941"/>
  <c r="O532" i="7941" s="1"/>
  <c r="O460" i="7941"/>
  <c r="O564" i="7941" s="1"/>
  <c r="O464" i="7941"/>
  <c r="O568" i="7941" s="1"/>
  <c r="O433" i="7941"/>
  <c r="O537" i="7941" s="1"/>
  <c r="O454" i="7941"/>
  <c r="O558" i="7941" s="1"/>
  <c r="O439" i="7941"/>
  <c r="O543" i="7941" s="1"/>
  <c r="O452" i="7941"/>
  <c r="O556" i="7941" s="1"/>
  <c r="O427" i="7941"/>
  <c r="O531" i="7941" s="1"/>
  <c r="O434" i="7941"/>
  <c r="O538" i="7941" s="1"/>
  <c r="O463" i="7941"/>
  <c r="O567" i="7941" s="1"/>
  <c r="O442" i="7941"/>
  <c r="O546" i="7941" s="1"/>
  <c r="O430" i="7941"/>
  <c r="O534" i="7941" s="1"/>
  <c r="O451" i="7941"/>
  <c r="O555" i="7941" s="1"/>
  <c r="O426" i="7941"/>
  <c r="O503" i="7941"/>
  <c r="O415" i="7941"/>
  <c r="O390" i="7941"/>
  <c r="O479" i="7941"/>
  <c r="O400" i="7941"/>
  <c r="O510" i="7941"/>
  <c r="O395" i="7941"/>
  <c r="O418" i="7941"/>
  <c r="O398" i="7941"/>
  <c r="O391" i="7941"/>
  <c r="O508" i="7941"/>
  <c r="O416" i="7941"/>
  <c r="O502" i="7941"/>
  <c r="O523" i="7941"/>
  <c r="O516" i="7941"/>
  <c r="O385" i="7941"/>
  <c r="O481" i="7941"/>
  <c r="O509" i="7941"/>
  <c r="O504" i="7941"/>
  <c r="O495" i="7941"/>
  <c r="O377" i="7941"/>
  <c r="O480" i="7941"/>
  <c r="O394" i="7941"/>
  <c r="O485" i="7941"/>
  <c r="O384" i="7941"/>
  <c r="O403" i="7941"/>
  <c r="O512" i="7941"/>
  <c r="O389" i="7941"/>
  <c r="O492" i="7941"/>
  <c r="O518" i="7941"/>
  <c r="O486" i="7941"/>
  <c r="O482" i="7941"/>
  <c r="O379" i="7941"/>
  <c r="O484" i="7941"/>
  <c r="O493" i="7941"/>
  <c r="O409" i="7941"/>
  <c r="O488" i="7941"/>
  <c r="O517" i="7941"/>
  <c r="O404" i="7941"/>
  <c r="O501" i="7941"/>
  <c r="O381" i="7941"/>
  <c r="O402" i="7941"/>
  <c r="O490" i="7941"/>
  <c r="O514" i="7941"/>
  <c r="O387" i="7941"/>
  <c r="O399" i="7941"/>
  <c r="O417" i="7941"/>
  <c r="O408" i="7941"/>
  <c r="O498" i="7941"/>
  <c r="O526" i="7941"/>
  <c r="O489" i="7941"/>
  <c r="O496" i="7941"/>
  <c r="O483" i="7941"/>
  <c r="O392" i="7941"/>
  <c r="O487" i="7941"/>
  <c r="O500" i="7941"/>
  <c r="O414" i="7941"/>
  <c r="O374" i="7941"/>
  <c r="O375" i="7941"/>
  <c r="O397" i="7941"/>
  <c r="O507" i="7941"/>
  <c r="O525" i="7941"/>
  <c r="O380" i="7941"/>
  <c r="O412" i="7941"/>
  <c r="O382" i="7941"/>
  <c r="O413" i="7941"/>
  <c r="O506" i="7941"/>
  <c r="O499" i="7941"/>
  <c r="O515" i="7941"/>
  <c r="O491" i="7941"/>
  <c r="O376" i="7941"/>
  <c r="O383" i="7941"/>
  <c r="O420" i="7941"/>
  <c r="O388" i="7941"/>
  <c r="O407" i="7941"/>
  <c r="O405" i="7941"/>
  <c r="O521" i="7941"/>
  <c r="O511" i="7941"/>
  <c r="O421" i="7941"/>
  <c r="O527" i="7941"/>
  <c r="O401" i="7941"/>
  <c r="O513" i="7941"/>
  <c r="O497" i="7941"/>
  <c r="O520" i="7941"/>
  <c r="O423" i="7941"/>
  <c r="O411" i="7941"/>
  <c r="O505" i="7941"/>
  <c r="O393" i="7941"/>
  <c r="O522" i="7941"/>
  <c r="O419" i="7941"/>
  <c r="O406" i="7941"/>
  <c r="O478" i="7941"/>
  <c r="O378" i="7941"/>
  <c r="O396" i="7941"/>
  <c r="O519" i="7941"/>
  <c r="O386" i="7941"/>
  <c r="O494" i="7941"/>
  <c r="O524" i="7941"/>
  <c r="O422" i="7941"/>
  <c r="O410" i="7941"/>
  <c r="O477" i="7941" l="1"/>
  <c r="O425" i="7941"/>
  <c r="O529" i="7941"/>
  <c r="Q1305" i="18"/>
  <c r="Q1555" i="18"/>
  <c r="O373" i="7941"/>
  <c r="U654" i="7950"/>
  <c r="V614" i="7950"/>
  <c r="U659" i="7949"/>
  <c r="V619" i="7949"/>
  <c r="Q111" i="7941"/>
  <c r="Q333" i="7941"/>
  <c r="V708" i="7950"/>
  <c r="W668" i="7950"/>
  <c r="W708" i="7950" s="1"/>
  <c r="P897" i="7941"/>
  <c r="O1029" i="7941" l="1"/>
  <c r="O1133" i="7941" s="1"/>
  <c r="O1051" i="7941"/>
  <c r="O1155" i="7941" s="1"/>
  <c r="O1014" i="7941"/>
  <c r="O1118" i="7941" s="1"/>
  <c r="O1038" i="7941"/>
  <c r="O1142" i="7941" s="1"/>
  <c r="O1008" i="7941"/>
  <c r="O1112" i="7941" s="1"/>
  <c r="O1022" i="7941"/>
  <c r="O1126" i="7941" s="1"/>
  <c r="O1042" i="7941"/>
  <c r="O1146" i="7941" s="1"/>
  <c r="O1017" i="7941"/>
  <c r="O1121" i="7941" s="1"/>
  <c r="O1044" i="7941"/>
  <c r="O1148" i="7941" s="1"/>
  <c r="O1016" i="7941"/>
  <c r="O1120" i="7941" s="1"/>
  <c r="O1037" i="7941"/>
  <c r="O1141" i="7941" s="1"/>
  <c r="O1004" i="7941"/>
  <c r="O1108" i="7941" s="1"/>
  <c r="O1039" i="7941"/>
  <c r="O1143" i="7941" s="1"/>
  <c r="O1032" i="7941"/>
  <c r="O1136" i="7941" s="1"/>
  <c r="O1003" i="7941"/>
  <c r="O1107" i="7941" s="1"/>
  <c r="O1007" i="7941"/>
  <c r="O1111" i="7941" s="1"/>
  <c r="O1046" i="7941"/>
  <c r="O1150" i="7941" s="1"/>
  <c r="O1026" i="7941"/>
  <c r="O1130" i="7941" s="1"/>
  <c r="O1023" i="7941"/>
  <c r="O1127" i="7941" s="1"/>
  <c r="O1002" i="7941"/>
  <c r="O1050" i="7941"/>
  <c r="O1154" i="7941" s="1"/>
  <c r="O1047" i="7941"/>
  <c r="O1151" i="7941" s="1"/>
  <c r="O1106" i="7941"/>
  <c r="O1020" i="7941"/>
  <c r="O1124" i="7941" s="1"/>
  <c r="O1012" i="7941"/>
  <c r="O1116" i="7941" s="1"/>
  <c r="O1025" i="7941"/>
  <c r="O1129" i="7941" s="1"/>
  <c r="O1045" i="7941"/>
  <c r="O1149" i="7941" s="1"/>
  <c r="O1048" i="7941"/>
  <c r="O1152" i="7941" s="1"/>
  <c r="O1005" i="7941"/>
  <c r="O1109" i="7941" s="1"/>
  <c r="O1021" i="7941"/>
  <c r="O1125" i="7941" s="1"/>
  <c r="O1018" i="7941"/>
  <c r="O1122" i="7941" s="1"/>
  <c r="O1031" i="7941"/>
  <c r="O1135" i="7941" s="1"/>
  <c r="O1041" i="7941"/>
  <c r="O1145" i="7941" s="1"/>
  <c r="O1006" i="7941"/>
  <c r="O1110" i="7941" s="1"/>
  <c r="O1049" i="7941"/>
  <c r="O1153" i="7941" s="1"/>
  <c r="O1043" i="7941"/>
  <c r="O1147" i="7941" s="1"/>
  <c r="O1024" i="7941"/>
  <c r="O1128" i="7941" s="1"/>
  <c r="O1036" i="7941"/>
  <c r="O1140" i="7941" s="1"/>
  <c r="O1040" i="7941"/>
  <c r="O1144" i="7941" s="1"/>
  <c r="O1009" i="7941"/>
  <c r="O1113" i="7941" s="1"/>
  <c r="O1028" i="7941"/>
  <c r="O1132" i="7941" s="1"/>
  <c r="O1030" i="7941"/>
  <c r="O1134" i="7941" s="1"/>
  <c r="O1033" i="7941"/>
  <c r="O1137" i="7941" s="1"/>
  <c r="O1013" i="7941"/>
  <c r="O1117" i="7941" s="1"/>
  <c r="O1019" i="7941"/>
  <c r="O1123" i="7941" s="1"/>
  <c r="O1035" i="7941"/>
  <c r="O1139" i="7941" s="1"/>
  <c r="O1011" i="7941"/>
  <c r="O1115" i="7941" s="1"/>
  <c r="O1015" i="7941"/>
  <c r="O1119" i="7941" s="1"/>
  <c r="O1034" i="7941"/>
  <c r="O1138" i="7941" s="1"/>
  <c r="O1027" i="7941"/>
  <c r="O1131" i="7941" s="1"/>
  <c r="O1010" i="7941"/>
  <c r="O1114" i="7941" s="1"/>
  <c r="O968" i="7941"/>
  <c r="O1071" i="7941"/>
  <c r="O974" i="7941"/>
  <c r="O978" i="7941"/>
  <c r="O976" i="7941"/>
  <c r="O1085" i="7941"/>
  <c r="O1055" i="7941"/>
  <c r="O952" i="7941"/>
  <c r="O1065" i="7941"/>
  <c r="O1073" i="7941"/>
  <c r="O953" i="7941"/>
  <c r="O960" i="7941"/>
  <c r="O995" i="7941"/>
  <c r="O961" i="7941"/>
  <c r="O1060" i="7941"/>
  <c r="O1079" i="7941"/>
  <c r="O982" i="7941"/>
  <c r="O987" i="7941"/>
  <c r="O1061" i="7941"/>
  <c r="O1072" i="7941"/>
  <c r="O1062" i="7941"/>
  <c r="O988" i="7941"/>
  <c r="O1098" i="7941"/>
  <c r="O1088" i="7941"/>
  <c r="O1096" i="7941"/>
  <c r="O998" i="7941"/>
  <c r="O991" i="7941"/>
  <c r="O1099" i="7941"/>
  <c r="O1054" i="7941"/>
  <c r="O985" i="7941"/>
  <c r="O996" i="7941"/>
  <c r="O972" i="7941"/>
  <c r="O966" i="7941"/>
  <c r="O1102" i="7941"/>
  <c r="O1100" i="7941"/>
  <c r="O965" i="7941"/>
  <c r="O1070" i="7941"/>
  <c r="O1095" i="7941"/>
  <c r="O1077" i="7941"/>
  <c r="O956" i="7941"/>
  <c r="O1086" i="7941"/>
  <c r="O1058" i="7941"/>
  <c r="O1069" i="7941"/>
  <c r="O954" i="7941"/>
  <c r="O1094" i="7941"/>
  <c r="O1090" i="7941"/>
  <c r="O1056" i="7941"/>
  <c r="O992" i="7941"/>
  <c r="O986" i="7941"/>
  <c r="O983" i="7941"/>
  <c r="O963" i="7941"/>
  <c r="O959" i="7941"/>
  <c r="O964" i="7941"/>
  <c r="O1057" i="7941"/>
  <c r="O1097" i="7941"/>
  <c r="O955" i="7941"/>
  <c r="O1082" i="7941"/>
  <c r="O981" i="7941"/>
  <c r="O967" i="7941"/>
  <c r="O984" i="7941"/>
  <c r="O1078" i="7941"/>
  <c r="O979" i="7941"/>
  <c r="O1063" i="7941"/>
  <c r="O999" i="7941"/>
  <c r="O1068" i="7941"/>
  <c r="O950" i="7941"/>
  <c r="O1075" i="7941"/>
  <c r="O993" i="7941"/>
  <c r="O1103" i="7941"/>
  <c r="O1074" i="7941"/>
  <c r="O973" i="7941"/>
  <c r="O1080" i="7941"/>
  <c r="O1089" i="7941"/>
  <c r="O1093" i="7941"/>
  <c r="O1081" i="7941"/>
  <c r="O1087" i="7941"/>
  <c r="O977" i="7941"/>
  <c r="O989" i="7941"/>
  <c r="O997" i="7941"/>
  <c r="O969" i="7941"/>
  <c r="O971" i="7941"/>
  <c r="O951" i="7941"/>
  <c r="O1064" i="7941"/>
  <c r="O1059" i="7941"/>
  <c r="O1066" i="7941"/>
  <c r="O958" i="7941"/>
  <c r="O980" i="7941"/>
  <c r="O962" i="7941"/>
  <c r="O1076" i="7941"/>
  <c r="O1091" i="7941"/>
  <c r="O1084" i="7941"/>
  <c r="O1101" i="7941"/>
  <c r="O1092" i="7941"/>
  <c r="O1083" i="7941"/>
  <c r="O990" i="7941"/>
  <c r="O957" i="7941"/>
  <c r="O970" i="7941"/>
  <c r="O975" i="7941"/>
  <c r="O1067" i="7941"/>
  <c r="O994" i="7941"/>
  <c r="Q321" i="7941"/>
  <c r="V654" i="7950"/>
  <c r="W614" i="7950"/>
  <c r="W654" i="7950" s="1"/>
  <c r="Q699" i="7941"/>
  <c r="Q1293" i="18"/>
  <c r="R1201" i="18"/>
  <c r="R1189" i="18" s="1"/>
  <c r="D7" i="7950"/>
  <c r="O3" i="7946" s="1"/>
  <c r="V659" i="7949"/>
  <c r="W619" i="7949"/>
  <c r="O1053" i="7941" l="1"/>
  <c r="O1001" i="7941"/>
  <c r="O1105" i="7941"/>
  <c r="Q687" i="7941"/>
  <c r="Q909" i="7941"/>
  <c r="W659" i="7949"/>
  <c r="E8" i="7949"/>
  <c r="L3" i="7946" s="1"/>
  <c r="P469" i="7941"/>
  <c r="P573" i="7941" s="1"/>
  <c r="Q517" i="7941"/>
  <c r="P460" i="7941"/>
  <c r="P564" i="7941" s="1"/>
  <c r="P451" i="7941"/>
  <c r="P555" i="7941" s="1"/>
  <c r="Q393" i="7941"/>
  <c r="Q382" i="7941"/>
  <c r="Q513" i="7941"/>
  <c r="Q502" i="7941"/>
  <c r="Q398" i="7941"/>
  <c r="P444" i="7941"/>
  <c r="P548" i="7941" s="1"/>
  <c r="P445" i="7941"/>
  <c r="P549" i="7941" s="1"/>
  <c r="P438" i="7941"/>
  <c r="P542" i="7941" s="1"/>
  <c r="Q526" i="7941"/>
  <c r="Q377" i="7941"/>
  <c r="Q387" i="7941"/>
  <c r="Q521" i="7941"/>
  <c r="Q419" i="7941"/>
  <c r="P447" i="7941"/>
  <c r="P551" i="7941" s="1"/>
  <c r="P428" i="7941"/>
  <c r="P532" i="7941" s="1"/>
  <c r="Q510" i="7941"/>
  <c r="Q508" i="7941"/>
  <c r="P456" i="7941"/>
  <c r="P560" i="7941" s="1"/>
  <c r="P429" i="7941"/>
  <c r="P533" i="7941" s="1"/>
  <c r="Q389" i="7941"/>
  <c r="Q402" i="7941"/>
  <c r="Q492" i="7941"/>
  <c r="Q416" i="7941"/>
  <c r="P461" i="7941"/>
  <c r="P565" i="7941" s="1"/>
  <c r="Q401" i="7941"/>
  <c r="Q518" i="7941"/>
  <c r="P452" i="7941"/>
  <c r="P556" i="7941" s="1"/>
  <c r="Q422" i="7941"/>
  <c r="Q412" i="7941"/>
  <c r="P433" i="7941"/>
  <c r="P537" i="7941" s="1"/>
  <c r="Q406" i="7941"/>
  <c r="P475" i="7941"/>
  <c r="P579" i="7941" s="1"/>
  <c r="Q399" i="7941"/>
  <c r="P467" i="7941"/>
  <c r="P571" i="7941" s="1"/>
  <c r="Q503" i="7941"/>
  <c r="Q379" i="7941"/>
  <c r="Q478" i="7941"/>
  <c r="Q420" i="7941"/>
  <c r="Q423" i="7941"/>
  <c r="Q394" i="7941"/>
  <c r="Q506" i="7941"/>
  <c r="P443" i="7941"/>
  <c r="P547" i="7941" s="1"/>
  <c r="P436" i="7941"/>
  <c r="P540" i="7941" s="1"/>
  <c r="Q509" i="7941"/>
  <c r="P435" i="7941"/>
  <c r="P539" i="7941" s="1"/>
  <c r="Q490" i="7941"/>
  <c r="Q400" i="7941"/>
  <c r="Q482" i="7941"/>
  <c r="Q501" i="7941"/>
  <c r="Q524" i="7941"/>
  <c r="Q409" i="7941"/>
  <c r="Q565" i="7941" s="1"/>
  <c r="J42" i="7946" s="1"/>
  <c r="P448" i="7941"/>
  <c r="P552" i="7941" s="1"/>
  <c r="Q525" i="7941"/>
  <c r="Q407" i="7941"/>
  <c r="Q385" i="7941"/>
  <c r="Q489" i="7941"/>
  <c r="Q480" i="7941"/>
  <c r="Q396" i="7941"/>
  <c r="Q523" i="7941"/>
  <c r="Q410" i="7941"/>
  <c r="P459" i="7941"/>
  <c r="P563" i="7941" s="1"/>
  <c r="Q491" i="7941"/>
  <c r="Q418" i="7941"/>
  <c r="P473" i="7941"/>
  <c r="P577" i="7941" s="1"/>
  <c r="Q388" i="7941"/>
  <c r="P463" i="7941"/>
  <c r="P567" i="7941" s="1"/>
  <c r="P446" i="7941"/>
  <c r="P550" i="7941" s="1"/>
  <c r="Q499" i="7941"/>
  <c r="Q522" i="7941"/>
  <c r="P458" i="7941"/>
  <c r="P562" i="7941" s="1"/>
  <c r="Q374" i="7941"/>
  <c r="Q376" i="7941"/>
  <c r="Q421" i="7941"/>
  <c r="Q577" i="7941" s="1"/>
  <c r="J54" i="7946" s="1"/>
  <c r="Q403" i="7941"/>
  <c r="Q384" i="7941"/>
  <c r="Q483" i="7941"/>
  <c r="Q404" i="7941"/>
  <c r="Q560" i="7941" s="1"/>
  <c r="J37" i="7946" s="1"/>
  <c r="Q495" i="7941"/>
  <c r="Q494" i="7941"/>
  <c r="Q511" i="7941"/>
  <c r="P462" i="7941"/>
  <c r="P566" i="7941" s="1"/>
  <c r="P441" i="7941"/>
  <c r="P545" i="7941" s="1"/>
  <c r="Q496" i="7941"/>
  <c r="Q514" i="7941"/>
  <c r="P465" i="7941"/>
  <c r="P569" i="7941" s="1"/>
  <c r="Q512" i="7941"/>
  <c r="P426" i="7941"/>
  <c r="Q488" i="7941"/>
  <c r="Q392" i="7941"/>
  <c r="Q378" i="7941"/>
  <c r="P466" i="7941"/>
  <c r="P570" i="7941" s="1"/>
  <c r="Q520" i="7941"/>
  <c r="Q417" i="7941"/>
  <c r="Q485" i="7941"/>
  <c r="Q500" i="7941"/>
  <c r="Q383" i="7941"/>
  <c r="P453" i="7941"/>
  <c r="P557" i="7941" s="1"/>
  <c r="P437" i="7941"/>
  <c r="P541" i="7941" s="1"/>
  <c r="P474" i="7941"/>
  <c r="P578" i="7941" s="1"/>
  <c r="Q498" i="7941"/>
  <c r="P431" i="7941"/>
  <c r="P535" i="7941" s="1"/>
  <c r="Q497" i="7941"/>
  <c r="Q390" i="7941"/>
  <c r="Q546" i="7941" s="1"/>
  <c r="J23" i="7946" s="1"/>
  <c r="Q380" i="7941"/>
  <c r="Q507" i="7941"/>
  <c r="Q481" i="7941"/>
  <c r="Q391" i="7941"/>
  <c r="Q386" i="7941"/>
  <c r="Q542" i="7941" s="1"/>
  <c r="J19" i="7946" s="1"/>
  <c r="Q411" i="7941"/>
  <c r="P455" i="7941"/>
  <c r="P559" i="7941" s="1"/>
  <c r="P449" i="7941"/>
  <c r="P553" i="7941" s="1"/>
  <c r="P450" i="7941"/>
  <c r="P554" i="7941" s="1"/>
  <c r="Q397" i="7941"/>
  <c r="Q553" i="7941" s="1"/>
  <c r="J30" i="7946" s="1"/>
  <c r="P454" i="7941"/>
  <c r="P558" i="7941" s="1"/>
  <c r="P470" i="7941"/>
  <c r="P574" i="7941" s="1"/>
  <c r="Q515" i="7941"/>
  <c r="P432" i="7941"/>
  <c r="P536" i="7941" s="1"/>
  <c r="Q487" i="7941"/>
  <c r="P530" i="7941"/>
  <c r="Q516" i="7941"/>
  <c r="Q527" i="7941"/>
  <c r="P471" i="7941"/>
  <c r="P575" i="7941" s="1"/>
  <c r="P430" i="7941"/>
  <c r="P534" i="7941" s="1"/>
  <c r="Q381" i="7941"/>
  <c r="Q537" i="7941" s="1"/>
  <c r="J14" i="7946" s="1"/>
  <c r="P440" i="7941"/>
  <c r="P544" i="7941" s="1"/>
  <c r="Q375" i="7941"/>
  <c r="P427" i="7941"/>
  <c r="P531" i="7941" s="1"/>
  <c r="Q408" i="7941"/>
  <c r="Q564" i="7941" s="1"/>
  <c r="J41" i="7946" s="1"/>
  <c r="Q395" i="7941"/>
  <c r="P442" i="7941"/>
  <c r="P546" i="7941" s="1"/>
  <c r="Q505" i="7941"/>
  <c r="P457" i="7941"/>
  <c r="P561" i="7941" s="1"/>
  <c r="P434" i="7941"/>
  <c r="P538" i="7941" s="1"/>
  <c r="P468" i="7941"/>
  <c r="P572" i="7941" s="1"/>
  <c r="Q405" i="7941"/>
  <c r="Q479" i="7941"/>
  <c r="P439" i="7941"/>
  <c r="P543" i="7941" s="1"/>
  <c r="P472" i="7941"/>
  <c r="P576" i="7941" s="1"/>
  <c r="P464" i="7941"/>
  <c r="P568" i="7941" s="1"/>
  <c r="Q519" i="7941"/>
  <c r="Q504" i="7941"/>
  <c r="Q484" i="7941"/>
  <c r="Q414" i="7941"/>
  <c r="Q493" i="7941"/>
  <c r="Q413" i="7941"/>
  <c r="Q415" i="7941"/>
  <c r="Q486" i="7941"/>
  <c r="P377" i="7941"/>
  <c r="P420" i="7941"/>
  <c r="P396" i="7941"/>
  <c r="P521" i="7941"/>
  <c r="P490" i="7941"/>
  <c r="P423" i="7941"/>
  <c r="P376" i="7941"/>
  <c r="P410" i="7941"/>
  <c r="P379" i="7941"/>
  <c r="P391" i="7941"/>
  <c r="P418" i="7941"/>
  <c r="P374" i="7941"/>
  <c r="P394" i="7941"/>
  <c r="P375" i="7941"/>
  <c r="P382" i="7941"/>
  <c r="P492" i="7941"/>
  <c r="P386" i="7941"/>
  <c r="P381" i="7941"/>
  <c r="P489" i="7941"/>
  <c r="P383" i="7941"/>
  <c r="P507" i="7941"/>
  <c r="P527" i="7941"/>
  <c r="P482" i="7941"/>
  <c r="P484" i="7941"/>
  <c r="P409" i="7941"/>
  <c r="P384" i="7941"/>
  <c r="P510" i="7941"/>
  <c r="P483" i="7941"/>
  <c r="P513" i="7941"/>
  <c r="P478" i="7941"/>
  <c r="P499" i="7941"/>
  <c r="P402" i="7941"/>
  <c r="P392" i="7941"/>
  <c r="P411" i="7941"/>
  <c r="P404" i="7941"/>
  <c r="P399" i="7941"/>
  <c r="P502" i="7941"/>
  <c r="P480" i="7941"/>
  <c r="P416" i="7941"/>
  <c r="P520" i="7941"/>
  <c r="P515" i="7941"/>
  <c r="P400" i="7941"/>
  <c r="P378" i="7941"/>
  <c r="P504" i="7941"/>
  <c r="P497" i="7941"/>
  <c r="P388" i="7941"/>
  <c r="P487" i="7941"/>
  <c r="P485" i="7941"/>
  <c r="P524" i="7941"/>
  <c r="P522" i="7941"/>
  <c r="P380" i="7941"/>
  <c r="P419" i="7941"/>
  <c r="P494" i="7941"/>
  <c r="P414" i="7941"/>
  <c r="P491" i="7941"/>
  <c r="P401" i="7941"/>
  <c r="P517" i="7941"/>
  <c r="P512" i="7941"/>
  <c r="P403" i="7941"/>
  <c r="P422" i="7941"/>
  <c r="P493" i="7941"/>
  <c r="P516" i="7941"/>
  <c r="P395" i="7941"/>
  <c r="P389" i="7941"/>
  <c r="P387" i="7941"/>
  <c r="P509" i="7941"/>
  <c r="P525" i="7941"/>
  <c r="P503" i="7941"/>
  <c r="P398" i="7941"/>
  <c r="P514" i="7941"/>
  <c r="P488" i="7941"/>
  <c r="P498" i="7941"/>
  <c r="P511" i="7941"/>
  <c r="P481" i="7941"/>
  <c r="P518" i="7941"/>
  <c r="P415" i="7941"/>
  <c r="P417" i="7941"/>
  <c r="P393" i="7941"/>
  <c r="P505" i="7941"/>
  <c r="P526" i="7941"/>
  <c r="P506" i="7941"/>
  <c r="P495" i="7941"/>
  <c r="P500" i="7941"/>
  <c r="P486" i="7941"/>
  <c r="P397" i="7941"/>
  <c r="P479" i="7941"/>
  <c r="P496" i="7941"/>
  <c r="P501" i="7941"/>
  <c r="P385" i="7941"/>
  <c r="P413" i="7941"/>
  <c r="P406" i="7941"/>
  <c r="P523" i="7941"/>
  <c r="P408" i="7941"/>
  <c r="P519" i="7941"/>
  <c r="P405" i="7941"/>
  <c r="P508" i="7941"/>
  <c r="P412" i="7941"/>
  <c r="P407" i="7941"/>
  <c r="P390" i="7941"/>
  <c r="P421" i="7941"/>
  <c r="O949" i="7941"/>
  <c r="Q569" i="7941" l="1"/>
  <c r="J46" i="7946" s="1"/>
  <c r="Q536" i="7941"/>
  <c r="J13" i="7946" s="1"/>
  <c r="Q539" i="7941"/>
  <c r="J16" i="7946" s="1"/>
  <c r="Q570" i="7941"/>
  <c r="J47" i="7946" s="1"/>
  <c r="Q547" i="7941"/>
  <c r="J24" i="7946" s="1"/>
  <c r="Q544" i="7941"/>
  <c r="J21" i="7946" s="1"/>
  <c r="Q574" i="7941"/>
  <c r="J51" i="7946" s="1"/>
  <c r="Q556" i="7941"/>
  <c r="J33" i="7946" s="1"/>
  <c r="Q579" i="7941"/>
  <c r="J56" i="7946" s="1"/>
  <c r="Q543" i="7941"/>
  <c r="J20" i="7946" s="1"/>
  <c r="Q532" i="7941"/>
  <c r="J9" i="7946" s="1"/>
  <c r="Q578" i="7941"/>
  <c r="J55" i="7946" s="1"/>
  <c r="Q566" i="7941"/>
  <c r="J43" i="7946" s="1"/>
  <c r="P529" i="7941"/>
  <c r="P477" i="7941"/>
  <c r="Q551" i="7941"/>
  <c r="J28" i="7946" s="1"/>
  <c r="Q567" i="7941"/>
  <c r="J44" i="7946" s="1"/>
  <c r="Q573" i="7941"/>
  <c r="J50" i="7946" s="1"/>
  <c r="Q548" i="7941"/>
  <c r="J25" i="7946" s="1"/>
  <c r="Q477" i="7941"/>
  <c r="Q555" i="7941"/>
  <c r="J32" i="7946" s="1"/>
  <c r="Q568" i="7941"/>
  <c r="J45" i="7946" s="1"/>
  <c r="Q557" i="7941"/>
  <c r="J34" i="7946" s="1"/>
  <c r="Q558" i="7941"/>
  <c r="J35" i="7946" s="1"/>
  <c r="Q575" i="7941"/>
  <c r="J52" i="7946" s="1"/>
  <c r="Q554" i="7941"/>
  <c r="J31" i="7946" s="1"/>
  <c r="Q549" i="7941"/>
  <c r="J26" i="7946" s="1"/>
  <c r="Q550" i="7941"/>
  <c r="J27" i="7946" s="1"/>
  <c r="Q535" i="7941"/>
  <c r="J12" i="7946" s="1"/>
  <c r="Q545" i="7941"/>
  <c r="J22" i="7946" s="1"/>
  <c r="P373" i="7941"/>
  <c r="Q561" i="7941"/>
  <c r="J38" i="7946" s="1"/>
  <c r="P425" i="7941"/>
  <c r="Q540" i="7941"/>
  <c r="J17" i="7946" s="1"/>
  <c r="Q373" i="7941"/>
  <c r="Q530" i="7941"/>
  <c r="Q541" i="7941"/>
  <c r="J18" i="7946" s="1"/>
  <c r="Q562" i="7941"/>
  <c r="J39" i="7946" s="1"/>
  <c r="Q572" i="7941"/>
  <c r="J49" i="7946" s="1"/>
  <c r="Q571" i="7941"/>
  <c r="J48" i="7946" s="1"/>
  <c r="Q531" i="7941"/>
  <c r="J8" i="7946" s="1"/>
  <c r="Q534" i="7941"/>
  <c r="J11" i="7946" s="1"/>
  <c r="Q559" i="7941"/>
  <c r="J36" i="7946" s="1"/>
  <c r="Q552" i="7941"/>
  <c r="J29" i="7946" s="1"/>
  <c r="Q563" i="7941"/>
  <c r="J40" i="7946" s="1"/>
  <c r="Q576" i="7941"/>
  <c r="J53" i="7946" s="1"/>
  <c r="Q533" i="7941"/>
  <c r="J10" i="7946" s="1"/>
  <c r="Q538" i="7941"/>
  <c r="J15" i="7946" s="1"/>
  <c r="Q897" i="7941"/>
  <c r="Q529" i="7941" l="1"/>
  <c r="J7" i="7946"/>
  <c r="J57" i="7946" s="1"/>
  <c r="Q978" i="7941"/>
  <c r="P1023" i="7941"/>
  <c r="P1127" i="7941" s="1"/>
  <c r="P1011" i="7941"/>
  <c r="P1115" i="7941" s="1"/>
  <c r="P1051" i="7941"/>
  <c r="P1155" i="7941" s="1"/>
  <c r="P1020" i="7941"/>
  <c r="P1124" i="7941" s="1"/>
  <c r="P1015" i="7941"/>
  <c r="P1119" i="7941" s="1"/>
  <c r="Q1061" i="7941"/>
  <c r="Q1064" i="7941"/>
  <c r="Q975" i="7941"/>
  <c r="P1038" i="7941"/>
  <c r="P1142" i="7941" s="1"/>
  <c r="P1004" i="7941"/>
  <c r="P1108" i="7941" s="1"/>
  <c r="Q959" i="7941"/>
  <c r="P1024" i="7941"/>
  <c r="P1128" i="7941" s="1"/>
  <c r="Q957" i="7941"/>
  <c r="Q963" i="7941"/>
  <c r="P1021" i="7941"/>
  <c r="P1125" i="7941" s="1"/>
  <c r="Q1086" i="7941"/>
  <c r="Q989" i="7941"/>
  <c r="Q951" i="7941"/>
  <c r="Q1071" i="7941"/>
  <c r="Q1062" i="7941"/>
  <c r="P1044" i="7941"/>
  <c r="P1148" i="7941" s="1"/>
  <c r="Q1077" i="7941"/>
  <c r="P1008" i="7941"/>
  <c r="P1112" i="7941" s="1"/>
  <c r="P1047" i="7941"/>
  <c r="P1151" i="7941" s="1"/>
  <c r="Q969" i="7941"/>
  <c r="Q956" i="7941"/>
  <c r="Q974" i="7941"/>
  <c r="Q1095" i="7941"/>
  <c r="Q996" i="7941"/>
  <c r="P1016" i="7941"/>
  <c r="P1120" i="7941" s="1"/>
  <c r="Q992" i="7941"/>
  <c r="P1028" i="7941"/>
  <c r="P1132" i="7941" s="1"/>
  <c r="P1005" i="7941"/>
  <c r="P1109" i="7941" s="1"/>
  <c r="P1014" i="7941"/>
  <c r="P1118" i="7941" s="1"/>
  <c r="Q1093" i="7941"/>
  <c r="Q1099" i="7941"/>
  <c r="P1046" i="7941"/>
  <c r="P1150" i="7941" s="1"/>
  <c r="P1037" i="7941"/>
  <c r="P1141" i="7941" s="1"/>
  <c r="P1031" i="7941"/>
  <c r="P1135" i="7941" s="1"/>
  <c r="Q991" i="7941"/>
  <c r="Q1147" i="7941" s="1"/>
  <c r="K48" i="7946" s="1"/>
  <c r="L48" i="7946" s="1"/>
  <c r="Q971" i="7941"/>
  <c r="Q988" i="7941"/>
  <c r="Q1082" i="7941"/>
  <c r="Q984" i="7941"/>
  <c r="Q1140" i="7941" s="1"/>
  <c r="K41" i="7946" s="1"/>
  <c r="L41" i="7946" s="1"/>
  <c r="Q1058" i="7941"/>
  <c r="P1032" i="7941"/>
  <c r="P1136" i="7941" s="1"/>
  <c r="P1002" i="7941"/>
  <c r="Q1094" i="7941"/>
  <c r="Q1089" i="7941"/>
  <c r="Q972" i="7941"/>
  <c r="Q993" i="7941"/>
  <c r="Q1096" i="7941"/>
  <c r="Q1092" i="7941"/>
  <c r="P1006" i="7941"/>
  <c r="P1110" i="7941" s="1"/>
  <c r="Q982" i="7941"/>
  <c r="P1030" i="7941"/>
  <c r="P1134" i="7941" s="1"/>
  <c r="Q1098" i="7941"/>
  <c r="P1025" i="7941"/>
  <c r="P1129" i="7941" s="1"/>
  <c r="Q1074" i="7941"/>
  <c r="Q1068" i="7941"/>
  <c r="P1018" i="7941"/>
  <c r="P1122" i="7941" s="1"/>
  <c r="P1048" i="7941"/>
  <c r="P1152" i="7941" s="1"/>
  <c r="P1042" i="7941"/>
  <c r="P1146" i="7941" s="1"/>
  <c r="Q968" i="7941"/>
  <c r="P1010" i="7941"/>
  <c r="P1114" i="7941" s="1"/>
  <c r="P1036" i="7941"/>
  <c r="P1140" i="7941" s="1"/>
  <c r="Q1067" i="7941"/>
  <c r="P1013" i="7941"/>
  <c r="P1117" i="7941" s="1"/>
  <c r="P1050" i="7941"/>
  <c r="P1154" i="7941" s="1"/>
  <c r="Q973" i="7941"/>
  <c r="Q1129" i="7941" s="1"/>
  <c r="K30" i="7946" s="1"/>
  <c r="L30" i="7946" s="1"/>
  <c r="P1049" i="7941"/>
  <c r="P1153" i="7941" s="1"/>
  <c r="Q965" i="7941"/>
  <c r="Q1091" i="7941"/>
  <c r="Q1059" i="7941"/>
  <c r="P1012" i="7941"/>
  <c r="P1116" i="7941" s="1"/>
  <c r="Q1057" i="7941"/>
  <c r="Q998" i="7941"/>
  <c r="Q1087" i="7941"/>
  <c r="Q1083" i="7941"/>
  <c r="Q1102" i="7941"/>
  <c r="Q1056" i="7941"/>
  <c r="Q1085" i="7941"/>
  <c r="Q1063" i="7941"/>
  <c r="P1035" i="7941"/>
  <c r="P1139" i="7941" s="1"/>
  <c r="Q980" i="7941"/>
  <c r="Q997" i="7941"/>
  <c r="Q1075" i="7941"/>
  <c r="Q952" i="7941"/>
  <c r="Q950" i="7941"/>
  <c r="P1029" i="7941"/>
  <c r="P1133" i="7941" s="1"/>
  <c r="Q1088" i="7941"/>
  <c r="Q961" i="7941"/>
  <c r="Q1080" i="7941"/>
  <c r="Q1101" i="7941"/>
  <c r="P1022" i="7941"/>
  <c r="P1126" i="7941" s="1"/>
  <c r="Q958" i="7941"/>
  <c r="Q1114" i="7941" s="1"/>
  <c r="K15" i="7946" s="1"/>
  <c r="L15" i="7946" s="1"/>
  <c r="Q999" i="7941"/>
  <c r="Q1054" i="7941"/>
  <c r="P1003" i="7941"/>
  <c r="P1107" i="7941" s="1"/>
  <c r="Q970" i="7941"/>
  <c r="Q1126" i="7941" s="1"/>
  <c r="K27" i="7946" s="1"/>
  <c r="L27" i="7946" s="1"/>
  <c r="Q1070" i="7941"/>
  <c r="Q962" i="7941"/>
  <c r="P1026" i="7941"/>
  <c r="P1130" i="7941" s="1"/>
  <c r="P1045" i="7941"/>
  <c r="P1149" i="7941" s="1"/>
  <c r="P1033" i="7941"/>
  <c r="P1137" i="7941" s="1"/>
  <c r="P1027" i="7941"/>
  <c r="P1131" i="7941" s="1"/>
  <c r="Q987" i="7941"/>
  <c r="Q1084" i="7941"/>
  <c r="Q985" i="7941"/>
  <c r="Q1141" i="7941" s="1"/>
  <c r="K42" i="7946" s="1"/>
  <c r="L42" i="7946" s="1"/>
  <c r="Q1076" i="7941"/>
  <c r="P1007" i="7941"/>
  <c r="P1111" i="7941" s="1"/>
  <c r="Q966" i="7941"/>
  <c r="P1019" i="7941"/>
  <c r="P1123" i="7941" s="1"/>
  <c r="Q986" i="7941"/>
  <c r="P1041" i="7941"/>
  <c r="P1145" i="7941" s="1"/>
  <c r="P1106" i="7941"/>
  <c r="P1017" i="7941"/>
  <c r="P1121" i="7941" s="1"/>
  <c r="Q1066" i="7941"/>
  <c r="Q1073" i="7941"/>
  <c r="Q967" i="7941"/>
  <c r="Q1123" i="7941" s="1"/>
  <c r="K24" i="7946" s="1"/>
  <c r="L24" i="7946" s="1"/>
  <c r="P1034" i="7941"/>
  <c r="P1138" i="7941" s="1"/>
  <c r="Q1055" i="7941"/>
  <c r="Q983" i="7941"/>
  <c r="Q1100" i="7941"/>
  <c r="Q979" i="7941"/>
  <c r="Q1135" i="7941" s="1"/>
  <c r="K36" i="7946" s="1"/>
  <c r="L36" i="7946" s="1"/>
  <c r="Q955" i="7941"/>
  <c r="Q1111" i="7941" s="1"/>
  <c r="K12" i="7946" s="1"/>
  <c r="L12" i="7946" s="1"/>
  <c r="Q977" i="7941"/>
  <c r="P1040" i="7941"/>
  <c r="P1144" i="7941" s="1"/>
  <c r="Q1090" i="7941"/>
  <c r="Q995" i="7941"/>
  <c r="Q1151" i="7941" s="1"/>
  <c r="K52" i="7946" s="1"/>
  <c r="L52" i="7946" s="1"/>
  <c r="Q1078" i="7941"/>
  <c r="Q1060" i="7941"/>
  <c r="Q1081" i="7941"/>
  <c r="Q960" i="7941"/>
  <c r="Q1116" i="7941" s="1"/>
  <c r="K17" i="7946" s="1"/>
  <c r="L17" i="7946" s="1"/>
  <c r="Q990" i="7941"/>
  <c r="Q1103" i="7941"/>
  <c r="Q1069" i="7941"/>
  <c r="Q976" i="7941"/>
  <c r="Q1072" i="7941"/>
  <c r="Q964" i="7941"/>
  <c r="Q1120" i="7941" s="1"/>
  <c r="K21" i="7946" s="1"/>
  <c r="L21" i="7946" s="1"/>
  <c r="Q1097" i="7941"/>
  <c r="Q954" i="7941"/>
  <c r="Q953" i="7941"/>
  <c r="P1039" i="7941"/>
  <c r="P1143" i="7941" s="1"/>
  <c r="Q994" i="7941"/>
  <c r="Q1150" i="7941" s="1"/>
  <c r="K51" i="7946" s="1"/>
  <c r="L51" i="7946" s="1"/>
  <c r="P1043" i="7941"/>
  <c r="P1147" i="7941" s="1"/>
  <c r="Q1079" i="7941"/>
  <c r="Q981" i="7941"/>
  <c r="P1009" i="7941"/>
  <c r="P1113" i="7941" s="1"/>
  <c r="Q1065" i="7941"/>
  <c r="P985" i="7941"/>
  <c r="P956" i="7941"/>
  <c r="P1083" i="7941"/>
  <c r="P1072" i="7941"/>
  <c r="P971" i="7941"/>
  <c r="P995" i="7941"/>
  <c r="P994" i="7941"/>
  <c r="P984" i="7941"/>
  <c r="P988" i="7941"/>
  <c r="P1066" i="7941"/>
  <c r="P1098" i="7941"/>
  <c r="P1102" i="7941"/>
  <c r="P1054" i="7941"/>
  <c r="P966" i="7941"/>
  <c r="P1097" i="7941"/>
  <c r="P968" i="7941"/>
  <c r="P1077" i="7941"/>
  <c r="P950" i="7941"/>
  <c r="P969" i="7941"/>
  <c r="P952" i="7941"/>
  <c r="P1067" i="7941"/>
  <c r="P959" i="7941"/>
  <c r="P963" i="7941"/>
  <c r="P1080" i="7941"/>
  <c r="P1087" i="7941"/>
  <c r="P986" i="7941"/>
  <c r="P1059" i="7941"/>
  <c r="P1070" i="7941"/>
  <c r="P967" i="7941"/>
  <c r="P954" i="7941"/>
  <c r="P1089" i="7941"/>
  <c r="P1079" i="7941"/>
  <c r="P1081" i="7941"/>
  <c r="P1103" i="7941"/>
  <c r="P1094" i="7941"/>
  <c r="P1085" i="7941"/>
  <c r="P978" i="7941"/>
  <c r="P990" i="7941"/>
  <c r="P979" i="7941"/>
  <c r="P964" i="7941"/>
  <c r="P982" i="7941"/>
  <c r="P1058" i="7941"/>
  <c r="P1063" i="7941"/>
  <c r="P1062" i="7941"/>
  <c r="P951" i="7941"/>
  <c r="P961" i="7941"/>
  <c r="P981" i="7941"/>
  <c r="P1075" i="7941"/>
  <c r="P972" i="7941"/>
  <c r="P1065" i="7941"/>
  <c r="P957" i="7941"/>
  <c r="P1091" i="7941"/>
  <c r="P1086" i="7941"/>
  <c r="P999" i="7941"/>
  <c r="P962" i="7941"/>
  <c r="P953" i="7941"/>
  <c r="P991" i="7941"/>
  <c r="P992" i="7941"/>
  <c r="P960" i="7941"/>
  <c r="P976" i="7941"/>
  <c r="P1060" i="7941"/>
  <c r="P1096" i="7941"/>
  <c r="P1071" i="7941"/>
  <c r="P1068" i="7941"/>
  <c r="P997" i="7941"/>
  <c r="P1090" i="7941"/>
  <c r="P1101" i="7941"/>
  <c r="P1093" i="7941"/>
  <c r="P955" i="7941"/>
  <c r="P1082" i="7941"/>
  <c r="P1073" i="7941"/>
  <c r="P1061" i="7941"/>
  <c r="P1064" i="7941"/>
  <c r="P973" i="7941"/>
  <c r="P996" i="7941"/>
  <c r="P1069" i="7941"/>
  <c r="P1074" i="7941"/>
  <c r="P975" i="7941"/>
  <c r="P989" i="7941"/>
  <c r="P1092" i="7941"/>
  <c r="P974" i="7941"/>
  <c r="P965" i="7941"/>
  <c r="P1099" i="7941"/>
  <c r="P1095" i="7941"/>
  <c r="P998" i="7941"/>
  <c r="P980" i="7941"/>
  <c r="P1057" i="7941"/>
  <c r="P1076" i="7941"/>
  <c r="P983" i="7941"/>
  <c r="P1056" i="7941"/>
  <c r="P987" i="7941"/>
  <c r="P1055" i="7941"/>
  <c r="P1078" i="7941"/>
  <c r="P970" i="7941"/>
  <c r="P1088" i="7941"/>
  <c r="P977" i="7941"/>
  <c r="P1100" i="7941"/>
  <c r="P958" i="7941"/>
  <c r="P993" i="7941"/>
  <c r="P1084" i="7941"/>
  <c r="Q1137" i="7941" l="1"/>
  <c r="K38" i="7946" s="1"/>
  <c r="L38" i="7946" s="1"/>
  <c r="Q1127" i="7941"/>
  <c r="K28" i="7946" s="1"/>
  <c r="L28" i="7946" s="1"/>
  <c r="Q1145" i="7941"/>
  <c r="K46" i="7946" s="1"/>
  <c r="L46" i="7946" s="1"/>
  <c r="Q1113" i="7941"/>
  <c r="K14" i="7946" s="1"/>
  <c r="L14" i="7946" s="1"/>
  <c r="Q1139" i="7941"/>
  <c r="K40" i="7946" s="1"/>
  <c r="L40" i="7946" s="1"/>
  <c r="Q1138" i="7941"/>
  <c r="K39" i="7946" s="1"/>
  <c r="L39" i="7946" s="1"/>
  <c r="Q1124" i="7941"/>
  <c r="K25" i="7946" s="1"/>
  <c r="L25" i="7946" s="1"/>
  <c r="Q1125" i="7941"/>
  <c r="K26" i="7946" s="1"/>
  <c r="L26" i="7946" s="1"/>
  <c r="Q1155" i="7941"/>
  <c r="K56" i="7946" s="1"/>
  <c r="L56" i="7946" s="1"/>
  <c r="Q1136" i="7941"/>
  <c r="K37" i="7946" s="1"/>
  <c r="L37" i="7946" s="1"/>
  <c r="Q1154" i="7941"/>
  <c r="K55" i="7946" s="1"/>
  <c r="L55" i="7946" s="1"/>
  <c r="Q1152" i="7941"/>
  <c r="K53" i="7946" s="1"/>
  <c r="L53" i="7946" s="1"/>
  <c r="Q949" i="7941"/>
  <c r="Q1106" i="7941"/>
  <c r="P949" i="7941"/>
  <c r="P1105" i="7941"/>
  <c r="Q1122" i="7941"/>
  <c r="K23" i="7946" s="1"/>
  <c r="L23" i="7946" s="1"/>
  <c r="Q1131" i="7941"/>
  <c r="K32" i="7946" s="1"/>
  <c r="L32" i="7946" s="1"/>
  <c r="Q1134" i="7941"/>
  <c r="K35" i="7946" s="1"/>
  <c r="L35" i="7946" s="1"/>
  <c r="Q1117" i="7941"/>
  <c r="K18" i="7946" s="1"/>
  <c r="L18" i="7946" s="1"/>
  <c r="Q1108" i="7941"/>
  <c r="K9" i="7946" s="1"/>
  <c r="L9" i="7946" s="1"/>
  <c r="Q1121" i="7941"/>
  <c r="K22" i="7946" s="1"/>
  <c r="L22" i="7946" s="1"/>
  <c r="P1053" i="7941"/>
  <c r="Q1109" i="7941"/>
  <c r="K10" i="7946" s="1"/>
  <c r="L10" i="7946" s="1"/>
  <c r="Q1146" i="7941"/>
  <c r="K47" i="7946" s="1"/>
  <c r="L47" i="7946" s="1"/>
  <c r="Q1133" i="7941"/>
  <c r="K34" i="7946" s="1"/>
  <c r="L34" i="7946" s="1"/>
  <c r="Q1143" i="7941"/>
  <c r="K44" i="7946" s="1"/>
  <c r="L44" i="7946" s="1"/>
  <c r="Q1149" i="7941"/>
  <c r="K50" i="7946" s="1"/>
  <c r="L50" i="7946" s="1"/>
  <c r="P1001" i="7941"/>
  <c r="Q1148" i="7941"/>
  <c r="K49" i="7946" s="1"/>
  <c r="L49" i="7946" s="1"/>
  <c r="Q1130" i="7941"/>
  <c r="K31" i="7946" s="1"/>
  <c r="L31" i="7946" s="1"/>
  <c r="Q1115" i="7941"/>
  <c r="K16" i="7946" s="1"/>
  <c r="L16" i="7946" s="1"/>
  <c r="Q1110" i="7941"/>
  <c r="K11" i="7946" s="1"/>
  <c r="L11" i="7946" s="1"/>
  <c r="Q1132" i="7941"/>
  <c r="K33" i="7946" s="1"/>
  <c r="L33" i="7946" s="1"/>
  <c r="Q1142" i="7941"/>
  <c r="K43" i="7946" s="1"/>
  <c r="L43" i="7946" s="1"/>
  <c r="Q1118" i="7941"/>
  <c r="K19" i="7946" s="1"/>
  <c r="L19" i="7946" s="1"/>
  <c r="Q1053" i="7941"/>
  <c r="Q1153" i="7941"/>
  <c r="K54" i="7946" s="1"/>
  <c r="L54" i="7946" s="1"/>
  <c r="Q1128" i="7941"/>
  <c r="K29" i="7946" s="1"/>
  <c r="L29" i="7946" s="1"/>
  <c r="Q1144" i="7941"/>
  <c r="K45" i="7946" s="1"/>
  <c r="L45" i="7946" s="1"/>
  <c r="Q1112" i="7941"/>
  <c r="K13" i="7946" s="1"/>
  <c r="L13" i="7946" s="1"/>
  <c r="Q1107" i="7941"/>
  <c r="K8" i="7946" s="1"/>
  <c r="L8" i="7946" s="1"/>
  <c r="Q1119" i="7941"/>
  <c r="K20" i="7946" s="1"/>
  <c r="L20" i="7946" s="1"/>
  <c r="K7" i="7946" l="1"/>
  <c r="Q1105" i="7941"/>
  <c r="L7" i="7946" l="1"/>
  <c r="K5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WARL or tracked depreciation in the TAB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<sst xmlns="http://schemas.openxmlformats.org/spreadsheetml/2006/main" count="2835" uniqueCount="1088">
  <si>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</si>
  <si>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</si>
  <si>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</si>
  <si>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</si>
  <si>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</si>
  <si>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</si>
  <si>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</si>
  <si>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</si>
  <si>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</si>
  <si>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</si>
  <si>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</si>
  <si>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</si>
  <si>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</si>
  <si>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</si>
  <si>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</si>
  <si>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</si>
  <si>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</si>
  <si>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</si>
  <si>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</si>
  <si>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</si>
  <si>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</si>
  <si>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</si>
  <si>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</si>
  <si>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</si>
  <si>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</si>
  <si>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</si>
  <si>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</si>
  <si>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</si>
  <si>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</si>
  <si>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</si>
  <si>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</si>
  <si>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</si>
  <si>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</si>
  <si>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</si>
  <si>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</si>
  <si>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</si>
  <si>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</si>
  <si>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</si>
  <si>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</si>
  <si>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</si>
  <si>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</si>
  <si>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</si>
  <si>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</si>
  <si>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</si>
  <si>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</si>
  <si>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</si>
  <si>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</si>
  <si>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</si>
  <si>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</si>
  <si>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</si>
  <si>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</si>
  <si>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</si>
  <si>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</si>
  <si>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</si>
  <si>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</si>
  <si>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</si>
  <si>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</si>
  <si>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</si>
  <si>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</si>
  <si>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</si>
  <si>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</si>
  <si>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</si>
  <si>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</si>
  <si>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</si>
  <si>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</si>
  <si>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</si>
  <si>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</si>
  <si>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</si>
  <si>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</si>
  <si>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</si>
  <si>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</si>
  <si>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</si>
  <si>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</si>
  <si>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</si>
  <si>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</si>
  <si>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</si>
  <si>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</si>
  <si>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</si>
  <si>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</si>
  <si>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</si>
  <si>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</si>
  <si>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</si>
  <si>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</si>
  <si>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</si>
  <si>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</si>
  <si>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</si>
  <si>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</si>
  <si>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</si>
  <si>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</si>
  <si>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</si>
  <si>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</si>
  <si>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</si>
  <si>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</si>
  <si>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</si>
  <si>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</si>
  <si>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</si>
  <si>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</si>
  <si>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</si>
  <si>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</si>
  <si>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</si>
  <si>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</si>
  <si>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</si>
  <si>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</si>
  <si>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</si>
  <si>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</si>
  <si>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</si>
  <si>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</si>
  <si>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</si>
  <si>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</si>
  <si>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</si>
  <si>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</si>
  <si>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</si>
  <si>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</si>
  <si>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</si>
  <si>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</si>
  <si>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</si>
  <si>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</si>
  <si>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</si>
  <si>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</si>
  <si>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</si>
  <si>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</si>
  <si>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</si>
  <si>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</si>
  <si>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</si>
  <si>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</si>
  <si>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</si>
  <si>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</si>
  <si>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</si>
  <si>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</si>
  <si>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</si>
  <si>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</si>
  <si>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</si>
  <si>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</si>
  <si>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</si>
  <si>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</si>
  <si>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</si>
  <si>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</si>
  <si>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</si>
  <si>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</si>
  <si>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</si>
  <si>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</si>
  <si>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</si>
  <si>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</si>
  <si>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</si>
  <si>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</si>
  <si>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</si>
  <si>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</si>
  <si>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</si>
  <si>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</si>
  <si>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</si>
  <si>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</si>
  <si>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</si>
  <si>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</si>
  <si>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</si>
  <si>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</si>
  <si>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</si>
  <si>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</si>
  <si>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</si>
  <si>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</si>
  <si>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</si>
  <si>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</si>
  <si>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</si>
  <si>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</si>
  <si>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</si>
  <si>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</si>
  <si>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</si>
  <si>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</si>
  <si>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</si>
  <si>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</si>
  <si>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</si>
  <si>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</si>
  <si>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</si>
  <si>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</si>
  <si>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</si>
  <si>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</si>
  <si>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</si>
  <si>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</si>
  <si>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</si>
  <si>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</si>
  <si>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</si>
  <si>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</si>
  <si>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</si>
  <si>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</si>
  <si>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</si>
  <si>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</si>
  <si>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</si>
  <si>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</si>
  <si>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</si>
  <si>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</si>
  <si>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</si>
  <si>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</si>
  <si>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</si>
  <si>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</si>
  <si>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</si>
  <si>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</si>
  <si>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</si>
  <si>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</si>
  <si>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</si>
  <si>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</si>
  <si>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</si>
  <si>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</si>
  <si>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</si>
  <si>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</si>
  <si>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</si>
  <si>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</si>
  <si>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</si>
  <si>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</si>
  <si>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</si>
  <si>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</si>
  <si>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</si>
  <si>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</si>
  <si>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</si>
  <si>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</si>
  <si>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</si>
  <si>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</si>
  <si>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</si>
  <si>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</si>
  <si>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</si>
  <si>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</si>
  <si>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</si>
  <si>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</si>
  <si>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</si>
  <si>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</si>
  <si>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</si>
  <si>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</si>
  <si>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</si>
  <si>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</si>
  <si>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</si>
  <si>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</si>
  <si>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</si>
  <si>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</si>
  <si>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</si>
  <si>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</si>
  <si>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</si>
  <si>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</si>
  <si>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</si>
  <si>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</si>
  <si>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</si>
  <si>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</si>
  <si>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</si>
  <si>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</si>
  <si>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</si>
  <si>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</si>
  <si>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</si>
  <si>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</si>
  <si>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</si>
  <si>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</si>
  <si>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</si>
  <si>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</si>
  <si>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</si>
  <si>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</si>
  <si>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</si>
  <si>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</si>
  <si>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</si>
  <si>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</si>
  <si>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</si>
  <si>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</si>
  <si>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</si>
  <si>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</si>
  <si>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</si>
  <si>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</si>
  <si>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</si>
  <si>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</si>
  <si>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</si>
  <si>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</si>
  <si>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</si>
  <si>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</si>
  <si>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</si>
  <si>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</si>
  <si>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</si>
  <si>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</si>
  <si>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</si>
  <si>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</si>
  <si>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</si>
  <si>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</si>
  <si>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</si>
  <si>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</si>
  <si>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</si>
  <si>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</si>
  <si>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</si>
  <si>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</si>
  <si>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</si>
  <si>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</si>
  <si>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</si>
  <si>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</si>
  <si>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</si>
  <si>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</si>
  <si>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</si>
  <si>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</si>
  <si>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</si>
  <si>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</si>
  <si>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</si>
  <si>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</si>
  <si>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</si>
  <si>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</si>
  <si>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</si>
  <si>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</si>
  <si>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</si>
  <si>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</si>
  <si>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</si>
  <si>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</si>
  <si>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</si>
  <si>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</si>
  <si>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</si>
  <si>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</si>
  <si>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</si>
  <si>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</si>
  <si>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</si>
  <si>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</si>
  <si>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</si>
  <si>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</si>
  <si>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</si>
  <si>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</si>
  <si>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</si>
  <si>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</si>
  <si>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</si>
  <si>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</si>
  <si>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</si>
  <si>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</si>
  <si>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</si>
  <si>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</si>
  <si>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</si>
  <si>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</si>
  <si>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</si>
  <si>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</si>
  <si>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</si>
  <si>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</si>
  <si>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</si>
  <si>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</si>
  <si>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</si>
  <si>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</si>
  <si>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</si>
  <si>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</si>
  <si>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</si>
  <si>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</si>
  <si>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</si>
  <si>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</si>
  <si>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</si>
  <si>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</si>
  <si>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</si>
  <si>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</si>
  <si>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</si>
  <si>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</si>
  <si>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</si>
  <si>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</si>
  <si>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</si>
  <si>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</si>
  <si>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</si>
  <si>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</si>
  <si>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</si>
  <si>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</si>
  <si>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</si>
  <si>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</si>
  <si>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</si>
  <si>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</si>
  <si>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</si>
  <si>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</si>
  <si>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</si>
  <si>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</si>
  <si>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</si>
  <si>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</si>
  <si>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</si>
  <si>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</si>
  <si>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</si>
  <si>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</si>
  <si>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</si>
  <si>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</si>
  <si>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</si>
  <si>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</si>
  <si>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</si>
  <si>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</si>
  <si>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</si>
  <si>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</si>
  <si>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</si>
  <si>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</si>
  <si>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</si>
  <si>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</si>
  <si>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</si>
  <si>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</si>
  <si>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</si>
  <si>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</si>
  <si>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</si>
  <si>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</si>
  <si>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</si>
  <si>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</si>
  <si>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</si>
  <si>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</si>
  <si>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</si>
  <si>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</si>
  <si>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</si>
  <si>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</si>
  <si>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</si>
  <si>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</si>
  <si>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</si>
  <si>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</si>
  <si>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</si>
  <si>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</si>
  <si>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</si>
  <si>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</si>
  <si>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</si>
  <si>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</si>
  <si>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</si>
  <si>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</si>
  <si>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</si>
  <si>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</si>
  <si>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</si>
  <si>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</si>
  <si>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</si>
  <si>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</si>
  <si>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</si>
  <si>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</si>
  <si>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</si>
  <si>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</si>
  <si>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</si>
  <si>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</si>
  <si>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</si>
  <si>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</si>
  <si>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</si>
  <si>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</si>
  <si>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</si>
  <si>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</si>
  <si>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</si>
  <si>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</si>
  <si>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</si>
  <si>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</si>
  <si>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</si>
  <si>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</si>
  <si>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</si>
  <si>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</si>
  <si>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</si>
  <si>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</si>
  <si>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</si>
  <si>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</si>
  <si>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</si>
  <si>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</si>
  <si>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</si>
  <si>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</si>
  <si>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</si>
  <si>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</si>
  <si>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</si>
  <si>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</si>
  <si>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</si>
  <si>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</si>
  <si>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</si>
  <si>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</si>
  <si>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</si>
  <si>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</si>
  <si>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</si>
  <si>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</si>
  <si>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</si>
  <si>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</si>
  <si>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</si>
  <si>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</si>
  <si>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</si>
  <si>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</si>
  <si>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</si>
  <si>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</si>
  <si>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</si>
  <si>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</si>
  <si>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</si>
  <si>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</si>
  <si>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</si>
  <si>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</si>
  <si>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</si>
  <si>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</si>
  <si>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</si>
  <si>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</si>
  <si>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</si>
  <si>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</si>
  <si>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</si>
  <si>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</si>
  <si>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</si>
  <si>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</si>
  <si>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</si>
  <si>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</si>
  <si>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</si>
  <si>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</si>
  <si>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</si>
  <si>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</si>
  <si>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</si>
  <si>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</si>
  <si>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</si>
  <si>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</si>
  <si>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</si>
  <si>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</si>
  <si>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</si>
  <si>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</si>
  <si>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</si>
  <si>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</si>
  <si>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</si>
  <si>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</si>
  <si>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</si>
  <si>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</si>
  <si>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</si>
  <si>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</si>
  <si>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</si>
  <si>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</si>
  <si>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</si>
  <si>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</si>
  <si>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</si>
  <si>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</si>
  <si>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</si>
  <si>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</si>
  <si>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</si>
  <si>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</si>
  <si>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</si>
  <si>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</si>
  <si>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</si>
  <si>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</si>
  <si>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</si>
  <si>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</si>
  <si>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</si>
  <si>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</si>
  <si>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</si>
  <si>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</si>
  <si>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</si>
  <si>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</si>
  <si>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</si>
  <si>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</si>
  <si>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</si>
  <si>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</si>
  <si>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</si>
  <si>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</si>
  <si>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</si>
  <si>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</si>
  <si>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</si>
  <si>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</si>
  <si>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</si>
  <si>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</si>
  <si>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</si>
  <si>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</si>
  <si>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</si>
  <si>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</si>
  <si>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</si>
  <si>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</si>
  <si>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</si>
  <si>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</si>
  <si>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</si>
  <si>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</si>
  <si>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</si>
  <si>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</si>
  <si>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</si>
  <si>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</si>
  <si>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</si>
  <si>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</si>
  <si>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</si>
  <si>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</si>
  <si>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</si>
  <si>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</si>
  <si>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</si>
  <si>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</si>
  <si>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</si>
  <si>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</si>
  <si>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</si>
  <si>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</si>
  <si>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</si>
  <si>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</si>
  <si>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</si>
  <si>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</si>
  <si>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</si>
  <si>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</si>
  <si>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</si>
  <si>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</si>
  <si>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</si>
  <si>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</si>
  <si>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</si>
  <si>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</si>
  <si>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</si>
  <si>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</si>
  <si>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</si>
  <si>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</si>
  <si>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</si>
  <si>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</si>
  <si>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</si>
  <si>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</si>
  <si>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</si>
  <si>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</si>
  <si>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</si>
  <si>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</si>
  <si>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</si>
  <si>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</si>
  <si>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</si>
  <si>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</si>
  <si>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</si>
  <si>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</si>
  <si>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</si>
  <si>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</si>
  <si>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</si>
  <si>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</si>
  <si>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</si>
  <si>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</si>
  <si>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</si>
  <si>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</si>
  <si>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</si>
  <si>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</si>
  <si>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</si>
  <si>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</si>
  <si>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</si>
  <si>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</si>
  <si>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</si>
  <si>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</si>
  <si>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</si>
  <si>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</si>
  <si>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</si>
  <si>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</si>
  <si>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</si>
  <si>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</si>
  <si>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</si>
  <si>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</si>
  <si>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</si>
  <si>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</si>
  <si>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</si>
  <si>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</si>
  <si>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</si>
  <si>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</si>
  <si>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</si>
  <si>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</si>
  <si>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</si>
  <si>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</si>
  <si>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</si>
  <si>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</si>
  <si>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</si>
  <si>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</si>
  <si>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</si>
  <si>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</si>
  <si>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</si>
  <si>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</si>
  <si>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</si>
  <si>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</si>
  <si>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</si>
  <si>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</si>
  <si>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</si>
  <si>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</si>
  <si>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</si>
  <si>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</si>
  <si>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</si>
  <si>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</si>
  <si>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</si>
  <si>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</si>
  <si>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</si>
  <si>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</si>
  <si>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</si>
  <si>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</si>
  <si>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</si>
  <si>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</si>
  <si>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</si>
  <si>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</si>
  <si>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</si>
  <si>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</si>
  <si>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</si>
  <si>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</si>
  <si>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</si>
  <si>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</si>
  <si>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</si>
  <si>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</si>
  <si>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</si>
  <si>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</si>
  <si>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</si>
  <si>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</si>
  <si>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</si>
  <si>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</si>
  <si>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</si>
  <si>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</si>
  <si>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</si>
  <si>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</si>
  <si>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</si>
  <si>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</si>
  <si>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</si>
  <si>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</si>
  <si>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</si>
  <si>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</si>
  <si>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</si>
  <si>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</si>
  <si>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</si>
  <si>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</si>
  <si>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</si>
  <si>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</si>
  <si>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</si>
  <si>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</si>
  <si>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</si>
  <si>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</si>
  <si>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</si>
  <si>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</si>
  <si>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</si>
  <si>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</si>
  <si>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</si>
  <si>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</si>
  <si>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</si>
  <si>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</si>
  <si>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</si>
  <si>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</si>
  <si>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</si>
  <si>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</si>
  <si>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</si>
  <si>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</si>
  <si>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</si>
  <si>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</si>
  <si>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</si>
  <si>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</si>
  <si>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</si>
  <si>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</si>
  <si>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</si>
  <si>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</si>
  <si>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</si>
  <si>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</si>
  <si>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</si>
  <si>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</si>
  <si>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</si>
  <si>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</si>
  <si>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</si>
  <si>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</si>
  <si>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</si>
  <si>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</si>
  <si>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</si>
  <si>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</si>
  <si>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</si>
  <si>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</si>
  <si>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</si>
  <si>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</si>
  <si>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</si>
  <si>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</si>
  <si>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</si>
  <si>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</si>
  <si>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</si>
  <si>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</si>
  <si>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</si>
  <si>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</si>
  <si>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</si>
  <si>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</si>
  <si>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</si>
  <si>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</si>
  <si>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</si>
  <si>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</si>
  <si>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</si>
  <si>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</si>
  <si>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</si>
  <si>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</si>
  <si>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</si>
  <si>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</si>
  <si>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</si>
  <si>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</si>
  <si>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</si>
  <si>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</si>
  <si>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</si>
  <si>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</si>
  <si>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</si>
  <si>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</si>
  <si>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</si>
  <si>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</si>
  <si>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</si>
  <si>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</si>
  <si>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</si>
  <si>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</si>
  <si>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</si>
  <si>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</si>
  <si>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</si>
  <si>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</si>
  <si>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</si>
  <si>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</si>
  <si>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</si>
  <si>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</si>
  <si>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</si>
  <si>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</si>
  <si>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</si>
  <si>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</si>
  <si>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</si>
  <si>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</si>
  <si>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</si>
  <si>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</si>
  <si>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</si>
  <si>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</si>
  <si>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</si>
  <si>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</si>
  <si>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</si>
  <si>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</si>
  <si>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</si>
  <si>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</si>
  <si>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</si>
  <si>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</si>
  <si>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</si>
  <si>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</si>
  <si>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</si>
  <si>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</si>
  <si>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</si>
  <si>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</si>
  <si>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</si>
  <si>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</si>
  <si>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</si>
  <si>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</si>
  <si>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</si>
  <si>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</si>
  <si>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</si>
  <si>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</si>
  <si>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</si>
  <si>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</si>
  <si>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</si>
  <si>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</si>
  <si>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</si>
  <si>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</si>
  <si>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</si>
  <si>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</si>
  <si>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</si>
  <si>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</si>
  <si>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</si>
  <si>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</si>
  <si>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</si>
  <si>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</si>
  <si>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</si>
  <si>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</si>
  <si>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</si>
  <si>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</si>
  <si>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</si>
  <si>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</si>
  <si>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</si>
  <si>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</si>
  <si>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</si>
  <si>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</si>
  <si>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</si>
  <si>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</si>
  <si>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</si>
  <si>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</si>
  <si>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</si>
  <si>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</si>
  <si>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</si>
  <si>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</si>
  <si>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</si>
  <si>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</si>
  <si>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</si>
  <si>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</si>
  <si>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</si>
  <si>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</si>
  <si>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</si>
  <si>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</si>
  <si>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</si>
  <si>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</si>
  <si>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</si>
  <si>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</si>
  <si>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</si>
  <si>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</si>
  <si>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</si>
  <si>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</si>
  <si>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</si>
  <si>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</si>
  <si>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</si>
  <si>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</si>
  <si>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</si>
  <si>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</si>
  <si>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</si>
  <si>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</si>
  <si>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</si>
  <si>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</si>
  <si>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</si>
  <si>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</si>
  <si>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</si>
  <si>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</si>
  <si>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</si>
  <si>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</si>
  <si>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</si>
  <si>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</si>
  <si>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</si>
  <si>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</si>
  <si>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</si>
  <si>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</si>
  <si>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</si>
  <si>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</si>
  <si>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</si>
  <si>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</si>
  <si>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</si>
  <si>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</si>
  <si>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</si>
  <si>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</si>
  <si>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</si>
  <si>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</si>
  <si>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</si>
  <si>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</si>
  <si>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</si>
  <si>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</si>
  <si>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</si>
  <si>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</si>
  <si>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</si>
  <si>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</si>
  <si>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</si>
  <si>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</si>
  <si>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</si>
  <si>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</si>
  <si>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</si>
  <si>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</si>
  <si>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</si>
  <si>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</si>
  <si>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</si>
  <si>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</si>
  <si>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</si>
  <si>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</si>
  <si>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</si>
  <si>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</si>
  <si>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</si>
  <si>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</si>
  <si>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</si>
  <si>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</si>
  <si>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</si>
  <si>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</si>
  <si>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</si>
  <si>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</si>
  <si>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</si>
  <si>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</si>
  <si>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</si>
  <si>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</si>
  <si>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</si>
  <si>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</si>
  <si>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</si>
  <si>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</si>
  <si>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</si>
  <si>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</si>
  <si>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</si>
  <si>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</si>
  <si>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</si>
  <si>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</si>
  <si>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</si>
  <si>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</si>
  <si>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</si>
  <si>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</si>
  <si>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</si>
  <si>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</si>
  <si>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</si>
  <si>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</si>
  <si>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</si>
  <si>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</si>
  <si>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</si>
  <si>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</si>
  <si>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</si>
  <si>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</si>
  <si>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</si>
  <si>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</si>
  <si>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</si>
  <si>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</si>
  <si>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</si>
  <si>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</si>
  <si>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</si>
  <si>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</si>
  <si>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</si>
  <si>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</si>
  <si>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</si>
  <si>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</si>
  <si>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</si>
  <si>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</si>
  <si>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</si>
  <si>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</si>
  <si>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</si>
  <si>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</si>
  <si>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</si>
  <si>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</si>
  <si>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</si>
  <si>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</si>
  <si>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</si>
  <si>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</si>
  <si>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</si>
  <si>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</si>
  <si>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</si>
  <si>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</si>
  <si>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</si>
  <si>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</si>
  <si>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</si>
  <si>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</si>
  <si>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</si>
  <si>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</si>
  <si>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</si>
  <si>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</si>
  <si>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</si>
  <si>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</si>
  <si>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</si>
  <si>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</si>
  <si>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</si>
  <si>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</si>
  <si>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</si>
  <si>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</si>
  <si>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</si>
  <si>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</si>
  <si>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</si>
  <si>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</si>
  <si>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</si>
  <si>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</si>
  <si>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</si>
  <si>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</si>
  <si>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</si>
  <si>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</si>
  <si>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</si>
  <si>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</si>
  <si>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</si>
  <si>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</si>
  <si>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</si>
  <si>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</si>
  <si>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</si>
  <si>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</si>
  <si>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</si>
  <si>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</si>
  <si>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</si>
  <si>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</si>
  <si>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</si>
  <si>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</si>
  <si>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</si>
  <si>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</si>
  <si>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</si>
  <si>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</si>
  <si>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</si>
  <si>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</si>
  <si>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</si>
  <si>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</si>
  <si>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</si>
  <si>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</si>
  <si>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</si>
  <si>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</si>
  <si>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</si>
  <si>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</si>
  <si>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</si>
  <si>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</si>
  <si>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</si>
  <si>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</si>
  <si>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</si>
  <si>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</si>
  <si>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</si>
  <si>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</si>
  <si>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</si>
  <si>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</si>
  <si>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</si>
  <si>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</si>
  <si>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</si>
  <si>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</si>
  <si>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</si>
  <si>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</si>
  <si>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</si>
  <si>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</si>
  <si>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</si>
  <si>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</si>
  <si>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</si>
  <si>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</si>
  <si>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</si>
  <si>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</si>
  <si>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</si>
  <si>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</si>
  <si>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</si>
  <si>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</si>
  <si>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</si>
  <si>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</si>
  <si>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</si>
  <si>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</si>
  <si>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</si>
  <si>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</si>
  <si>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</si>
  <si>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</si>
  <si>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</si>
  <si>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</si>
  <si>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</si>
  <si>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</si>
  <si>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</si>
  <si>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</si>
  <si>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</si>
  <si>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</si>
  <si>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</si>
  <si>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</si>
  <si>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</si>
  <si>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</si>
  <si>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</si>
  <si>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</si>
  <si>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</si>
  <si>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</si>
  <si>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</si>
  <si>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</si>
  <si>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</si>
  <si>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</si>
  <si>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</si>
  <si>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</si>
  <si>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</si>
  <si>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</si>
  <si>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</si>
  <si>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</si>
  <si>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</si>
  <si>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</si>
  <si>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</si>
  <si>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</si>
  <si>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</si>
  <si>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</si>
  <si>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</si>
  <si>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CPI Rate (Weighted Average of the Eight Capital Citites)</t>
  </si>
  <si>
    <t xml:space="preserve">Actual CPI inflation Rate </t>
  </si>
  <si>
    <t>Calculation of CPI Rates:-</t>
  </si>
  <si>
    <t>Carpentaria Gas Pipeline</t>
  </si>
  <si>
    <t>49 080 382 387</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</si>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</sst>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8">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cellStyleXfs>
  <cellXfs count="1513">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200" fontId="6" fillId="9" borderId="0" xfId="1" applyFont="1" applyFill="1" applyBorder="1" applyAlignment="1">
      <alignment horizontal="center" vertical="center"/>
    </xf>
    <xf numFmtId="0" fontId="6" fillId="8" borderId="249" xfId="915" applyFill="1" applyBorder="1"/>
    <xf numFmtId="17" fontId="6" fillId="8" borderId="0" xfId="916" applyNumberFormat="1" applyFill="1"/>
    <xf numFmtId="0" fontId="6" fillId="8" borderId="0" xfId="917" applyFill="1"/>
    <xf numFmtId="0" fontId="0" fillId="8" borderId="0" xfId="0" applyFill="1" applyAlignment="1">
      <alignment horizontal="center"/>
    </xf>
    <xf numFmtId="0" fontId="7" fillId="8" borderId="0" xfId="917" applyFont="1" applyFill="1"/>
    <xf numFmtId="168" fontId="0" fillId="8" borderId="0" xfId="4" applyNumberFormat="1" applyFont="1" applyFill="1" applyBorder="1"/>
    <xf numFmtId="200" fontId="6" fillId="8" borderId="0" xfId="1" applyFon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3" borderId="0" xfId="0" applyNumberFormat="1" applyFont="1" applyFill="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xf numFmtId="0" fontId="6" fillId="9" borderId="0" xfId="5" applyFont="1" applyFill="1" applyAlignment="1" applyProtection="1">
      <alignment horizontal="left"/>
      <protection locked="0"/>
    </xf>
  </cellXfs>
  <cellStyles count="918">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7" xr:uid="{7518AD14-970F-4BEC-ACB7-A2D9B94779DE}"/>
    <cellStyle name="Normal 66" xfId="916" xr:uid="{DCD863CC-31DD-4052-A310-6F05F500D548}"/>
    <cellStyle name="Normal 67" xfId="915" xr:uid="{0580531D-BD72-4A79-AC82-1A8C090E118A}"/>
    <cellStyle name="Normal 7" xfId="195" xr:uid="{00000000-0005-0000-0000-00003D020000}"/>
    <cellStyle name="Normal 7 2" xfId="196" xr:uid="{00000000-0005-0000-0000-00003E020000}"/>
    <cellStyle name="Normal 7 2 2" xfId="480" xr:uid="{00000000-0005-0000-0000-00003F020000}"/>
    <cellStyle name="Normal 7 2 2 2" xfId="481" xr:uid="{00000000-0005-0000-0000-000040020000}"/>
    <cellStyle name="Normal 7 2 2 3" xfId="482" xr:uid="{00000000-0005-0000-0000-000041020000}"/>
    <cellStyle name="Normal 7 2 3" xfId="483" xr:uid="{00000000-0005-0000-0000-000042020000}"/>
    <cellStyle name="Normal 7 2 4" xfId="484" xr:uid="{00000000-0005-0000-0000-000043020000}"/>
    <cellStyle name="Normal 7 3" xfId="723" xr:uid="{00000000-0005-0000-0000-000044020000}"/>
    <cellStyle name="Normal 8" xfId="197" xr:uid="{00000000-0005-0000-0000-000045020000}"/>
    <cellStyle name="Normal 8 2" xfId="485" xr:uid="{00000000-0005-0000-0000-000046020000}"/>
    <cellStyle name="Normal 8 2 2" xfId="486" xr:uid="{00000000-0005-0000-0000-000047020000}"/>
    <cellStyle name="Normal 8 2 3" xfId="487" xr:uid="{00000000-0005-0000-0000-000048020000}"/>
    <cellStyle name="Normal 8 2 3 2" xfId="488" xr:uid="{00000000-0005-0000-0000-000049020000}"/>
    <cellStyle name="Normal 8 2 3 3" xfId="489" xr:uid="{00000000-0005-0000-0000-00004A020000}"/>
    <cellStyle name="Normal 8 2 4" xfId="490" xr:uid="{00000000-0005-0000-0000-00004B020000}"/>
    <cellStyle name="Normal 9" xfId="198" xr:uid="{00000000-0005-0000-0000-00004C020000}"/>
    <cellStyle name="Normal 9 2" xfId="491" xr:uid="{00000000-0005-0000-0000-00004D020000}"/>
    <cellStyle name="Normal_2005 03 27 RAB model" xfId="3" xr:uid="{00000000-0005-0000-0000-00004E020000}"/>
    <cellStyle name="Note 2" xfId="199" xr:uid="{00000000-0005-0000-0000-00004F020000}"/>
    <cellStyle name="Note 2 2" xfId="492" xr:uid="{00000000-0005-0000-0000-000050020000}"/>
    <cellStyle name="Note 2 2 2" xfId="724" xr:uid="{00000000-0005-0000-0000-000051020000}"/>
    <cellStyle name="Note 2 2 2 2" xfId="725" xr:uid="{00000000-0005-0000-0000-000052020000}"/>
    <cellStyle name="Note 2 2 2 3" xfId="726" xr:uid="{00000000-0005-0000-0000-000053020000}"/>
    <cellStyle name="Note 2 2 3" xfId="727" xr:uid="{00000000-0005-0000-0000-000054020000}"/>
    <cellStyle name="Note 2 2 4" xfId="728" xr:uid="{00000000-0005-0000-0000-000055020000}"/>
    <cellStyle name="Note 2 2 5" xfId="729" xr:uid="{00000000-0005-0000-0000-000056020000}"/>
    <cellStyle name="Note 2 3" xfId="493" xr:uid="{00000000-0005-0000-0000-000057020000}"/>
    <cellStyle name="Note 2 3 2" xfId="730" xr:uid="{00000000-0005-0000-0000-000058020000}"/>
    <cellStyle name="Note 2 3 2 2" xfId="731" xr:uid="{00000000-0005-0000-0000-000059020000}"/>
    <cellStyle name="Note 2 3 2 3" xfId="732" xr:uid="{00000000-0005-0000-0000-00005A020000}"/>
    <cellStyle name="Note 2 3 3" xfId="733" xr:uid="{00000000-0005-0000-0000-00005B020000}"/>
    <cellStyle name="Note 2 3 4" xfId="734" xr:uid="{00000000-0005-0000-0000-00005C020000}"/>
    <cellStyle name="Note 2 3 5" xfId="735" xr:uid="{00000000-0005-0000-0000-00005D020000}"/>
    <cellStyle name="Note 2 4" xfId="736" xr:uid="{00000000-0005-0000-0000-00005E020000}"/>
    <cellStyle name="Note 2 4 2" xfId="737" xr:uid="{00000000-0005-0000-0000-00005F020000}"/>
    <cellStyle name="Note 2 4 2 2" xfId="738" xr:uid="{00000000-0005-0000-0000-000060020000}"/>
    <cellStyle name="Note 2 4 2 3" xfId="739" xr:uid="{00000000-0005-0000-0000-000061020000}"/>
    <cellStyle name="Note 2 4 3" xfId="740" xr:uid="{00000000-0005-0000-0000-000062020000}"/>
    <cellStyle name="Note 2 4 4" xfId="741" xr:uid="{00000000-0005-0000-0000-000063020000}"/>
    <cellStyle name="Note 2 5" xfId="742" xr:uid="{00000000-0005-0000-0000-000064020000}"/>
    <cellStyle name="Note 2 5 2" xfId="743" xr:uid="{00000000-0005-0000-0000-000065020000}"/>
    <cellStyle name="Note 2 5 2 2" xfId="744" xr:uid="{00000000-0005-0000-0000-000066020000}"/>
    <cellStyle name="Note 2 5 2 3" xfId="745" xr:uid="{00000000-0005-0000-0000-000067020000}"/>
    <cellStyle name="Note 2 5 3" xfId="746" xr:uid="{00000000-0005-0000-0000-000068020000}"/>
    <cellStyle name="Note 2 5 4" xfId="747" xr:uid="{00000000-0005-0000-0000-000069020000}"/>
    <cellStyle name="Note 2 6" xfId="748" xr:uid="{00000000-0005-0000-0000-00006A020000}"/>
    <cellStyle name="Note 2 6 2" xfId="749" xr:uid="{00000000-0005-0000-0000-00006B020000}"/>
    <cellStyle name="Note 2 6 2 2" xfId="750" xr:uid="{00000000-0005-0000-0000-00006C020000}"/>
    <cellStyle name="Note 2 6 2 3" xfId="751" xr:uid="{00000000-0005-0000-0000-00006D020000}"/>
    <cellStyle name="Note 2 6 3" xfId="752" xr:uid="{00000000-0005-0000-0000-00006E020000}"/>
    <cellStyle name="Note 2 6 4" xfId="753" xr:uid="{00000000-0005-0000-0000-00006F020000}"/>
    <cellStyle name="Note 2 7" xfId="754" xr:uid="{00000000-0005-0000-0000-000070020000}"/>
    <cellStyle name="Note 2 8" xfId="755" xr:uid="{00000000-0005-0000-0000-000071020000}"/>
    <cellStyle name="Note 2 9" xfId="756" xr:uid="{00000000-0005-0000-0000-000072020000}"/>
    <cellStyle name="Note 3" xfId="494" xr:uid="{00000000-0005-0000-0000-000073020000}"/>
    <cellStyle name="Note 3 2" xfId="495" xr:uid="{00000000-0005-0000-0000-000074020000}"/>
    <cellStyle name="Note 3 2 2" xfId="757" xr:uid="{00000000-0005-0000-0000-000075020000}"/>
    <cellStyle name="Note 3 3" xfId="496" xr:uid="{00000000-0005-0000-0000-000076020000}"/>
    <cellStyle name="Note 3 3 2" xfId="758" xr:uid="{00000000-0005-0000-0000-000077020000}"/>
    <cellStyle name="Note 3 4" xfId="759" xr:uid="{00000000-0005-0000-0000-000078020000}"/>
    <cellStyle name="Note 4" xfId="497" xr:uid="{00000000-0005-0000-0000-000079020000}"/>
    <cellStyle name="Note 4 2" xfId="498" xr:uid="{00000000-0005-0000-0000-00007A020000}"/>
    <cellStyle name="Note 4 2 2" xfId="760" xr:uid="{00000000-0005-0000-0000-00007B020000}"/>
    <cellStyle name="Note 4 3" xfId="499" xr:uid="{00000000-0005-0000-0000-00007C020000}"/>
    <cellStyle name="Note 4 3 2" xfId="761" xr:uid="{00000000-0005-0000-0000-00007D020000}"/>
    <cellStyle name="Note 4 4" xfId="762" xr:uid="{00000000-0005-0000-0000-00007E020000}"/>
    <cellStyle name="Output 2" xfId="200" xr:uid="{00000000-0005-0000-0000-00007F020000}"/>
    <cellStyle name="Output 2 10" xfId="763" xr:uid="{00000000-0005-0000-0000-000080020000}"/>
    <cellStyle name="Output 2 11" xfId="764" xr:uid="{00000000-0005-0000-0000-000081020000}"/>
    <cellStyle name="Output 2 12" xfId="765" xr:uid="{00000000-0005-0000-0000-000082020000}"/>
    <cellStyle name="Output 2 2" xfId="500" xr:uid="{00000000-0005-0000-0000-000083020000}"/>
    <cellStyle name="Output 2 2 2" xfId="766" xr:uid="{00000000-0005-0000-0000-000084020000}"/>
    <cellStyle name="Output 2 2 2 2" xfId="767" xr:uid="{00000000-0005-0000-0000-000085020000}"/>
    <cellStyle name="Output 2 2 2 3" xfId="768" xr:uid="{00000000-0005-0000-0000-000086020000}"/>
    <cellStyle name="Output 2 2 3" xfId="769" xr:uid="{00000000-0005-0000-0000-000087020000}"/>
    <cellStyle name="Output 2 2 3 2" xfId="770" xr:uid="{00000000-0005-0000-0000-000088020000}"/>
    <cellStyle name="Output 2 2 3 3" xfId="771" xr:uid="{00000000-0005-0000-0000-000089020000}"/>
    <cellStyle name="Output 2 2 4" xfId="772" xr:uid="{00000000-0005-0000-0000-00008A020000}"/>
    <cellStyle name="Output 2 2 5" xfId="773" xr:uid="{00000000-0005-0000-0000-00008B020000}"/>
    <cellStyle name="Output 2 2 6" xfId="774" xr:uid="{00000000-0005-0000-0000-00008C020000}"/>
    <cellStyle name="Output 2 3" xfId="501" xr:uid="{00000000-0005-0000-0000-00008D020000}"/>
    <cellStyle name="Output 2 3 2" xfId="775" xr:uid="{00000000-0005-0000-0000-00008E020000}"/>
    <cellStyle name="Output 2 3 2 2" xfId="776" xr:uid="{00000000-0005-0000-0000-00008F020000}"/>
    <cellStyle name="Output 2 3 2 3" xfId="777" xr:uid="{00000000-0005-0000-0000-000090020000}"/>
    <cellStyle name="Output 2 3 3" xfId="778" xr:uid="{00000000-0005-0000-0000-000091020000}"/>
    <cellStyle name="Output 2 3 3 2" xfId="779" xr:uid="{00000000-0005-0000-0000-000092020000}"/>
    <cellStyle name="Output 2 3 3 3" xfId="780" xr:uid="{00000000-0005-0000-0000-000093020000}"/>
    <cellStyle name="Output 2 3 4" xfId="781" xr:uid="{00000000-0005-0000-0000-000094020000}"/>
    <cellStyle name="Output 2 3 5" xfId="782" xr:uid="{00000000-0005-0000-0000-000095020000}"/>
    <cellStyle name="Output 2 3 6" xfId="783" xr:uid="{00000000-0005-0000-0000-000096020000}"/>
    <cellStyle name="Output 2 4" xfId="784" xr:uid="{00000000-0005-0000-0000-000097020000}"/>
    <cellStyle name="Output 2 4 2" xfId="785" xr:uid="{00000000-0005-0000-0000-000098020000}"/>
    <cellStyle name="Output 2 4 2 2" xfId="786" xr:uid="{00000000-0005-0000-0000-000099020000}"/>
    <cellStyle name="Output 2 4 2 3" xfId="787" xr:uid="{00000000-0005-0000-0000-00009A020000}"/>
    <cellStyle name="Output 2 4 3" xfId="788" xr:uid="{00000000-0005-0000-0000-00009B020000}"/>
    <cellStyle name="Output 2 4 3 2" xfId="789" xr:uid="{00000000-0005-0000-0000-00009C020000}"/>
    <cellStyle name="Output 2 4 3 3" xfId="790" xr:uid="{00000000-0005-0000-0000-00009D020000}"/>
    <cellStyle name="Output 2 4 4" xfId="791" xr:uid="{00000000-0005-0000-0000-00009E020000}"/>
    <cellStyle name="Output 2 4 5" xfId="792" xr:uid="{00000000-0005-0000-0000-00009F020000}"/>
    <cellStyle name="Output 2 5" xfId="793" xr:uid="{00000000-0005-0000-0000-0000A0020000}"/>
    <cellStyle name="Output 2 5 2" xfId="794" xr:uid="{00000000-0005-0000-0000-0000A1020000}"/>
    <cellStyle name="Output 2 5 2 2" xfId="795" xr:uid="{00000000-0005-0000-0000-0000A2020000}"/>
    <cellStyle name="Output 2 5 2 3" xfId="796" xr:uid="{00000000-0005-0000-0000-0000A3020000}"/>
    <cellStyle name="Output 2 5 3" xfId="797" xr:uid="{00000000-0005-0000-0000-0000A4020000}"/>
    <cellStyle name="Output 2 5 3 2" xfId="798" xr:uid="{00000000-0005-0000-0000-0000A5020000}"/>
    <cellStyle name="Output 2 5 3 3" xfId="799" xr:uid="{00000000-0005-0000-0000-0000A6020000}"/>
    <cellStyle name="Output 2 5 4" xfId="800" xr:uid="{00000000-0005-0000-0000-0000A7020000}"/>
    <cellStyle name="Output 2 5 5" xfId="801" xr:uid="{00000000-0005-0000-0000-0000A8020000}"/>
    <cellStyle name="Output 2 6" xfId="802" xr:uid="{00000000-0005-0000-0000-0000A9020000}"/>
    <cellStyle name="Output 2 6 2" xfId="803" xr:uid="{00000000-0005-0000-0000-0000AA020000}"/>
    <cellStyle name="Output 2 6 2 2" xfId="804" xr:uid="{00000000-0005-0000-0000-0000AB020000}"/>
    <cellStyle name="Output 2 6 2 3" xfId="805" xr:uid="{00000000-0005-0000-0000-0000AC020000}"/>
    <cellStyle name="Output 2 6 3" xfId="806" xr:uid="{00000000-0005-0000-0000-0000AD020000}"/>
    <cellStyle name="Output 2 6 3 2" xfId="807" xr:uid="{00000000-0005-0000-0000-0000AE020000}"/>
    <cellStyle name="Output 2 6 3 3" xfId="808" xr:uid="{00000000-0005-0000-0000-0000AF020000}"/>
    <cellStyle name="Output 2 6 4" xfId="809" xr:uid="{00000000-0005-0000-0000-0000B0020000}"/>
    <cellStyle name="Output 2 6 5" xfId="810" xr:uid="{00000000-0005-0000-0000-0000B1020000}"/>
    <cellStyle name="Output 2 7" xfId="811" xr:uid="{00000000-0005-0000-0000-0000B2020000}"/>
    <cellStyle name="Output 2 7 2" xfId="812" xr:uid="{00000000-0005-0000-0000-0000B3020000}"/>
    <cellStyle name="Output 2 7 2 2" xfId="813" xr:uid="{00000000-0005-0000-0000-0000B4020000}"/>
    <cellStyle name="Output 2 7 2 3" xfId="814" xr:uid="{00000000-0005-0000-0000-0000B5020000}"/>
    <cellStyle name="Output 2 7 3" xfId="815" xr:uid="{00000000-0005-0000-0000-0000B6020000}"/>
    <cellStyle name="Output 2 7 3 2" xfId="816" xr:uid="{00000000-0005-0000-0000-0000B7020000}"/>
    <cellStyle name="Output 2 7 3 3" xfId="817" xr:uid="{00000000-0005-0000-0000-0000B8020000}"/>
    <cellStyle name="Output 2 7 4" xfId="818" xr:uid="{00000000-0005-0000-0000-0000B9020000}"/>
    <cellStyle name="Output 2 7 5" xfId="819" xr:uid="{00000000-0005-0000-0000-0000BA020000}"/>
    <cellStyle name="Output 2 8" xfId="820" xr:uid="{00000000-0005-0000-0000-0000BB020000}"/>
    <cellStyle name="Output 2 8 2" xfId="821" xr:uid="{00000000-0005-0000-0000-0000BC020000}"/>
    <cellStyle name="Output 2 8 3" xfId="822" xr:uid="{00000000-0005-0000-0000-0000BD020000}"/>
    <cellStyle name="Output 2 9" xfId="823" xr:uid="{00000000-0005-0000-0000-0000BE020000}"/>
    <cellStyle name="Output 2 9 2" xfId="824" xr:uid="{00000000-0005-0000-0000-0000BF020000}"/>
    <cellStyle name="Output 2 9 3" xfId="825" xr:uid="{00000000-0005-0000-0000-0000C0020000}"/>
    <cellStyle name="Percent" xfId="4" builtinId="5"/>
    <cellStyle name="Percent [2]" xfId="201" xr:uid="{00000000-0005-0000-0000-0000C2020000}"/>
    <cellStyle name="Percent [2] 2" xfId="202" xr:uid="{00000000-0005-0000-0000-0000C3020000}"/>
    <cellStyle name="Percent [2]_29(d) - Gas extensions -tariffs" xfId="203" xr:uid="{00000000-0005-0000-0000-0000C4020000}"/>
    <cellStyle name="Percent 10" xfId="826" xr:uid="{00000000-0005-0000-0000-0000C5020000}"/>
    <cellStyle name="Percent 11" xfId="827" xr:uid="{00000000-0005-0000-0000-0000C6020000}"/>
    <cellStyle name="Percent 12" xfId="502" xr:uid="{00000000-0005-0000-0000-0000C7020000}"/>
    <cellStyle name="Percent 12 2" xfId="503" xr:uid="{00000000-0005-0000-0000-0000C8020000}"/>
    <cellStyle name="Percent 12 2 2" xfId="504" xr:uid="{00000000-0005-0000-0000-0000C9020000}"/>
    <cellStyle name="Percent 12 3" xfId="505" xr:uid="{00000000-0005-0000-0000-0000CA020000}"/>
    <cellStyle name="Percent 12 4" xfId="506" xr:uid="{00000000-0005-0000-0000-0000CB020000}"/>
    <cellStyle name="Percent 2" xfId="16" xr:uid="{00000000-0005-0000-0000-0000CC020000}"/>
    <cellStyle name="Percent 2 2" xfId="204" xr:uid="{00000000-0005-0000-0000-0000CD020000}"/>
    <cellStyle name="Percent 2 2 2" xfId="507" xr:uid="{00000000-0005-0000-0000-0000CE020000}"/>
    <cellStyle name="Percent 2 2 2 2" xfId="508" xr:uid="{00000000-0005-0000-0000-0000CF020000}"/>
    <cellStyle name="Percent 2 2 2 2 2" xfId="509" xr:uid="{00000000-0005-0000-0000-0000D0020000}"/>
    <cellStyle name="Percent 2 2 2 2 3" xfId="510" xr:uid="{00000000-0005-0000-0000-0000D1020000}"/>
    <cellStyle name="Percent 2 2 2 3" xfId="511" xr:uid="{00000000-0005-0000-0000-0000D2020000}"/>
    <cellStyle name="Percent 2 2 2 4" xfId="512" xr:uid="{00000000-0005-0000-0000-0000D3020000}"/>
    <cellStyle name="Percent 2 2 3" xfId="513" xr:uid="{00000000-0005-0000-0000-0000D4020000}"/>
    <cellStyle name="Percent 2 2 3 2" xfId="514" xr:uid="{00000000-0005-0000-0000-0000D5020000}"/>
    <cellStyle name="Percent 2 2 3 2 2" xfId="515" xr:uid="{00000000-0005-0000-0000-0000D6020000}"/>
    <cellStyle name="Percent 2 2 3 2 3" xfId="516" xr:uid="{00000000-0005-0000-0000-0000D7020000}"/>
    <cellStyle name="Percent 2 2 3 3" xfId="517" xr:uid="{00000000-0005-0000-0000-0000D8020000}"/>
    <cellStyle name="Percent 2 2 3 4" xfId="518" xr:uid="{00000000-0005-0000-0000-0000D9020000}"/>
    <cellStyle name="Percent 2 3" xfId="519" xr:uid="{00000000-0005-0000-0000-0000DA020000}"/>
    <cellStyle name="Percent 2 3 2" xfId="520" xr:uid="{00000000-0005-0000-0000-0000DB020000}"/>
    <cellStyle name="Percent 2 3 2 2" xfId="521" xr:uid="{00000000-0005-0000-0000-0000DC020000}"/>
    <cellStyle name="Percent 2 3 2 3" xfId="522" xr:uid="{00000000-0005-0000-0000-0000DD020000}"/>
    <cellStyle name="Percent 2 3 3" xfId="523" xr:uid="{00000000-0005-0000-0000-0000DE020000}"/>
    <cellStyle name="Percent 2 3 4" xfId="524" xr:uid="{00000000-0005-0000-0000-0000DF020000}"/>
    <cellStyle name="Percent 2 4" xfId="525" xr:uid="{00000000-0005-0000-0000-0000E0020000}"/>
    <cellStyle name="Percent 2 4 2" xfId="526" xr:uid="{00000000-0005-0000-0000-0000E1020000}"/>
    <cellStyle name="Percent 2 4 2 2" xfId="527" xr:uid="{00000000-0005-0000-0000-0000E2020000}"/>
    <cellStyle name="Percent 2 4 2 3" xfId="528" xr:uid="{00000000-0005-0000-0000-0000E3020000}"/>
    <cellStyle name="Percent 2 4 3" xfId="529" xr:uid="{00000000-0005-0000-0000-0000E4020000}"/>
    <cellStyle name="Percent 2 4 4" xfId="530" xr:uid="{00000000-0005-0000-0000-0000E5020000}"/>
    <cellStyle name="Percent 3" xfId="205" xr:uid="{00000000-0005-0000-0000-0000E6020000}"/>
    <cellStyle name="Percent 3 2" xfId="206" xr:uid="{00000000-0005-0000-0000-0000E7020000}"/>
    <cellStyle name="Percent 3 3" xfId="828" xr:uid="{00000000-0005-0000-0000-0000E8020000}"/>
    <cellStyle name="Percent 3 4" xfId="531" xr:uid="{00000000-0005-0000-0000-0000E9020000}"/>
    <cellStyle name="Percent 3 4 2" xfId="532" xr:uid="{00000000-0005-0000-0000-0000EA020000}"/>
    <cellStyle name="Percent 3 4 3" xfId="533" xr:uid="{00000000-0005-0000-0000-0000EB020000}"/>
    <cellStyle name="Percent 4" xfId="207" xr:uid="{00000000-0005-0000-0000-0000EC020000}"/>
    <cellStyle name="Percent 4 2" xfId="829" xr:uid="{00000000-0005-0000-0000-0000ED020000}"/>
    <cellStyle name="Percent 5" xfId="534" xr:uid="{00000000-0005-0000-0000-0000EE020000}"/>
    <cellStyle name="Percent 5 2" xfId="535" xr:uid="{00000000-0005-0000-0000-0000EF020000}"/>
    <cellStyle name="Percent 5 3" xfId="536" xr:uid="{00000000-0005-0000-0000-0000F0020000}"/>
    <cellStyle name="Percent 6" xfId="537" xr:uid="{00000000-0005-0000-0000-0000F1020000}"/>
    <cellStyle name="Percent 7" xfId="208" xr:uid="{00000000-0005-0000-0000-0000F2020000}"/>
    <cellStyle name="Percent 8" xfId="830" xr:uid="{00000000-0005-0000-0000-0000F3020000}"/>
    <cellStyle name="Percent 9" xfId="831" xr:uid="{00000000-0005-0000-0000-0000F4020000}"/>
    <cellStyle name="Percentage" xfId="209" xr:uid="{00000000-0005-0000-0000-0000F5020000}"/>
    <cellStyle name="Period Title" xfId="210" xr:uid="{00000000-0005-0000-0000-0000F6020000}"/>
    <cellStyle name="PSChar" xfId="211" xr:uid="{00000000-0005-0000-0000-0000F7020000}"/>
    <cellStyle name="PSDate" xfId="212" xr:uid="{00000000-0005-0000-0000-0000F8020000}"/>
    <cellStyle name="PSDec" xfId="213" xr:uid="{00000000-0005-0000-0000-0000F9020000}"/>
    <cellStyle name="PSDetail" xfId="214" xr:uid="{00000000-0005-0000-0000-0000FA020000}"/>
    <cellStyle name="PSDetail 2" xfId="832" xr:uid="{00000000-0005-0000-0000-0000FB020000}"/>
    <cellStyle name="PSHeading" xfId="215" xr:uid="{00000000-0005-0000-0000-0000FC020000}"/>
    <cellStyle name="PSHeading 2" xfId="538" xr:uid="{00000000-0005-0000-0000-0000FD020000}"/>
    <cellStyle name="PSHeading 2 2" xfId="539" xr:uid="{00000000-0005-0000-0000-0000FE020000}"/>
    <cellStyle name="PSHeading 2 2 2" xfId="833" xr:uid="{00000000-0005-0000-0000-0000FF020000}"/>
    <cellStyle name="PSHeading 2 3" xfId="834" xr:uid="{00000000-0005-0000-0000-000000030000}"/>
    <cellStyle name="PSHeading 3" xfId="540" xr:uid="{00000000-0005-0000-0000-000001030000}"/>
    <cellStyle name="PSHeading 3 2" xfId="541" xr:uid="{00000000-0005-0000-0000-000002030000}"/>
    <cellStyle name="PSHeading 3 2 2" xfId="542" xr:uid="{00000000-0005-0000-0000-000003030000}"/>
    <cellStyle name="PSHeading 3 2 2 2" xfId="835" xr:uid="{00000000-0005-0000-0000-000004030000}"/>
    <cellStyle name="PSHeading 3 2 3" xfId="836" xr:uid="{00000000-0005-0000-0000-000005030000}"/>
    <cellStyle name="PSHeading 3 3" xfId="837" xr:uid="{00000000-0005-0000-0000-000006030000}"/>
    <cellStyle name="PSHeading 4" xfId="543" xr:uid="{00000000-0005-0000-0000-000007030000}"/>
    <cellStyle name="PSHeading 4 2" xfId="838" xr:uid="{00000000-0005-0000-0000-000008030000}"/>
    <cellStyle name="PSHeading 5" xfId="839" xr:uid="{00000000-0005-0000-0000-000009030000}"/>
    <cellStyle name="PSInt" xfId="216" xr:uid="{00000000-0005-0000-0000-00000A030000}"/>
    <cellStyle name="PSSpacer" xfId="217" xr:uid="{00000000-0005-0000-0000-00000B030000}"/>
    <cellStyle name="Ratio" xfId="218" xr:uid="{00000000-0005-0000-0000-00000C030000}"/>
    <cellStyle name="Ratio 2" xfId="219" xr:uid="{00000000-0005-0000-0000-00000D030000}"/>
    <cellStyle name="Ratio_29(d) - Gas extensions -tariffs" xfId="220" xr:uid="{00000000-0005-0000-0000-00000E030000}"/>
    <cellStyle name="Right Date" xfId="221" xr:uid="{00000000-0005-0000-0000-00000F030000}"/>
    <cellStyle name="Right Number" xfId="222" xr:uid="{00000000-0005-0000-0000-000010030000}"/>
    <cellStyle name="Right Year" xfId="223" xr:uid="{00000000-0005-0000-0000-000011030000}"/>
    <cellStyle name="RIN_Input$_3dp" xfId="544" xr:uid="{00000000-0005-0000-0000-000012030000}"/>
    <cellStyle name="SAPError" xfId="224" xr:uid="{00000000-0005-0000-0000-000013030000}"/>
    <cellStyle name="SAPError 2" xfId="225" xr:uid="{00000000-0005-0000-0000-000014030000}"/>
    <cellStyle name="SAPKey" xfId="226" xr:uid="{00000000-0005-0000-0000-000015030000}"/>
    <cellStyle name="SAPKey 2" xfId="227" xr:uid="{00000000-0005-0000-0000-000016030000}"/>
    <cellStyle name="SAPLocked" xfId="228" xr:uid="{00000000-0005-0000-0000-000017030000}"/>
    <cellStyle name="SAPLocked 2" xfId="229" xr:uid="{00000000-0005-0000-0000-000018030000}"/>
    <cellStyle name="SAPOutput" xfId="230" xr:uid="{00000000-0005-0000-0000-000019030000}"/>
    <cellStyle name="SAPOutput 2" xfId="231" xr:uid="{00000000-0005-0000-0000-00001A030000}"/>
    <cellStyle name="SAPSpace" xfId="232" xr:uid="{00000000-0005-0000-0000-00001B030000}"/>
    <cellStyle name="SAPSpace 2" xfId="233" xr:uid="{00000000-0005-0000-0000-00001C030000}"/>
    <cellStyle name="SAPText" xfId="234" xr:uid="{00000000-0005-0000-0000-00001D030000}"/>
    <cellStyle name="SAPText 2" xfId="235" xr:uid="{00000000-0005-0000-0000-00001E030000}"/>
    <cellStyle name="SAPUnLocked" xfId="236" xr:uid="{00000000-0005-0000-0000-00001F030000}"/>
    <cellStyle name="SAPUnLocked 2" xfId="237" xr:uid="{00000000-0005-0000-0000-000020030000}"/>
    <cellStyle name="Sheet Title" xfId="238" xr:uid="{00000000-0005-0000-0000-000021030000}"/>
    <cellStyle name="SheetHeader1" xfId="17" xr:uid="{00000000-0005-0000-0000-000022030000}"/>
    <cellStyle name="Style 1" xfId="239" xr:uid="{00000000-0005-0000-0000-000023030000}"/>
    <cellStyle name="Style 1 2" xfId="240" xr:uid="{00000000-0005-0000-0000-000024030000}"/>
    <cellStyle name="Style 1 2 2" xfId="545" xr:uid="{00000000-0005-0000-0000-000025030000}"/>
    <cellStyle name="Style 1 3" xfId="546" xr:uid="{00000000-0005-0000-0000-000026030000}"/>
    <cellStyle name="Style 1 3 2" xfId="547" xr:uid="{00000000-0005-0000-0000-000027030000}"/>
    <cellStyle name="Style 1 3 3" xfId="548" xr:uid="{00000000-0005-0000-0000-000028030000}"/>
    <cellStyle name="Style 1 4" xfId="549" xr:uid="{00000000-0005-0000-0000-000029030000}"/>
    <cellStyle name="Style 1_29(d) - Gas extensions -tariffs" xfId="241" xr:uid="{00000000-0005-0000-0000-00002A030000}"/>
    <cellStyle name="Style2" xfId="242" xr:uid="{00000000-0005-0000-0000-00002B030000}"/>
    <cellStyle name="Style3" xfId="243" xr:uid="{00000000-0005-0000-0000-00002C030000}"/>
    <cellStyle name="Style4" xfId="244" xr:uid="{00000000-0005-0000-0000-00002D030000}"/>
    <cellStyle name="Style4 2" xfId="245" xr:uid="{00000000-0005-0000-0000-00002E030000}"/>
    <cellStyle name="Style4_29(d) - Gas extensions -tariffs" xfId="246" xr:uid="{00000000-0005-0000-0000-00002F030000}"/>
    <cellStyle name="Style5" xfId="247" xr:uid="{00000000-0005-0000-0000-000030030000}"/>
    <cellStyle name="Style5 2" xfId="248" xr:uid="{00000000-0005-0000-0000-000031030000}"/>
    <cellStyle name="Style5_29(d) - Gas extensions -tariffs" xfId="249" xr:uid="{00000000-0005-0000-0000-000032030000}"/>
    <cellStyle name="Table Head Green" xfId="250" xr:uid="{00000000-0005-0000-0000-000033030000}"/>
    <cellStyle name="Table Head Green 2" xfId="840" xr:uid="{00000000-0005-0000-0000-000034030000}"/>
    <cellStyle name="Table Head Green 2 2" xfId="841" xr:uid="{00000000-0005-0000-0000-000035030000}"/>
    <cellStyle name="Table Head Green 3" xfId="842" xr:uid="{00000000-0005-0000-0000-000036030000}"/>
    <cellStyle name="Table Head Green 4" xfId="843" xr:uid="{00000000-0005-0000-0000-000037030000}"/>
    <cellStyle name="Table Head_pldt" xfId="251" xr:uid="{00000000-0005-0000-0000-000038030000}"/>
    <cellStyle name="Table Source" xfId="252" xr:uid="{00000000-0005-0000-0000-000039030000}"/>
    <cellStyle name="Table Units" xfId="253" xr:uid="{00000000-0005-0000-0000-00003A030000}"/>
    <cellStyle name="Table Units 2" xfId="844" xr:uid="{00000000-0005-0000-0000-00003B030000}"/>
    <cellStyle name="TableLvl2" xfId="18" xr:uid="{00000000-0005-0000-0000-00003C030000}"/>
    <cellStyle name="TableLvl3" xfId="19" xr:uid="{00000000-0005-0000-0000-00003D030000}"/>
    <cellStyle name="Text" xfId="254" xr:uid="{00000000-0005-0000-0000-00003E030000}"/>
    <cellStyle name="Text 2" xfId="255" xr:uid="{00000000-0005-0000-0000-00003F030000}"/>
    <cellStyle name="Text 3" xfId="256" xr:uid="{00000000-0005-0000-0000-000040030000}"/>
    <cellStyle name="Text Head 1" xfId="257" xr:uid="{00000000-0005-0000-0000-000041030000}"/>
    <cellStyle name="Text Head 1 2" xfId="845" xr:uid="{00000000-0005-0000-0000-000042030000}"/>
    <cellStyle name="Text Head 2" xfId="258" xr:uid="{00000000-0005-0000-0000-000043030000}"/>
    <cellStyle name="Text Head 2 2" xfId="846" xr:uid="{00000000-0005-0000-0000-000044030000}"/>
    <cellStyle name="Text Indent 2" xfId="259" xr:uid="{00000000-0005-0000-0000-000045030000}"/>
    <cellStyle name="Theirs" xfId="260" xr:uid="{00000000-0005-0000-0000-000046030000}"/>
    <cellStyle name="Title 2" xfId="261" xr:uid="{00000000-0005-0000-0000-000047030000}"/>
    <cellStyle name="TOC 1" xfId="262" xr:uid="{00000000-0005-0000-0000-000048030000}"/>
    <cellStyle name="TOC 2" xfId="263" xr:uid="{00000000-0005-0000-0000-000049030000}"/>
    <cellStyle name="TOC 3" xfId="264" xr:uid="{00000000-0005-0000-0000-00004A030000}"/>
    <cellStyle name="Total 2" xfId="265" xr:uid="{00000000-0005-0000-0000-00004B030000}"/>
    <cellStyle name="Total 2 10" xfId="847" xr:uid="{00000000-0005-0000-0000-00004C030000}"/>
    <cellStyle name="Total 2 11" xfId="848" xr:uid="{00000000-0005-0000-0000-00004D030000}"/>
    <cellStyle name="Total 2 12" xfId="849" xr:uid="{00000000-0005-0000-0000-00004E030000}"/>
    <cellStyle name="Total 2 2" xfId="550" xr:uid="{00000000-0005-0000-0000-00004F030000}"/>
    <cellStyle name="Total 2 2 2" xfId="850" xr:uid="{00000000-0005-0000-0000-000050030000}"/>
    <cellStyle name="Total 2 2 2 2" xfId="851" xr:uid="{00000000-0005-0000-0000-000051030000}"/>
    <cellStyle name="Total 2 2 2 3" xfId="852" xr:uid="{00000000-0005-0000-0000-000052030000}"/>
    <cellStyle name="Total 2 2 3" xfId="853" xr:uid="{00000000-0005-0000-0000-000053030000}"/>
    <cellStyle name="Total 2 2 3 2" xfId="854" xr:uid="{00000000-0005-0000-0000-000054030000}"/>
    <cellStyle name="Total 2 2 3 3" xfId="855" xr:uid="{00000000-0005-0000-0000-000055030000}"/>
    <cellStyle name="Total 2 2 4" xfId="856" xr:uid="{00000000-0005-0000-0000-000056030000}"/>
    <cellStyle name="Total 2 2 5" xfId="857" xr:uid="{00000000-0005-0000-0000-000057030000}"/>
    <cellStyle name="Total 2 2 6" xfId="858" xr:uid="{00000000-0005-0000-0000-000058030000}"/>
    <cellStyle name="Total 2 3" xfId="551" xr:uid="{00000000-0005-0000-0000-000059030000}"/>
    <cellStyle name="Total 2 3 2" xfId="859" xr:uid="{00000000-0005-0000-0000-00005A030000}"/>
    <cellStyle name="Total 2 3 2 2" xfId="860" xr:uid="{00000000-0005-0000-0000-00005B030000}"/>
    <cellStyle name="Total 2 3 2 3" xfId="861" xr:uid="{00000000-0005-0000-0000-00005C030000}"/>
    <cellStyle name="Total 2 3 3" xfId="862" xr:uid="{00000000-0005-0000-0000-00005D030000}"/>
    <cellStyle name="Total 2 3 3 2" xfId="863" xr:uid="{00000000-0005-0000-0000-00005E030000}"/>
    <cellStyle name="Total 2 3 3 3" xfId="864" xr:uid="{00000000-0005-0000-0000-00005F030000}"/>
    <cellStyle name="Total 2 3 4" xfId="865" xr:uid="{00000000-0005-0000-0000-000060030000}"/>
    <cellStyle name="Total 2 3 5" xfId="866" xr:uid="{00000000-0005-0000-0000-000061030000}"/>
    <cellStyle name="Total 2 3 6" xfId="867" xr:uid="{00000000-0005-0000-0000-000062030000}"/>
    <cellStyle name="Total 2 4" xfId="868" xr:uid="{00000000-0005-0000-0000-000063030000}"/>
    <cellStyle name="Total 2 4 2" xfId="869" xr:uid="{00000000-0005-0000-0000-000064030000}"/>
    <cellStyle name="Total 2 4 2 2" xfId="870" xr:uid="{00000000-0005-0000-0000-000065030000}"/>
    <cellStyle name="Total 2 4 2 3" xfId="871" xr:uid="{00000000-0005-0000-0000-000066030000}"/>
    <cellStyle name="Total 2 4 3" xfId="872" xr:uid="{00000000-0005-0000-0000-000067030000}"/>
    <cellStyle name="Total 2 4 3 2" xfId="873" xr:uid="{00000000-0005-0000-0000-000068030000}"/>
    <cellStyle name="Total 2 4 3 3" xfId="874" xr:uid="{00000000-0005-0000-0000-000069030000}"/>
    <cellStyle name="Total 2 4 4" xfId="875" xr:uid="{00000000-0005-0000-0000-00006A030000}"/>
    <cellStyle name="Total 2 4 5" xfId="876" xr:uid="{00000000-0005-0000-0000-00006B030000}"/>
    <cellStyle name="Total 2 5" xfId="877" xr:uid="{00000000-0005-0000-0000-00006C030000}"/>
    <cellStyle name="Total 2 5 2" xfId="878" xr:uid="{00000000-0005-0000-0000-00006D030000}"/>
    <cellStyle name="Total 2 5 2 2" xfId="879" xr:uid="{00000000-0005-0000-0000-00006E030000}"/>
    <cellStyle name="Total 2 5 2 3" xfId="880" xr:uid="{00000000-0005-0000-0000-00006F030000}"/>
    <cellStyle name="Total 2 5 3" xfId="881" xr:uid="{00000000-0005-0000-0000-000070030000}"/>
    <cellStyle name="Total 2 5 3 2" xfId="882" xr:uid="{00000000-0005-0000-0000-000071030000}"/>
    <cellStyle name="Total 2 5 3 3" xfId="883" xr:uid="{00000000-0005-0000-0000-000072030000}"/>
    <cellStyle name="Total 2 5 4" xfId="884" xr:uid="{00000000-0005-0000-0000-000073030000}"/>
    <cellStyle name="Total 2 5 5" xfId="885" xr:uid="{00000000-0005-0000-0000-000074030000}"/>
    <cellStyle name="Total 2 6" xfId="886" xr:uid="{00000000-0005-0000-0000-000075030000}"/>
    <cellStyle name="Total 2 6 2" xfId="887" xr:uid="{00000000-0005-0000-0000-000076030000}"/>
    <cellStyle name="Total 2 6 2 2" xfId="888" xr:uid="{00000000-0005-0000-0000-000077030000}"/>
    <cellStyle name="Total 2 6 2 3" xfId="889" xr:uid="{00000000-0005-0000-0000-000078030000}"/>
    <cellStyle name="Total 2 6 3" xfId="890" xr:uid="{00000000-0005-0000-0000-000079030000}"/>
    <cellStyle name="Total 2 6 3 2" xfId="891" xr:uid="{00000000-0005-0000-0000-00007A030000}"/>
    <cellStyle name="Total 2 6 3 3" xfId="892" xr:uid="{00000000-0005-0000-0000-00007B030000}"/>
    <cellStyle name="Total 2 6 4" xfId="893" xr:uid="{00000000-0005-0000-0000-00007C030000}"/>
    <cellStyle name="Total 2 6 5" xfId="894" xr:uid="{00000000-0005-0000-0000-00007D030000}"/>
    <cellStyle name="Total 2 7" xfId="895" xr:uid="{00000000-0005-0000-0000-00007E030000}"/>
    <cellStyle name="Total 2 7 2" xfId="896" xr:uid="{00000000-0005-0000-0000-00007F030000}"/>
    <cellStyle name="Total 2 7 2 2" xfId="897" xr:uid="{00000000-0005-0000-0000-000080030000}"/>
    <cellStyle name="Total 2 7 2 3" xfId="898" xr:uid="{00000000-0005-0000-0000-000081030000}"/>
    <cellStyle name="Total 2 7 3" xfId="899" xr:uid="{00000000-0005-0000-0000-000082030000}"/>
    <cellStyle name="Total 2 7 3 2" xfId="900" xr:uid="{00000000-0005-0000-0000-000083030000}"/>
    <cellStyle name="Total 2 7 3 3" xfId="901" xr:uid="{00000000-0005-0000-0000-000084030000}"/>
    <cellStyle name="Total 2 7 4" xfId="902" xr:uid="{00000000-0005-0000-0000-000085030000}"/>
    <cellStyle name="Total 2 7 5" xfId="903" xr:uid="{00000000-0005-0000-0000-000086030000}"/>
    <cellStyle name="Total 2 8" xfId="904" xr:uid="{00000000-0005-0000-0000-000087030000}"/>
    <cellStyle name="Total 2 8 2" xfId="905" xr:uid="{00000000-0005-0000-0000-000088030000}"/>
    <cellStyle name="Total 2 8 3" xfId="906" xr:uid="{00000000-0005-0000-0000-000089030000}"/>
    <cellStyle name="Total 2 9" xfId="907" xr:uid="{00000000-0005-0000-0000-00008A030000}"/>
    <cellStyle name="Total 2 9 2" xfId="908" xr:uid="{00000000-0005-0000-0000-00008B030000}"/>
    <cellStyle name="Total 2 9 3" xfId="909" xr:uid="{00000000-0005-0000-0000-00008C030000}"/>
    <cellStyle name="Warning Text 2" xfId="266" xr:uid="{00000000-0005-0000-0000-00008D030000}"/>
    <cellStyle name="year" xfId="267" xr:uid="{00000000-0005-0000-0000-00008E030000}"/>
    <cellStyle name="year 2" xfId="268" xr:uid="{00000000-0005-0000-0000-00008F030000}"/>
    <cellStyle name="year 2 2" xfId="910" xr:uid="{00000000-0005-0000-0000-000090030000}"/>
    <cellStyle name="year 3" xfId="911" xr:uid="{00000000-0005-0000-0000-000091030000}"/>
    <cellStyle name="year_29(d) - Gas extensions -tariffs" xfId="269" xr:uid="{00000000-0005-0000-0000-000092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ill>
        <patternFill>
          <bgColor rgb="FFFFFF99"/>
        </patternFill>
      </fill>
    </dxf>
    <dxf>
      <fill>
        <patternFill>
          <bgColor rgb="FFFFFF99"/>
        </patternFill>
      </fill>
    </dxf>
    <dxf>
      <fill>
        <patternFill>
          <bgColor theme="6" tint="0.59996337778862885"/>
        </patternFill>
      </fill>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6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6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6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6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6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6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6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6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6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6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6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6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6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6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1000-00000150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7">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6" dataCellStyle="Normal 41"/>
    <tableColumn id="2" xr3:uid="{00000000-0010-0000-0000-000002000000}" name="dms_TradingNameFull_List" dataDxfId="75" dataCellStyle="Normal 41"/>
    <tableColumn id="3" xr3:uid="{00000000-0010-0000-0000-000003000000}" name="dms_ABN_List" dataDxfId="74" dataCellStyle="Normal 41"/>
    <tableColumn id="4" xr3:uid="{00000000-0010-0000-0000-000004000000}" name="dms_JurisdictionList" dataDxfId="73" dataCellStyle="Normal 41"/>
    <tableColumn id="5" xr3:uid="{00000000-0010-0000-0000-000005000000}" name="dms_Sector_List" dataDxfId="72" dataCellStyle="Normal 41"/>
    <tableColumn id="6" xr3:uid="{00000000-0010-0000-0000-000006000000}" name="dms_Segment_List" dataDxfId="71" dataCellStyle="Normal 41"/>
    <tableColumn id="7" xr3:uid="{00000000-0010-0000-0000-000007000000}" name="dms_FormControl_List" dataDxfId="70" dataCellStyle="Normal 41"/>
    <tableColumn id="8" xr3:uid="{00000000-0010-0000-0000-000008000000}" name="dms_RPT_List" dataDxfId="69" dataCellStyle="Normal 41"/>
    <tableColumn id="9" xr3:uid="{00000000-0010-0000-0000-000009000000}" name="dms_RPTMonth_List" dataDxfId="68" dataCellStyle="Normal 41"/>
    <tableColumn id="10" xr3:uid="{00000000-0010-0000-0000-00000A000000}" name="dms_CRCPlength_List" dataDxfId="67" dataCellStyle="Normal 41"/>
    <tableColumn id="11" xr3:uid="{00000000-0010-0000-0000-00000B000000}" name="dms_FRCPlength_List"/>
    <tableColumn id="12" xr3:uid="{00000000-0010-0000-0000-00000C000000}" name="dms_PRCPlength_List"/>
    <tableColumn id="13" xr3:uid="{00000000-0010-0000-0000-00000D000000}" name="dms_663_List" dataDxfId="66" dataCellStyle="Normal 41"/>
    <tableColumn id="14" xr3:uid="{00000000-0010-0000-0000-00000E000000}" name="dms_DeterminationRef_List"/>
    <tableColumn id="15" xr3:uid="{00000000-0010-0000-0000-00000F000000}" name="dms_Addr1_List" dataDxfId="65" dataCellStyle="Normal 41"/>
    <tableColumn id="16" xr3:uid="{00000000-0010-0000-0000-000010000000}" name="dms_Addr2_List" dataDxfId="64" dataCellStyle="Normal 41"/>
    <tableColumn id="17" xr3:uid="{00000000-0010-0000-0000-000011000000}" name="dms_Suburb_List" dataDxfId="63" dataCellStyle="Normal 41"/>
    <tableColumn id="18" xr3:uid="{00000000-0010-0000-0000-000012000000}" name="dms_State_List" dataDxfId="62" dataCellStyle="Normal 41"/>
    <tableColumn id="19" xr3:uid="{00000000-0010-0000-0000-000013000000}" name="dms_PostCode_List" dataDxfId="61" dataCellStyle="Normal 41"/>
    <tableColumn id="20" xr3:uid="{00000000-0010-0000-0000-000014000000}" name="dms_PAddr1_List" dataDxfId="60" dataCellStyle="Normal 41"/>
    <tableColumn id="21" xr3:uid="{00000000-0010-0000-0000-000015000000}" name="dms_PAddr2_List" dataDxfId="59" dataCellStyle="Normal 41"/>
    <tableColumn id="22" xr3:uid="{00000000-0010-0000-0000-000016000000}" name="dms_PSuburb_List" dataDxfId="58" dataCellStyle="Normal 41"/>
    <tableColumn id="23" xr3:uid="{00000000-0010-0000-0000-000017000000}" name="dms_PState_List" dataDxfId="57" dataCellStyle="Normal 41"/>
    <tableColumn id="24" xr3:uid="{00000000-0010-0000-0000-000018000000}" name="dms_PPostCode_List" dataDxfId="56" dataCellStyle="Normal 41"/>
    <tableColumn id="25" xr3:uid="{00000000-0010-0000-0000-000019000000}" name="dms_CBD_flag" dataDxfId="55" dataCellStyle="Normal 41"/>
    <tableColumn id="26" xr3:uid="{00000000-0010-0000-0000-00001A000000}" name="dms_Urban_flag" dataDxfId="54" dataCellStyle="Normal 41"/>
    <tableColumn id="27" xr3:uid="{00000000-0010-0000-0000-00001B000000}" name="dms_ShortRural_flag" dataDxfId="53" dataCellStyle="Normal 41"/>
    <tableColumn id="28" xr3:uid="{00000000-0010-0000-0000-00001C000000}" name="dms_LongRural_flag" dataDxfId="52" dataCellStyle="Normal 41"/>
    <tableColumn id="29" xr3:uid="{00000000-0010-0000-0000-00001D000000}" name="dms_FeederType_5_flag" dataDxfId="51" dataCellStyle="Normal 41"/>
    <tableColumn id="30" xr3:uid="{00000000-0010-0000-0000-00001E000000}" name="dms_FeederName_1" dataDxfId="50" dataCellStyle="Normal 41"/>
    <tableColumn id="31" xr3:uid="{00000000-0010-0000-0000-00001F000000}" name="dms_FeederName_2" dataDxfId="49" dataCellStyle="Normal 41"/>
    <tableColumn id="32" xr3:uid="{00000000-0010-0000-0000-000020000000}" name="dms_FeederName_3" dataDxfId="48" dataCellStyle="Normal 41"/>
    <tableColumn id="33" xr3:uid="{00000000-0010-0000-0000-000021000000}" name="dms_FeederName_4" dataDxfId="47" dataCellStyle="Normal 41"/>
    <tableColumn id="34" xr3:uid="{00000000-0010-0000-0000-000022000000}" name="dms_FeederName_5" dataDxfId="46" dataCellStyle="Normal 41"/>
    <tableColumn id="35" xr3:uid="{00000000-0010-0000-0000-000023000000}" name="dms_Public_Lighting_List" dataDxfId="45" dataCellStyle="Normal 41"/>
    <tableColumn id="36" xr3:uid="{00000000-0010-0000-0000-000024000000}" name="Name" dataDxfId="44"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2"/>
    <col min="2" max="2" width="47.33203125" style="362" bestFit="1" customWidth="1"/>
    <col min="3" max="3" width="40.6640625" style="362" customWidth="1"/>
    <col min="4" max="4" width="31.44140625" style="362" bestFit="1" customWidth="1"/>
    <col min="5" max="5" width="33.109375" style="362" bestFit="1" customWidth="1"/>
    <col min="6" max="6" width="43.109375" style="362" customWidth="1"/>
    <col min="7" max="7" width="38.6640625" style="362" customWidth="1"/>
    <col min="8" max="8" width="24.33203125" style="362" customWidth="1"/>
    <col min="9" max="9" width="28.109375" style="362" customWidth="1"/>
    <col min="10" max="10" width="29" style="362" customWidth="1"/>
    <col min="11" max="11" width="23.6640625" style="362" customWidth="1"/>
    <col min="12" max="13" width="28.33203125" style="362" customWidth="1"/>
    <col min="14" max="14" width="24.5546875" style="362" bestFit="1" customWidth="1"/>
    <col min="15" max="15" width="33" style="362" customWidth="1"/>
    <col min="16" max="16" width="47" style="362" customWidth="1"/>
    <col min="17" max="17" width="40.109375" style="362" customWidth="1"/>
    <col min="18" max="18" width="24.88671875" style="362" bestFit="1" customWidth="1"/>
    <col min="19" max="19" width="22.6640625" style="362" bestFit="1" customWidth="1"/>
    <col min="20" max="20" width="22" style="362" bestFit="1" customWidth="1"/>
    <col min="21" max="22" width="9.109375" style="362"/>
    <col min="23" max="23" width="9.109375" style="362" customWidth="1"/>
    <col min="24" max="16384" width="9.109375" style="362"/>
  </cols>
  <sheetData>
    <row r="1" spans="2:28" ht="51" customHeight="1">
      <c r="B1" s="647" t="s">
        <v>699</v>
      </c>
      <c r="C1" s="646"/>
      <c r="D1" s="646"/>
      <c r="E1" s="646"/>
      <c r="F1" s="646"/>
      <c r="G1" s="646"/>
      <c r="H1" s="646"/>
      <c r="I1" s="646"/>
      <c r="J1" s="646"/>
      <c r="K1" s="646"/>
      <c r="L1" s="646"/>
      <c r="M1" s="646"/>
      <c r="N1" s="646"/>
    </row>
    <row r="2" spans="2:28" ht="30" customHeight="1"/>
    <row r="3" spans="2:28" ht="28.8">
      <c r="B3" s="645" t="s">
        <v>698</v>
      </c>
      <c r="C3" s="645"/>
      <c r="D3" s="645"/>
      <c r="E3" s="645"/>
      <c r="F3" s="645"/>
      <c r="G3" s="645"/>
      <c r="H3" s="645"/>
      <c r="I3" s="645"/>
      <c r="J3" s="645"/>
      <c r="K3" s="645"/>
      <c r="L3" s="645"/>
      <c r="M3" s="645"/>
      <c r="N3" s="645"/>
    </row>
    <row r="4" spans="2:28" ht="30" customHeight="1" thickBot="1"/>
    <row r="5" spans="2:28" ht="29.25" customHeight="1">
      <c r="B5" s="1411" t="s">
        <v>697</v>
      </c>
      <c r="C5" s="634" t="s">
        <v>341</v>
      </c>
      <c r="D5" s="634" t="s">
        <v>696</v>
      </c>
      <c r="E5" s="516"/>
      <c r="W5" s="363"/>
      <c r="X5" s="363"/>
      <c r="AA5" s="643"/>
      <c r="AB5" s="643"/>
    </row>
    <row r="6" spans="2:28" ht="15" customHeight="1">
      <c r="B6" s="1411"/>
      <c r="C6" s="644" t="s">
        <v>694</v>
      </c>
      <c r="D6" s="644" t="s">
        <v>694</v>
      </c>
      <c r="E6" s="516"/>
      <c r="W6" s="363"/>
      <c r="X6" s="363"/>
      <c r="AA6" s="643"/>
      <c r="AB6" s="643"/>
    </row>
    <row r="7" spans="2:28" ht="15" customHeight="1">
      <c r="B7" s="1411"/>
      <c r="C7" s="642" t="s">
        <v>342</v>
      </c>
      <c r="D7" s="641" t="s">
        <v>103</v>
      </c>
      <c r="E7" s="367"/>
      <c r="S7" s="363"/>
      <c r="T7" s="363"/>
      <c r="U7" s="363"/>
      <c r="V7" s="363"/>
      <c r="W7" s="363"/>
      <c r="X7" s="363"/>
    </row>
    <row r="8" spans="2:28" ht="15" customHeight="1">
      <c r="B8" s="1411"/>
      <c r="C8" s="640" t="s">
        <v>343</v>
      </c>
      <c r="D8" s="628" t="s">
        <v>695</v>
      </c>
      <c r="E8" s="367"/>
      <c r="S8" s="363"/>
      <c r="T8" s="363"/>
      <c r="U8" s="363"/>
      <c r="V8" s="363"/>
      <c r="W8" s="363"/>
      <c r="X8" s="363"/>
    </row>
    <row r="9" spans="2:28" ht="15" customHeight="1">
      <c r="B9" s="1411"/>
      <c r="C9" s="640" t="s">
        <v>104</v>
      </c>
      <c r="D9" s="639"/>
      <c r="E9" s="367"/>
      <c r="S9" s="363"/>
      <c r="T9" s="363"/>
      <c r="U9" s="363"/>
      <c r="V9" s="363"/>
      <c r="W9" s="363"/>
      <c r="X9" s="363"/>
    </row>
    <row r="10" spans="2:28" ht="15.75" customHeight="1" thickBot="1">
      <c r="B10" s="1411"/>
      <c r="C10" s="638"/>
      <c r="D10" s="637"/>
      <c r="E10" s="367"/>
      <c r="S10" s="363"/>
      <c r="T10" s="363"/>
      <c r="U10" s="363"/>
      <c r="V10" s="363"/>
      <c r="W10" s="363"/>
      <c r="X10" s="363"/>
    </row>
    <row r="11" spans="2:28" ht="15" thickBot="1">
      <c r="B11" s="1411"/>
      <c r="C11" s="365"/>
      <c r="D11" s="636"/>
      <c r="E11" s="367"/>
      <c r="S11" s="363"/>
      <c r="T11" s="363"/>
      <c r="U11" s="363"/>
      <c r="V11" s="363"/>
      <c r="W11" s="363"/>
      <c r="X11" s="363"/>
    </row>
    <row r="12" spans="2:28" ht="83.4" thickBot="1">
      <c r="B12" s="1411"/>
      <c r="C12" s="635" t="s">
        <v>455</v>
      </c>
      <c r="D12" s="635" t="s">
        <v>456</v>
      </c>
      <c r="S12" s="363"/>
      <c r="T12" s="363"/>
      <c r="U12" s="363"/>
      <c r="V12" s="363"/>
      <c r="W12" s="363"/>
      <c r="X12" s="363"/>
    </row>
    <row r="13" spans="2:28" ht="24" customHeight="1" thickBot="1">
      <c r="B13" s="1411"/>
      <c r="C13" s="634" t="s">
        <v>201</v>
      </c>
      <c r="D13" s="634" t="s">
        <v>202</v>
      </c>
      <c r="G13" s="367"/>
      <c r="H13" s="401"/>
      <c r="S13" s="363"/>
      <c r="T13" s="363"/>
      <c r="U13" s="363"/>
      <c r="V13" s="363"/>
      <c r="W13" s="363"/>
      <c r="X13" s="363"/>
    </row>
    <row r="14" spans="2:28">
      <c r="B14" s="1411"/>
      <c r="C14" s="633" t="s">
        <v>694</v>
      </c>
      <c r="D14" s="632" t="s">
        <v>169</v>
      </c>
      <c r="G14" s="367"/>
      <c r="S14" s="363"/>
      <c r="T14" s="363"/>
      <c r="U14" s="363"/>
      <c r="V14" s="363"/>
      <c r="W14" s="363"/>
      <c r="X14" s="363"/>
    </row>
    <row r="15" spans="2:28">
      <c r="B15" s="1411"/>
      <c r="C15" s="628" t="s">
        <v>203</v>
      </c>
      <c r="D15" s="631" t="s">
        <v>205</v>
      </c>
      <c r="H15" s="629"/>
      <c r="S15" s="363"/>
      <c r="T15" s="363"/>
      <c r="U15" s="363"/>
      <c r="V15" s="363"/>
      <c r="W15" s="363"/>
      <c r="X15" s="363"/>
    </row>
    <row r="16" spans="2:28">
      <c r="B16" s="1411"/>
      <c r="C16" s="628" t="s">
        <v>204</v>
      </c>
      <c r="D16" s="631" t="s">
        <v>1062</v>
      </c>
      <c r="H16" s="629"/>
      <c r="S16" s="363"/>
      <c r="T16" s="363"/>
      <c r="U16" s="363"/>
      <c r="V16" s="363"/>
      <c r="W16" s="363"/>
      <c r="X16" s="363"/>
    </row>
    <row r="17" spans="2:89" ht="15" thickBot="1">
      <c r="B17" s="1411"/>
      <c r="C17" s="628" t="s">
        <v>206</v>
      </c>
      <c r="D17" s="630" t="s">
        <v>207</v>
      </c>
      <c r="H17" s="629"/>
      <c r="S17" s="363"/>
      <c r="T17" s="363"/>
      <c r="U17" s="363"/>
      <c r="V17" s="363"/>
      <c r="W17" s="363"/>
      <c r="X17" s="363"/>
    </row>
    <row r="18" spans="2:89">
      <c r="B18" s="1411"/>
      <c r="C18" s="628" t="s">
        <v>99</v>
      </c>
      <c r="D18" s="365"/>
      <c r="G18" s="367"/>
      <c r="H18" s="626"/>
      <c r="J18" s="365"/>
      <c r="L18" s="364"/>
      <c r="O18" s="363"/>
      <c r="P18" s="363"/>
      <c r="Q18" s="363"/>
      <c r="R18" s="363"/>
      <c r="S18" s="363"/>
      <c r="T18" s="363"/>
      <c r="U18" s="363"/>
      <c r="V18" s="363"/>
      <c r="W18" s="363"/>
    </row>
    <row r="19" spans="2:89" ht="15" thickBot="1">
      <c r="B19" s="1411"/>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8">
      <c r="B21" s="437"/>
    </row>
    <row r="22" spans="2:89" ht="29.4" thickBot="1">
      <c r="B22" s="437"/>
      <c r="D22" s="365"/>
      <c r="G22" s="367"/>
      <c r="K22" s="625" t="s">
        <v>693</v>
      </c>
      <c r="M22" s="364"/>
      <c r="N22" s="362" t="s">
        <v>692</v>
      </c>
      <c r="P22" s="363"/>
      <c r="Q22" s="363"/>
      <c r="R22" s="363"/>
      <c r="S22" s="363"/>
      <c r="T22" s="363"/>
      <c r="U22" s="363"/>
      <c r="V22" s="363"/>
      <c r="W22" s="363"/>
      <c r="X22" s="363"/>
    </row>
    <row r="23" spans="2:89" ht="30.75" customHeight="1" thickBot="1">
      <c r="B23" s="1408"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408"/>
      <c r="C24" s="570" t="s">
        <v>684</v>
      </c>
      <c r="D24" s="569" t="s">
        <v>664</v>
      </c>
      <c r="E24" s="568" t="s">
        <v>663</v>
      </c>
      <c r="F24" s="567" t="s">
        <v>284</v>
      </c>
      <c r="G24" s="619" t="s">
        <v>663</v>
      </c>
      <c r="H24" s="618" t="s">
        <v>362</v>
      </c>
      <c r="I24" s="617" t="s">
        <v>346</v>
      </c>
      <c r="J24" s="616" t="s">
        <v>347</v>
      </c>
      <c r="K24" s="1412" t="s">
        <v>346</v>
      </c>
      <c r="L24" s="615" t="s">
        <v>347</v>
      </c>
      <c r="N24" s="614" t="s">
        <v>683</v>
      </c>
      <c r="R24" s="363"/>
      <c r="S24" s="363"/>
      <c r="T24" s="363"/>
      <c r="U24" s="363"/>
      <c r="V24" s="363"/>
      <c r="W24" s="363"/>
      <c r="AK24" s="1415"/>
      <c r="AL24" s="1415"/>
      <c r="AM24" s="1415"/>
      <c r="AN24" s="1415"/>
      <c r="AO24" s="1415"/>
      <c r="AP24" s="1415"/>
      <c r="AQ24" s="1415"/>
      <c r="AR24" s="1415"/>
      <c r="AS24" s="1415"/>
      <c r="AT24" s="1415"/>
      <c r="AU24" s="1415"/>
      <c r="AV24" s="1415"/>
      <c r="AW24" s="1415"/>
      <c r="AX24" s="1415"/>
      <c r="AY24" s="1415"/>
      <c r="AZ24" s="1415"/>
      <c r="BA24" s="1415"/>
      <c r="BB24" s="1415"/>
      <c r="BC24" s="1415"/>
      <c r="BD24" s="1415"/>
      <c r="BE24" s="1415"/>
      <c r="BF24" s="1415"/>
      <c r="BP24" s="1415"/>
      <c r="BQ24" s="1415"/>
      <c r="BR24" s="1415"/>
      <c r="BS24" s="1415"/>
      <c r="BT24" s="1415"/>
      <c r="BU24" s="1415"/>
      <c r="BV24" s="1415"/>
      <c r="BW24" s="1415"/>
      <c r="BX24" s="1415"/>
      <c r="BY24" s="1415"/>
      <c r="BZ24" s="1415"/>
      <c r="CA24" s="1415"/>
      <c r="CB24" s="1415"/>
      <c r="CC24" s="1415"/>
      <c r="CD24" s="1415"/>
      <c r="CE24" s="1415"/>
      <c r="CF24" s="1415"/>
      <c r="CG24" s="1415"/>
      <c r="CH24" s="1415"/>
      <c r="CI24" s="1415"/>
      <c r="CJ24" s="1415"/>
      <c r="CK24" s="1415"/>
    </row>
    <row r="25" spans="2:89" ht="15" customHeight="1">
      <c r="B25" s="1408"/>
      <c r="C25" s="564" t="s">
        <v>356</v>
      </c>
      <c r="D25" s="563" t="s">
        <v>682</v>
      </c>
      <c r="E25" s="560" t="s">
        <v>660</v>
      </c>
      <c r="F25" s="560" t="s">
        <v>292</v>
      </c>
      <c r="G25" s="613" t="s">
        <v>660</v>
      </c>
      <c r="H25" s="604" t="s">
        <v>447</v>
      </c>
      <c r="I25" s="596" t="s">
        <v>349</v>
      </c>
      <c r="J25" s="595" t="s">
        <v>348</v>
      </c>
      <c r="K25" s="1413"/>
      <c r="L25" s="609" t="s">
        <v>348</v>
      </c>
      <c r="N25" s="602" t="s">
        <v>681</v>
      </c>
      <c r="R25" s="363"/>
      <c r="S25" s="363"/>
      <c r="T25" s="363"/>
      <c r="U25" s="363"/>
      <c r="V25" s="363"/>
      <c r="W25" s="363"/>
      <c r="AK25" s="1415"/>
      <c r="AL25" s="1415"/>
      <c r="AM25" s="1415"/>
      <c r="AN25" s="1415"/>
      <c r="AO25" s="1415"/>
      <c r="AP25" s="1415"/>
      <c r="AQ25" s="1415"/>
      <c r="AR25" s="1415"/>
      <c r="AS25" s="1415"/>
      <c r="AT25" s="1415"/>
      <c r="AU25" s="1415"/>
      <c r="AV25" s="1415"/>
      <c r="AW25" s="1415"/>
      <c r="AX25" s="1415"/>
      <c r="AY25" s="1415"/>
      <c r="AZ25" s="1415"/>
      <c r="BA25" s="1415"/>
      <c r="BB25" s="1415"/>
      <c r="BC25" s="1415"/>
      <c r="BD25" s="1415"/>
      <c r="BE25" s="1415"/>
      <c r="BF25" s="1415"/>
      <c r="BP25" s="1415"/>
      <c r="BQ25" s="1415"/>
      <c r="BR25" s="1415"/>
      <c r="BS25" s="1415"/>
      <c r="BT25" s="1415"/>
      <c r="BU25" s="1415"/>
      <c r="BV25" s="1415"/>
      <c r="BW25" s="1415"/>
      <c r="BX25" s="1415"/>
      <c r="BY25" s="1415"/>
      <c r="BZ25" s="1415"/>
      <c r="CA25" s="1415"/>
      <c r="CB25" s="1415"/>
      <c r="CC25" s="1415"/>
      <c r="CD25" s="1415"/>
      <c r="CE25" s="1415"/>
      <c r="CF25" s="1415"/>
      <c r="CG25" s="1415"/>
      <c r="CH25" s="1415"/>
      <c r="CI25" s="1415"/>
      <c r="CJ25" s="1415"/>
      <c r="CK25" s="1415"/>
    </row>
    <row r="26" spans="2:89" ht="15.75" customHeight="1">
      <c r="B26" s="1408"/>
      <c r="C26" s="564" t="s">
        <v>662</v>
      </c>
      <c r="D26" s="563" t="s">
        <v>680</v>
      </c>
      <c r="E26" s="562" t="s">
        <v>657</v>
      </c>
      <c r="F26" s="560" t="s">
        <v>295</v>
      </c>
      <c r="G26" s="608" t="s">
        <v>657</v>
      </c>
      <c r="H26" s="604" t="s">
        <v>448</v>
      </c>
      <c r="I26" s="596" t="s">
        <v>309</v>
      </c>
      <c r="J26" s="612" t="s">
        <v>309</v>
      </c>
      <c r="K26" s="1414"/>
      <c r="L26" s="606" t="s">
        <v>309</v>
      </c>
      <c r="N26" s="602" t="s">
        <v>679</v>
      </c>
      <c r="R26" s="363"/>
      <c r="S26" s="363"/>
      <c r="T26" s="363"/>
      <c r="U26" s="363"/>
      <c r="V26" s="363"/>
      <c r="W26" s="363"/>
      <c r="AK26" s="1415"/>
      <c r="AL26" s="1415"/>
      <c r="AM26" s="1415"/>
      <c r="AN26" s="1415"/>
      <c r="AO26" s="1415"/>
      <c r="AP26" s="1415"/>
      <c r="AQ26" s="1415"/>
      <c r="AR26" s="1415"/>
      <c r="AS26" s="1415"/>
      <c r="AT26" s="1415"/>
      <c r="AU26" s="1415"/>
      <c r="AV26" s="1415"/>
      <c r="AW26" s="1415"/>
      <c r="AX26" s="1415"/>
      <c r="AY26" s="1415"/>
      <c r="AZ26" s="1415"/>
      <c r="BA26" s="1415"/>
      <c r="BB26" s="1415"/>
      <c r="BC26" s="1415"/>
      <c r="BD26" s="1415"/>
      <c r="BE26" s="1415"/>
      <c r="BF26" s="1415"/>
      <c r="BP26" s="1415"/>
      <c r="BQ26" s="1415"/>
      <c r="BR26" s="1415"/>
      <c r="BS26" s="1415"/>
      <c r="BT26" s="1415"/>
      <c r="BU26" s="1415"/>
      <c r="BV26" s="1415"/>
      <c r="BW26" s="1415"/>
      <c r="BX26" s="1415"/>
      <c r="BY26" s="1415"/>
      <c r="BZ26" s="1415"/>
      <c r="CA26" s="1415"/>
      <c r="CB26" s="1415"/>
      <c r="CC26" s="1415"/>
      <c r="CD26" s="1415"/>
      <c r="CE26" s="1415"/>
      <c r="CF26" s="1415"/>
      <c r="CG26" s="1415"/>
      <c r="CH26" s="1415"/>
      <c r="CI26" s="1415"/>
      <c r="CJ26" s="1415"/>
      <c r="CK26" s="1415"/>
    </row>
    <row r="27" spans="2:89" ht="15.75" customHeight="1">
      <c r="B27" s="1408"/>
      <c r="C27" s="564" t="s">
        <v>309</v>
      </c>
      <c r="D27" s="563" t="s">
        <v>309</v>
      </c>
      <c r="E27" s="562" t="s">
        <v>656</v>
      </c>
      <c r="F27" s="560" t="s">
        <v>300</v>
      </c>
      <c r="G27" s="608" t="s">
        <v>656</v>
      </c>
      <c r="H27" s="604" t="s">
        <v>361</v>
      </c>
      <c r="I27" s="596" t="s">
        <v>351</v>
      </c>
      <c r="J27" s="611" t="s">
        <v>350</v>
      </c>
      <c r="K27" s="1416" t="s">
        <v>349</v>
      </c>
      <c r="L27" s="610" t="s">
        <v>350</v>
      </c>
      <c r="N27" s="602" t="s">
        <v>678</v>
      </c>
      <c r="R27" s="363"/>
      <c r="S27" s="363"/>
      <c r="T27" s="363"/>
      <c r="U27" s="363"/>
      <c r="V27" s="363"/>
      <c r="W27" s="363"/>
    </row>
    <row r="28" spans="2:89" ht="15" customHeight="1">
      <c r="B28" s="1408"/>
      <c r="C28" s="497"/>
      <c r="D28" s="462"/>
      <c r="E28" s="562" t="s">
        <v>653</v>
      </c>
      <c r="F28" s="560" t="s">
        <v>301</v>
      </c>
      <c r="G28" s="608" t="s">
        <v>654</v>
      </c>
      <c r="H28" s="604" t="s">
        <v>449</v>
      </c>
      <c r="I28" s="596" t="s">
        <v>353</v>
      </c>
      <c r="J28" s="589" t="s">
        <v>352</v>
      </c>
      <c r="K28" s="1413"/>
      <c r="L28" s="609" t="s">
        <v>352</v>
      </c>
      <c r="N28" s="602" t="s">
        <v>677</v>
      </c>
      <c r="R28" s="363"/>
      <c r="S28" s="363"/>
      <c r="T28" s="363"/>
      <c r="U28" s="363"/>
      <c r="V28" s="363"/>
      <c r="W28" s="363"/>
    </row>
    <row r="29" spans="2:89" ht="15" customHeight="1">
      <c r="B29" s="1408"/>
      <c r="C29" s="497"/>
      <c r="D29" s="462"/>
      <c r="E29" s="562" t="s">
        <v>652</v>
      </c>
      <c r="F29" s="560" t="s">
        <v>305</v>
      </c>
      <c r="G29" s="608" t="s">
        <v>653</v>
      </c>
      <c r="H29" s="604" t="s">
        <v>450</v>
      </c>
      <c r="I29" s="596" t="s">
        <v>355</v>
      </c>
      <c r="J29" s="589" t="s">
        <v>354</v>
      </c>
      <c r="K29" s="1413"/>
      <c r="L29" s="609" t="s">
        <v>354</v>
      </c>
      <c r="N29" s="602" t="s">
        <v>676</v>
      </c>
      <c r="U29" s="363"/>
      <c r="V29" s="363"/>
      <c r="W29" s="363"/>
    </row>
    <row r="30" spans="2:89" ht="15" customHeight="1">
      <c r="B30" s="1408"/>
      <c r="C30" s="497"/>
      <c r="D30" s="462"/>
      <c r="E30" s="562" t="s">
        <v>650</v>
      </c>
      <c r="F30" s="560" t="s">
        <v>308</v>
      </c>
      <c r="G30" s="608" t="s">
        <v>652</v>
      </c>
      <c r="H30" s="604" t="s">
        <v>452</v>
      </c>
      <c r="I30" s="596" t="s">
        <v>357</v>
      </c>
      <c r="J30" s="589" t="s">
        <v>356</v>
      </c>
      <c r="K30" s="1413"/>
      <c r="L30" s="609" t="s">
        <v>356</v>
      </c>
      <c r="N30" s="602" t="s">
        <v>675</v>
      </c>
      <c r="R30" s="363"/>
      <c r="S30" s="363"/>
      <c r="T30" s="363"/>
      <c r="U30" s="363"/>
      <c r="V30" s="363"/>
      <c r="W30" s="363"/>
    </row>
    <row r="31" spans="2:89" ht="15.75" customHeight="1">
      <c r="B31" s="1408"/>
      <c r="C31" s="497"/>
      <c r="D31" s="462"/>
      <c r="E31" s="598"/>
      <c r="F31" s="560" t="s">
        <v>651</v>
      </c>
      <c r="G31" s="608" t="s">
        <v>650</v>
      </c>
      <c r="H31" s="604" t="s">
        <v>453</v>
      </c>
      <c r="I31" s="596" t="s">
        <v>359</v>
      </c>
      <c r="J31" s="607" t="s">
        <v>358</v>
      </c>
      <c r="K31" s="1414"/>
      <c r="L31" s="606" t="s">
        <v>358</v>
      </c>
      <c r="N31" s="602" t="s">
        <v>674</v>
      </c>
      <c r="R31" s="363"/>
      <c r="S31" s="363"/>
      <c r="T31" s="363"/>
      <c r="U31" s="363"/>
      <c r="V31" s="363"/>
      <c r="W31" s="363"/>
    </row>
    <row r="32" spans="2:89" ht="15" customHeight="1">
      <c r="B32" s="1408"/>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408"/>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408"/>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408"/>
      <c r="C35" s="497"/>
      <c r="D35" s="599"/>
      <c r="E35" s="598"/>
      <c r="F35" s="560" t="s">
        <v>646</v>
      </c>
      <c r="G35" s="588"/>
      <c r="H35" s="497"/>
      <c r="I35" s="596" t="s">
        <v>365</v>
      </c>
      <c r="J35" s="601" t="s">
        <v>368</v>
      </c>
      <c r="K35" s="1416" t="s">
        <v>355</v>
      </c>
      <c r="L35" s="600" t="s">
        <v>364</v>
      </c>
      <c r="N35" s="462"/>
      <c r="R35" s="363"/>
      <c r="S35" s="363"/>
      <c r="T35" s="363"/>
      <c r="U35" s="363"/>
      <c r="V35" s="363"/>
      <c r="W35" s="363"/>
    </row>
    <row r="36" spans="2:23" ht="15.75" customHeight="1">
      <c r="B36" s="1408"/>
      <c r="C36" s="497"/>
      <c r="D36" s="599"/>
      <c r="E36" s="598"/>
      <c r="F36" s="560" t="s">
        <v>309</v>
      </c>
      <c r="G36" s="588"/>
      <c r="H36" s="497"/>
      <c r="I36" s="596" t="s">
        <v>367</v>
      </c>
      <c r="J36" s="589" t="s">
        <v>309</v>
      </c>
      <c r="K36" s="1414"/>
      <c r="L36" s="580" t="s">
        <v>366</v>
      </c>
      <c r="N36" s="462"/>
      <c r="R36" s="363"/>
      <c r="S36" s="363"/>
      <c r="T36" s="363"/>
      <c r="U36" s="363"/>
      <c r="V36" s="363"/>
      <c r="W36" s="363"/>
    </row>
    <row r="37" spans="2:23">
      <c r="B37" s="1408"/>
      <c r="C37" s="497"/>
      <c r="D37" s="462"/>
      <c r="E37" s="462"/>
      <c r="F37" s="462"/>
      <c r="G37" s="588"/>
      <c r="H37" s="497"/>
      <c r="I37" s="596" t="s">
        <v>369</v>
      </c>
      <c r="J37" s="589" t="s">
        <v>371</v>
      </c>
      <c r="K37" s="593" t="s">
        <v>357</v>
      </c>
      <c r="L37" s="597" t="s">
        <v>368</v>
      </c>
      <c r="N37" s="462"/>
    </row>
    <row r="38" spans="2:23">
      <c r="B38" s="1408"/>
      <c r="C38" s="497"/>
      <c r="D38" s="462"/>
      <c r="E38" s="462"/>
      <c r="F38" s="462"/>
      <c r="G38" s="588"/>
      <c r="H38" s="497"/>
      <c r="I38" s="596" t="s">
        <v>370</v>
      </c>
      <c r="J38" s="589" t="s">
        <v>373</v>
      </c>
      <c r="K38" s="593"/>
      <c r="L38" s="585" t="s">
        <v>309</v>
      </c>
      <c r="N38" s="462"/>
    </row>
    <row r="39" spans="2:23">
      <c r="B39" s="1408"/>
      <c r="C39" s="497"/>
      <c r="D39" s="462"/>
      <c r="E39" s="462"/>
      <c r="F39" s="462"/>
      <c r="G39" s="588"/>
      <c r="H39" s="497"/>
      <c r="I39" s="596" t="s">
        <v>372</v>
      </c>
      <c r="J39" s="595" t="s">
        <v>374</v>
      </c>
      <c r="K39" s="593"/>
      <c r="L39" s="585" t="s">
        <v>371</v>
      </c>
      <c r="N39" s="462"/>
    </row>
    <row r="40" spans="2:23">
      <c r="B40" s="1408"/>
      <c r="C40" s="497"/>
      <c r="D40" s="462"/>
      <c r="E40" s="462"/>
      <c r="F40" s="462"/>
      <c r="G40" s="588"/>
      <c r="H40" s="497"/>
      <c r="I40" s="462"/>
      <c r="J40" s="594" t="s">
        <v>359</v>
      </c>
      <c r="K40" s="593"/>
      <c r="L40" s="585" t="s">
        <v>373</v>
      </c>
      <c r="N40" s="462"/>
    </row>
    <row r="41" spans="2:23">
      <c r="B41" s="1408"/>
      <c r="C41" s="497"/>
      <c r="D41" s="462"/>
      <c r="E41" s="462"/>
      <c r="F41" s="462"/>
      <c r="G41" s="588"/>
      <c r="H41" s="497"/>
      <c r="I41" s="462"/>
      <c r="J41" s="592" t="s">
        <v>375</v>
      </c>
      <c r="K41" s="578"/>
      <c r="L41" s="580" t="s">
        <v>374</v>
      </c>
      <c r="N41" s="462"/>
    </row>
    <row r="42" spans="2:23">
      <c r="B42" s="1408"/>
      <c r="C42" s="497"/>
      <c r="D42" s="462"/>
      <c r="E42" s="462"/>
      <c r="F42" s="462"/>
      <c r="G42" s="588"/>
      <c r="H42" s="497"/>
      <c r="I42" s="462"/>
      <c r="J42" s="589" t="s">
        <v>376</v>
      </c>
      <c r="K42" s="578" t="s">
        <v>359</v>
      </c>
      <c r="L42" s="591" t="s">
        <v>359</v>
      </c>
      <c r="N42" s="462"/>
    </row>
    <row r="43" spans="2:23">
      <c r="B43" s="1408"/>
      <c r="C43" s="497"/>
      <c r="D43" s="462"/>
      <c r="E43" s="462"/>
      <c r="F43" s="462"/>
      <c r="G43" s="588"/>
      <c r="H43" s="497"/>
      <c r="I43" s="584"/>
      <c r="J43" s="589" t="s">
        <v>377</v>
      </c>
      <c r="K43" s="586" t="s">
        <v>361</v>
      </c>
      <c r="L43" s="590" t="s">
        <v>375</v>
      </c>
      <c r="N43" s="584"/>
      <c r="Q43" s="363"/>
      <c r="R43" s="363"/>
      <c r="S43" s="363"/>
      <c r="T43" s="363"/>
      <c r="U43" s="363"/>
      <c r="V43" s="363"/>
    </row>
    <row r="44" spans="2:23">
      <c r="B44" s="1408"/>
      <c r="C44" s="497"/>
      <c r="D44" s="462"/>
      <c r="E44" s="462"/>
      <c r="F44" s="462"/>
      <c r="G44" s="588"/>
      <c r="H44" s="497"/>
      <c r="I44" s="584"/>
      <c r="J44" s="589" t="s">
        <v>378</v>
      </c>
      <c r="K44" s="586"/>
      <c r="L44" s="585" t="s">
        <v>376</v>
      </c>
      <c r="N44" s="584"/>
      <c r="Q44" s="363"/>
      <c r="R44" s="363"/>
      <c r="S44" s="363"/>
      <c r="T44" s="363"/>
      <c r="U44" s="363"/>
      <c r="V44" s="363"/>
    </row>
    <row r="45" spans="2:23">
      <c r="B45" s="1408"/>
      <c r="C45" s="497"/>
      <c r="D45" s="462"/>
      <c r="E45" s="462"/>
      <c r="F45" s="462"/>
      <c r="G45" s="588"/>
      <c r="H45" s="497"/>
      <c r="I45" s="584"/>
      <c r="J45" s="587"/>
      <c r="K45" s="586"/>
      <c r="L45" s="585" t="s">
        <v>377</v>
      </c>
      <c r="N45" s="584"/>
      <c r="Q45" s="363"/>
      <c r="R45" s="363"/>
      <c r="S45" s="363"/>
      <c r="T45" s="363"/>
      <c r="U45" s="363"/>
      <c r="V45" s="363"/>
    </row>
    <row r="46" spans="2:23" ht="15" thickBot="1">
      <c r="B46" s="1408"/>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4" thickBot="1">
      <c r="B55" s="437"/>
      <c r="K55" s="365"/>
      <c r="L55" s="364"/>
      <c r="O55" s="363"/>
      <c r="P55" s="363"/>
      <c r="Q55" s="363"/>
      <c r="R55" s="363"/>
      <c r="S55" s="363"/>
      <c r="T55" s="363"/>
      <c r="U55" s="363"/>
      <c r="V55" s="363"/>
      <c r="W55" s="363"/>
    </row>
    <row r="56" spans="2:23" ht="28.2" thickBot="1">
      <c r="B56" s="1407"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408"/>
      <c r="C57" s="570" t="s">
        <v>665</v>
      </c>
      <c r="D57" s="569" t="s">
        <v>664</v>
      </c>
      <c r="E57" s="568" t="s">
        <v>663</v>
      </c>
      <c r="F57" s="567" t="s">
        <v>284</v>
      </c>
      <c r="G57" s="566" t="s">
        <v>663</v>
      </c>
    </row>
    <row r="58" spans="2:23">
      <c r="B58" s="1408"/>
      <c r="C58" s="564" t="s">
        <v>662</v>
      </c>
      <c r="D58" s="563" t="s">
        <v>661</v>
      </c>
      <c r="E58" s="560" t="s">
        <v>660</v>
      </c>
      <c r="F58" s="560" t="s">
        <v>292</v>
      </c>
      <c r="G58" s="565" t="s">
        <v>660</v>
      </c>
    </row>
    <row r="59" spans="2:23">
      <c r="B59" s="1408"/>
      <c r="C59" s="564" t="s">
        <v>659</v>
      </c>
      <c r="D59" s="563" t="s">
        <v>658</v>
      </c>
      <c r="E59" s="562" t="s">
        <v>657</v>
      </c>
      <c r="F59" s="560" t="s">
        <v>295</v>
      </c>
      <c r="G59" s="561" t="s">
        <v>657</v>
      </c>
    </row>
    <row r="60" spans="2:23">
      <c r="B60" s="1408"/>
      <c r="C60" s="564" t="s">
        <v>309</v>
      </c>
      <c r="D60" s="563" t="s">
        <v>309</v>
      </c>
      <c r="E60" s="562" t="s">
        <v>656</v>
      </c>
      <c r="F60" s="560" t="s">
        <v>300</v>
      </c>
      <c r="G60" s="561" t="s">
        <v>656</v>
      </c>
    </row>
    <row r="61" spans="2:23">
      <c r="B61" s="1408"/>
      <c r="C61" s="497"/>
      <c r="D61" s="462"/>
      <c r="E61" s="562" t="s">
        <v>655</v>
      </c>
      <c r="F61" s="560" t="s">
        <v>301</v>
      </c>
      <c r="G61" s="561" t="s">
        <v>654</v>
      </c>
    </row>
    <row r="62" spans="2:23">
      <c r="B62" s="1408"/>
      <c r="C62" s="497"/>
      <c r="D62" s="462"/>
      <c r="E62" s="562" t="s">
        <v>653</v>
      </c>
      <c r="F62" s="560" t="s">
        <v>305</v>
      </c>
      <c r="G62" s="561" t="s">
        <v>653</v>
      </c>
    </row>
    <row r="63" spans="2:23">
      <c r="B63" s="1408"/>
      <c r="C63" s="497"/>
      <c r="D63" s="462"/>
      <c r="E63" s="562" t="s">
        <v>652</v>
      </c>
      <c r="F63" s="560" t="s">
        <v>308</v>
      </c>
      <c r="G63" s="561" t="s">
        <v>652</v>
      </c>
    </row>
    <row r="64" spans="2:23">
      <c r="B64" s="1408"/>
      <c r="C64" s="497"/>
      <c r="D64" s="462"/>
      <c r="E64" s="562" t="s">
        <v>650</v>
      </c>
      <c r="F64" s="560" t="s">
        <v>651</v>
      </c>
      <c r="G64" s="561" t="s">
        <v>650</v>
      </c>
    </row>
    <row r="65" spans="2:21">
      <c r="B65" s="1408"/>
      <c r="C65" s="497"/>
      <c r="D65" s="462"/>
      <c r="E65" s="462"/>
      <c r="F65" s="560" t="s">
        <v>649</v>
      </c>
      <c r="G65" s="559"/>
    </row>
    <row r="66" spans="2:21">
      <c r="B66" s="1408"/>
      <c r="C66" s="497"/>
      <c r="D66" s="462"/>
      <c r="E66" s="462"/>
      <c r="F66" s="560" t="s">
        <v>648</v>
      </c>
      <c r="G66" s="559"/>
    </row>
    <row r="67" spans="2:21">
      <c r="B67" s="1408"/>
      <c r="C67" s="497"/>
      <c r="D67" s="462"/>
      <c r="E67" s="462"/>
      <c r="F67" s="560" t="s">
        <v>647</v>
      </c>
      <c r="G67" s="559"/>
    </row>
    <row r="68" spans="2:21">
      <c r="B68" s="1408"/>
      <c r="C68" s="497"/>
      <c r="D68" s="462"/>
      <c r="E68" s="462"/>
      <c r="F68" s="560" t="s">
        <v>646</v>
      </c>
      <c r="G68" s="559"/>
    </row>
    <row r="69" spans="2:21" ht="15" thickBot="1">
      <c r="B69" s="1408"/>
      <c r="C69" s="495"/>
      <c r="D69" s="459"/>
      <c r="E69" s="459"/>
      <c r="F69" s="558" t="s">
        <v>309</v>
      </c>
      <c r="G69" s="557"/>
    </row>
    <row r="72" spans="2:21" ht="28.8">
      <c r="B72" s="437"/>
    </row>
    <row r="73" spans="2:21" ht="31.2">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07"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408"/>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408"/>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408"/>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408"/>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408"/>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408"/>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408"/>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408"/>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408"/>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408"/>
      <c r="C85" s="532"/>
      <c r="D85" s="531" t="s">
        <v>286</v>
      </c>
      <c r="E85" s="530"/>
      <c r="F85" s="531" t="s">
        <v>297</v>
      </c>
      <c r="G85" s="530"/>
      <c r="H85" s="530"/>
      <c r="I85" s="530"/>
      <c r="J85" s="530"/>
      <c r="K85" s="529"/>
      <c r="L85" s="528"/>
      <c r="M85" s="527"/>
      <c r="N85" s="526"/>
      <c r="O85" s="525"/>
      <c r="P85" s="525"/>
      <c r="Q85" s="525"/>
      <c r="U85" s="363"/>
    </row>
    <row r="86" spans="2:23" ht="15" customHeight="1">
      <c r="B86" s="1408"/>
      <c r="C86" s="532"/>
      <c r="D86" s="531" t="s">
        <v>286</v>
      </c>
      <c r="E86" s="530"/>
      <c r="F86" s="530"/>
      <c r="G86" s="530"/>
      <c r="H86" s="530"/>
      <c r="I86" s="530"/>
      <c r="J86" s="530"/>
      <c r="K86" s="529"/>
      <c r="L86" s="528"/>
      <c r="M86" s="527"/>
      <c r="N86" s="526"/>
      <c r="O86" s="525"/>
      <c r="P86" s="525"/>
      <c r="Q86" s="525"/>
      <c r="U86" s="363"/>
    </row>
    <row r="87" spans="2:23" ht="15" customHeight="1">
      <c r="B87" s="1408"/>
      <c r="C87" s="532"/>
      <c r="D87" s="531" t="s">
        <v>286</v>
      </c>
      <c r="E87" s="530"/>
      <c r="F87" s="530"/>
      <c r="G87" s="530"/>
      <c r="H87" s="530"/>
      <c r="I87" s="530"/>
      <c r="J87" s="530"/>
      <c r="K87" s="529"/>
      <c r="L87" s="528"/>
      <c r="M87" s="527"/>
      <c r="N87" s="526"/>
      <c r="O87" s="525"/>
      <c r="P87" s="525"/>
      <c r="Q87" s="525"/>
      <c r="U87" s="363"/>
    </row>
    <row r="88" spans="2:23" ht="15" thickBot="1">
      <c r="B88" s="1408"/>
      <c r="C88" s="524"/>
      <c r="D88" s="523" t="s">
        <v>297</v>
      </c>
      <c r="E88" s="522"/>
      <c r="F88" s="522"/>
      <c r="G88" s="522"/>
      <c r="H88" s="522"/>
      <c r="I88" s="522"/>
      <c r="J88" s="522"/>
      <c r="K88" s="521"/>
      <c r="L88" s="520"/>
      <c r="M88" s="519"/>
      <c r="N88" s="518"/>
      <c r="O88" s="517"/>
      <c r="P88" s="517"/>
      <c r="Q88" s="517"/>
      <c r="U88" s="363"/>
    </row>
    <row r="89" spans="2:23" ht="28.8">
      <c r="B89" s="437"/>
      <c r="E89" s="516"/>
      <c r="F89" s="363"/>
      <c r="G89" s="363"/>
      <c r="H89" s="515"/>
      <c r="I89" s="363"/>
      <c r="J89" s="363"/>
      <c r="K89" s="363"/>
      <c r="L89" s="363"/>
      <c r="M89" s="363"/>
      <c r="W89" s="363"/>
    </row>
    <row r="90" spans="2:23" ht="29.4" thickBot="1">
      <c r="B90" s="506"/>
    </row>
    <row r="91" spans="2:23" ht="25.5" customHeight="1" thickBot="1">
      <c r="B91" s="1408" t="s">
        <v>626</v>
      </c>
      <c r="C91" s="514" t="s">
        <v>443</v>
      </c>
    </row>
    <row r="92" spans="2:23" ht="15" customHeight="1">
      <c r="B92" s="1408"/>
      <c r="C92" s="513" t="s">
        <v>291</v>
      </c>
    </row>
    <row r="93" spans="2:23" ht="15" customHeight="1">
      <c r="B93" s="1408"/>
      <c r="C93" s="512" t="s">
        <v>286</v>
      </c>
    </row>
    <row r="94" spans="2:23" ht="15" customHeight="1">
      <c r="B94" s="1408"/>
      <c r="C94" s="512" t="s">
        <v>291</v>
      </c>
    </row>
    <row r="95" spans="2:23" ht="15" customHeight="1">
      <c r="B95" s="1408"/>
      <c r="C95" s="512" t="s">
        <v>286</v>
      </c>
    </row>
    <row r="96" spans="2:23" ht="15" customHeight="1">
      <c r="B96" s="1408"/>
      <c r="C96" s="512" t="s">
        <v>291</v>
      </c>
    </row>
    <row r="97" spans="2:7" ht="15" customHeight="1">
      <c r="B97" s="1408"/>
      <c r="C97" s="512" t="s">
        <v>625</v>
      </c>
    </row>
    <row r="98" spans="2:7" ht="15.75" customHeight="1" thickBot="1">
      <c r="B98" s="1408"/>
      <c r="C98" s="511" t="s">
        <v>451</v>
      </c>
    </row>
    <row r="99" spans="2:7" ht="15" customHeight="1"/>
    <row r="100" spans="2:7" ht="15" customHeight="1" thickBot="1"/>
    <row r="101" spans="2:7" ht="15" customHeight="1" thickBot="1">
      <c r="B101" s="1408" t="s">
        <v>624</v>
      </c>
      <c r="C101" s="510" t="s">
        <v>275</v>
      </c>
    </row>
    <row r="102" spans="2:7" ht="15" customHeight="1">
      <c r="B102" s="1408"/>
      <c r="C102" s="509" t="s">
        <v>286</v>
      </c>
    </row>
    <row r="103" spans="2:7" ht="15" customHeight="1">
      <c r="B103" s="1408"/>
      <c r="C103" s="508" t="s">
        <v>286</v>
      </c>
    </row>
    <row r="104" spans="2:7" ht="15" customHeight="1">
      <c r="B104" s="1408"/>
      <c r="C104" s="508" t="s">
        <v>286</v>
      </c>
    </row>
    <row r="105" spans="2:7" ht="15" customHeight="1">
      <c r="B105" s="1408"/>
      <c r="C105" s="508" t="s">
        <v>286</v>
      </c>
    </row>
    <row r="106" spans="2:7" ht="15" customHeight="1" thickBot="1">
      <c r="B106" s="1408"/>
      <c r="C106" s="507" t="s">
        <v>304</v>
      </c>
    </row>
    <row r="107" spans="2:7" ht="15" customHeight="1"/>
    <row r="108" spans="2:7" ht="28.8">
      <c r="B108" s="506"/>
    </row>
    <row r="109" spans="2:7" ht="15.75" customHeight="1" thickBot="1">
      <c r="B109" s="1409" t="s">
        <v>623</v>
      </c>
      <c r="C109" s="505" t="s">
        <v>278</v>
      </c>
      <c r="D109" s="504" t="s">
        <v>279</v>
      </c>
      <c r="E109" s="504" t="s">
        <v>280</v>
      </c>
      <c r="F109" s="504" t="s">
        <v>281</v>
      </c>
      <c r="G109" s="503" t="s">
        <v>282</v>
      </c>
    </row>
    <row r="110" spans="2:7" ht="26.25" customHeight="1">
      <c r="B110" s="1410"/>
      <c r="C110" s="502" t="s">
        <v>288</v>
      </c>
      <c r="D110" s="501" t="s">
        <v>288</v>
      </c>
      <c r="E110" s="485" t="s">
        <v>289</v>
      </c>
      <c r="F110" s="485" t="s">
        <v>290</v>
      </c>
      <c r="G110" s="500" t="s">
        <v>291</v>
      </c>
    </row>
    <row r="111" spans="2:7" ht="15.75" customHeight="1">
      <c r="B111" s="1410"/>
      <c r="C111" s="499" t="s">
        <v>288</v>
      </c>
      <c r="D111" s="482" t="s">
        <v>288</v>
      </c>
      <c r="E111" s="482" t="s">
        <v>293</v>
      </c>
      <c r="F111" s="482" t="s">
        <v>294</v>
      </c>
      <c r="G111" s="496"/>
    </row>
    <row r="112" spans="2:7" ht="15" customHeight="1">
      <c r="B112" s="1410"/>
      <c r="C112" s="499" t="s">
        <v>298</v>
      </c>
      <c r="D112" s="482" t="s">
        <v>298</v>
      </c>
      <c r="E112" s="482" t="s">
        <v>299</v>
      </c>
      <c r="F112" s="482" t="s">
        <v>294</v>
      </c>
      <c r="G112" s="496"/>
    </row>
    <row r="113" spans="2:7" ht="15" customHeight="1">
      <c r="B113" s="1410"/>
      <c r="C113" s="499" t="s">
        <v>298</v>
      </c>
      <c r="D113" s="482" t="s">
        <v>298</v>
      </c>
      <c r="E113" s="462"/>
      <c r="F113" s="482" t="s">
        <v>294</v>
      </c>
      <c r="G113" s="496"/>
    </row>
    <row r="114" spans="2:7" ht="15" customHeight="1">
      <c r="B114" s="1410"/>
      <c r="C114" s="498"/>
      <c r="D114" s="462"/>
      <c r="E114" s="462"/>
      <c r="F114" s="482" t="s">
        <v>294</v>
      </c>
      <c r="G114" s="496"/>
    </row>
    <row r="115" spans="2:7" ht="15" customHeight="1">
      <c r="B115" s="1410"/>
      <c r="C115" s="498"/>
      <c r="D115" s="462"/>
      <c r="E115" s="462"/>
      <c r="F115" s="482" t="s">
        <v>307</v>
      </c>
      <c r="G115" s="496"/>
    </row>
    <row r="116" spans="2:7" ht="15" customHeight="1">
      <c r="B116" s="1410"/>
      <c r="C116" s="498"/>
      <c r="D116" s="462"/>
      <c r="E116" s="462"/>
      <c r="F116" s="482" t="s">
        <v>307</v>
      </c>
      <c r="G116" s="496"/>
    </row>
    <row r="117" spans="2:7" ht="15" customHeight="1">
      <c r="B117" s="1410"/>
      <c r="C117" s="497"/>
      <c r="D117" s="462"/>
      <c r="E117" s="462"/>
      <c r="F117" s="482" t="s">
        <v>310</v>
      </c>
      <c r="G117" s="496"/>
    </row>
    <row r="118" spans="2:7" ht="15" customHeight="1">
      <c r="B118" s="1410"/>
      <c r="C118" s="497"/>
      <c r="D118" s="462"/>
      <c r="E118" s="462"/>
      <c r="F118" s="482" t="s">
        <v>310</v>
      </c>
      <c r="G118" s="496"/>
    </row>
    <row r="119" spans="2:7" ht="15.75" customHeight="1">
      <c r="B119" s="1410"/>
      <c r="C119" s="497"/>
      <c r="D119" s="462"/>
      <c r="E119" s="462"/>
      <c r="F119" s="482" t="s">
        <v>311</v>
      </c>
      <c r="G119" s="496"/>
    </row>
    <row r="120" spans="2:7" ht="15" customHeight="1">
      <c r="B120" s="1410"/>
      <c r="C120" s="497"/>
      <c r="D120" s="462"/>
      <c r="E120" s="462"/>
      <c r="F120" s="482" t="s">
        <v>311</v>
      </c>
      <c r="G120" s="496"/>
    </row>
    <row r="121" spans="2:7" ht="15" customHeight="1">
      <c r="B121" s="1410"/>
      <c r="C121" s="497"/>
      <c r="D121" s="462"/>
      <c r="E121" s="462"/>
      <c r="F121" s="482" t="s">
        <v>312</v>
      </c>
      <c r="G121" s="496"/>
    </row>
    <row r="122" spans="2:7" ht="15" customHeight="1">
      <c r="B122" s="1410"/>
      <c r="C122" s="497"/>
      <c r="D122" s="462"/>
      <c r="E122" s="462"/>
      <c r="F122" s="482" t="s">
        <v>291</v>
      </c>
      <c r="G122" s="496"/>
    </row>
    <row r="123" spans="2:7" ht="15.75" customHeight="1" thickBot="1">
      <c r="B123" s="1410"/>
      <c r="C123" s="495"/>
      <c r="D123" s="459"/>
      <c r="E123" s="459"/>
      <c r="F123" s="494" t="s">
        <v>312</v>
      </c>
      <c r="G123" s="493"/>
    </row>
    <row r="124" spans="2:7" ht="28.8">
      <c r="B124" s="492"/>
      <c r="C124" s="369"/>
      <c r="D124" s="369"/>
      <c r="E124" s="369"/>
      <c r="F124" s="369"/>
      <c r="G124" s="479"/>
    </row>
    <row r="125" spans="2:7" ht="29.4" thickBot="1">
      <c r="B125" s="492"/>
      <c r="C125" s="491" t="s">
        <v>622</v>
      </c>
      <c r="D125" s="491"/>
      <c r="E125" s="491"/>
      <c r="F125" s="491"/>
      <c r="G125" s="479"/>
    </row>
    <row r="126" spans="2:7" ht="15.75" customHeight="1" thickBot="1">
      <c r="B126" s="1399" t="s">
        <v>621</v>
      </c>
      <c r="C126" s="490" t="s">
        <v>278</v>
      </c>
      <c r="D126" s="489"/>
      <c r="E126" s="489" t="s">
        <v>280</v>
      </c>
      <c r="F126" s="488" t="s">
        <v>281</v>
      </c>
      <c r="G126" s="479"/>
    </row>
    <row r="127" spans="2:7" ht="15" customHeight="1">
      <c r="B127" s="1400"/>
      <c r="C127" s="487" t="s">
        <v>290</v>
      </c>
      <c r="D127" s="486"/>
      <c r="E127" s="485" t="s">
        <v>294</v>
      </c>
      <c r="F127" s="484" t="s">
        <v>291</v>
      </c>
      <c r="G127" s="479"/>
    </row>
    <row r="128" spans="2:7" ht="15" customHeight="1">
      <c r="B128" s="1400"/>
      <c r="C128" s="481" t="s">
        <v>318</v>
      </c>
      <c r="D128" s="462"/>
      <c r="E128" s="482" t="s">
        <v>307</v>
      </c>
      <c r="F128" s="483" t="s">
        <v>290</v>
      </c>
      <c r="G128" s="479"/>
    </row>
    <row r="129" spans="2:7" ht="15" customHeight="1">
      <c r="B129" s="1400"/>
      <c r="C129" s="481" t="s">
        <v>318</v>
      </c>
      <c r="D129" s="462"/>
      <c r="E129" s="482" t="s">
        <v>310</v>
      </c>
      <c r="F129" s="483" t="s">
        <v>291</v>
      </c>
      <c r="G129" s="479"/>
    </row>
    <row r="130" spans="2:7" ht="15" customHeight="1">
      <c r="B130" s="1400"/>
      <c r="C130" s="481" t="s">
        <v>290</v>
      </c>
      <c r="D130" s="462"/>
      <c r="E130" s="482" t="s">
        <v>311</v>
      </c>
      <c r="F130" s="483" t="s">
        <v>318</v>
      </c>
      <c r="G130" s="479"/>
    </row>
    <row r="131" spans="2:7" ht="15" customHeight="1">
      <c r="B131" s="1400"/>
      <c r="C131" s="481" t="s">
        <v>318</v>
      </c>
      <c r="D131" s="462"/>
      <c r="E131" s="482" t="s">
        <v>294</v>
      </c>
      <c r="F131" s="480"/>
      <c r="G131" s="479"/>
    </row>
    <row r="132" spans="2:7" ht="15.75" customHeight="1">
      <c r="B132" s="1400"/>
      <c r="C132" s="481" t="s">
        <v>318</v>
      </c>
      <c r="D132" s="462"/>
      <c r="E132" s="482" t="s">
        <v>291</v>
      </c>
      <c r="F132" s="480"/>
      <c r="G132" s="479"/>
    </row>
    <row r="133" spans="2:7" ht="15" customHeight="1">
      <c r="B133" s="1400"/>
      <c r="C133" s="481" t="s">
        <v>290</v>
      </c>
      <c r="D133" s="462"/>
      <c r="E133" s="482" t="s">
        <v>291</v>
      </c>
      <c r="F133" s="480"/>
      <c r="G133" s="479"/>
    </row>
    <row r="134" spans="2:7" ht="15" customHeight="1">
      <c r="B134" s="1400"/>
      <c r="C134" s="481" t="s">
        <v>318</v>
      </c>
      <c r="D134" s="462"/>
      <c r="E134" s="482" t="s">
        <v>294</v>
      </c>
      <c r="F134" s="480"/>
      <c r="G134" s="479"/>
    </row>
    <row r="135" spans="2:7" ht="15" customHeight="1">
      <c r="B135" s="1400"/>
      <c r="C135" s="481" t="s">
        <v>318</v>
      </c>
      <c r="D135" s="462"/>
      <c r="E135" s="462"/>
      <c r="F135" s="480"/>
      <c r="G135" s="479"/>
    </row>
    <row r="136" spans="2:7" ht="15" customHeight="1">
      <c r="B136" s="1400"/>
      <c r="C136" s="481" t="s">
        <v>290</v>
      </c>
      <c r="D136" s="462"/>
      <c r="E136" s="462"/>
      <c r="F136" s="480"/>
      <c r="G136" s="479"/>
    </row>
    <row r="137" spans="2:7" ht="15" customHeight="1">
      <c r="B137" s="1400"/>
      <c r="C137" s="481" t="s">
        <v>318</v>
      </c>
      <c r="D137" s="462"/>
      <c r="E137" s="462"/>
      <c r="F137" s="480"/>
      <c r="G137" s="479"/>
    </row>
    <row r="138" spans="2:7" ht="15" customHeight="1">
      <c r="B138" s="1400"/>
      <c r="C138" s="481" t="s">
        <v>290</v>
      </c>
      <c r="D138" s="462"/>
      <c r="E138" s="462"/>
      <c r="F138" s="480"/>
      <c r="G138" s="479"/>
    </row>
    <row r="139" spans="2:7" ht="15" customHeight="1">
      <c r="B139" s="1400"/>
      <c r="C139" s="481" t="s">
        <v>318</v>
      </c>
      <c r="D139" s="462"/>
      <c r="E139" s="462"/>
      <c r="F139" s="480"/>
      <c r="G139" s="479"/>
    </row>
    <row r="140" spans="2:7" ht="15" customHeight="1">
      <c r="B140" s="1400"/>
      <c r="C140" s="481" t="s">
        <v>290</v>
      </c>
      <c r="D140" s="462"/>
      <c r="E140" s="462"/>
      <c r="F140" s="480"/>
      <c r="G140" s="479"/>
    </row>
    <row r="141" spans="2:7" ht="27" customHeight="1">
      <c r="B141" s="1401"/>
      <c r="C141" s="478" t="s">
        <v>318</v>
      </c>
      <c r="D141" s="477"/>
      <c r="E141" s="477"/>
      <c r="F141" s="476"/>
      <c r="G141" s="475"/>
    </row>
    <row r="142" spans="2:7" ht="29.4" thickBot="1">
      <c r="B142" s="437"/>
    </row>
    <row r="143" spans="2:7" ht="15.75" customHeight="1" thickBot="1">
      <c r="B143" s="1402" t="s">
        <v>620</v>
      </c>
      <c r="C143" s="474" t="s">
        <v>619</v>
      </c>
    </row>
    <row r="144" spans="2:7" ht="15" customHeight="1">
      <c r="B144" s="1402"/>
      <c r="C144" s="473" t="s">
        <v>606</v>
      </c>
    </row>
    <row r="145" spans="2:6" ht="15" customHeight="1">
      <c r="B145" s="1402"/>
      <c r="C145" s="473" t="s">
        <v>605</v>
      </c>
    </row>
    <row r="146" spans="2:6" ht="15" customHeight="1">
      <c r="B146" s="1402"/>
      <c r="C146" s="473" t="s">
        <v>605</v>
      </c>
    </row>
    <row r="147" spans="2:6" ht="15" customHeight="1">
      <c r="B147" s="1402"/>
      <c r="C147" s="473" t="s">
        <v>605</v>
      </c>
    </row>
    <row r="148" spans="2:6" ht="15" customHeight="1">
      <c r="B148" s="1402"/>
      <c r="C148" s="473" t="s">
        <v>605</v>
      </c>
    </row>
    <row r="149" spans="2:6" ht="15.75" customHeight="1" thickBot="1">
      <c r="B149" s="1402"/>
      <c r="C149" s="472" t="s">
        <v>605</v>
      </c>
    </row>
    <row r="150" spans="2:6" ht="29.4" thickBot="1">
      <c r="B150" s="437"/>
    </row>
    <row r="151" spans="2:6" ht="15" thickBot="1">
      <c r="B151" s="1403" t="s">
        <v>618</v>
      </c>
      <c r="C151" s="471" t="s">
        <v>445</v>
      </c>
      <c r="D151" s="470" t="s">
        <v>446</v>
      </c>
      <c r="E151" s="470" t="s">
        <v>617</v>
      </c>
      <c r="F151" s="469" t="s">
        <v>616</v>
      </c>
    </row>
    <row r="152" spans="2:6">
      <c r="B152" s="1404"/>
      <c r="C152" s="468" t="s">
        <v>318</v>
      </c>
      <c r="D152" s="467" t="s">
        <v>318</v>
      </c>
      <c r="E152" s="466" t="s">
        <v>615</v>
      </c>
      <c r="F152" s="465"/>
    </row>
    <row r="153" spans="2:6" ht="15" customHeight="1">
      <c r="B153" s="1404"/>
      <c r="C153" s="463" t="s">
        <v>318</v>
      </c>
      <c r="D153" s="464" t="s">
        <v>318</v>
      </c>
      <c r="E153" s="462" t="s">
        <v>614</v>
      </c>
      <c r="F153" s="461"/>
    </row>
    <row r="154" spans="2:6" ht="15" customHeight="1">
      <c r="B154" s="1404"/>
      <c r="C154" s="463" t="s">
        <v>318</v>
      </c>
      <c r="D154" s="464" t="s">
        <v>318</v>
      </c>
      <c r="E154" s="462"/>
      <c r="F154" s="461"/>
    </row>
    <row r="155" spans="2:6" ht="15" customHeight="1">
      <c r="B155" s="1404"/>
      <c r="C155" s="463" t="s">
        <v>318</v>
      </c>
      <c r="D155" s="464" t="s">
        <v>318</v>
      </c>
      <c r="E155" s="462"/>
      <c r="F155" s="461"/>
    </row>
    <row r="156" spans="2:6" ht="15" customHeight="1">
      <c r="B156" s="1404"/>
      <c r="C156" s="463" t="s">
        <v>318</v>
      </c>
      <c r="D156" s="464" t="s">
        <v>304</v>
      </c>
      <c r="E156" s="462"/>
      <c r="F156" s="461"/>
    </row>
    <row r="157" spans="2:6" ht="15" customHeight="1">
      <c r="B157" s="1404"/>
      <c r="C157" s="463" t="s">
        <v>318</v>
      </c>
      <c r="D157" s="462"/>
      <c r="E157" s="462"/>
      <c r="F157" s="461"/>
    </row>
    <row r="158" spans="2:6" ht="15" customHeight="1">
      <c r="B158" s="1404"/>
      <c r="C158" s="463" t="s">
        <v>318</v>
      </c>
      <c r="D158" s="462"/>
      <c r="E158" s="462"/>
      <c r="F158" s="461"/>
    </row>
    <row r="159" spans="2:6" ht="15" customHeight="1">
      <c r="B159" s="1404"/>
      <c r="C159" s="463" t="s">
        <v>318</v>
      </c>
      <c r="D159" s="462"/>
      <c r="E159" s="462"/>
      <c r="F159" s="461"/>
    </row>
    <row r="160" spans="2:6" ht="15" customHeight="1">
      <c r="B160" s="1404"/>
      <c r="C160" s="463" t="s">
        <v>318</v>
      </c>
      <c r="D160" s="462"/>
      <c r="E160" s="462"/>
      <c r="F160" s="461"/>
    </row>
    <row r="161" spans="2:6" ht="15" customHeight="1">
      <c r="B161" s="1404"/>
      <c r="C161" s="463" t="s">
        <v>318</v>
      </c>
      <c r="D161" s="462"/>
      <c r="E161" s="462"/>
      <c r="F161" s="461"/>
    </row>
    <row r="162" spans="2:6" ht="15" customHeight="1">
      <c r="B162" s="1404"/>
      <c r="C162" s="463" t="s">
        <v>318</v>
      </c>
      <c r="D162" s="462"/>
      <c r="E162" s="462"/>
      <c r="F162" s="461"/>
    </row>
    <row r="163" spans="2:6" ht="15" customHeight="1">
      <c r="B163" s="1404"/>
      <c r="C163" s="463" t="s">
        <v>318</v>
      </c>
      <c r="D163" s="462"/>
      <c r="E163" s="462"/>
      <c r="F163" s="461"/>
    </row>
    <row r="164" spans="2:6" ht="15" customHeight="1">
      <c r="B164" s="1404"/>
      <c r="C164" s="463" t="s">
        <v>304</v>
      </c>
      <c r="D164" s="462"/>
      <c r="E164" s="462"/>
      <c r="F164" s="461"/>
    </row>
    <row r="165" spans="2:6" ht="15.75" customHeight="1" thickBot="1">
      <c r="B165" s="1404"/>
      <c r="C165" s="460" t="s">
        <v>304</v>
      </c>
      <c r="D165" s="459" t="s">
        <v>313</v>
      </c>
      <c r="E165" s="459"/>
      <c r="F165" s="458"/>
    </row>
    <row r="166" spans="2:6" ht="29.4" thickBot="1">
      <c r="B166" s="437"/>
    </row>
    <row r="167" spans="2:6" ht="15.75" customHeight="1" thickBot="1">
      <c r="B167" s="1405" t="s">
        <v>111</v>
      </c>
      <c r="C167" s="457" t="s">
        <v>613</v>
      </c>
      <c r="D167" s="456" t="s">
        <v>612</v>
      </c>
      <c r="E167" s="455" t="s">
        <v>611</v>
      </c>
    </row>
    <row r="168" spans="2:6" ht="15.75" customHeight="1" thickBot="1">
      <c r="B168" s="1406"/>
      <c r="C168" s="454" t="s">
        <v>606</v>
      </c>
      <c r="D168" s="453" t="s">
        <v>610</v>
      </c>
      <c r="E168" s="452" t="s">
        <v>609</v>
      </c>
    </row>
    <row r="169" spans="2:6" ht="29.4" thickBot="1">
      <c r="B169" s="437"/>
      <c r="C169" s="451"/>
      <c r="D169" s="384"/>
      <c r="E169" s="450"/>
    </row>
    <row r="170" spans="2:6" ht="15.75" customHeight="1" thickBot="1">
      <c r="B170" s="1405" t="s">
        <v>179</v>
      </c>
      <c r="C170" s="449" t="s">
        <v>608</v>
      </c>
      <c r="D170" s="448" t="s">
        <v>607</v>
      </c>
      <c r="E170" s="447" t="s">
        <v>457</v>
      </c>
    </row>
    <row r="171" spans="2:6" ht="15" customHeight="1">
      <c r="B171" s="1405"/>
      <c r="C171" s="446" t="s">
        <v>606</v>
      </c>
      <c r="D171" s="445" t="s">
        <v>606</v>
      </c>
      <c r="E171" s="444" t="s">
        <v>458</v>
      </c>
    </row>
    <row r="172" spans="2:6" ht="26.25" customHeight="1">
      <c r="B172" s="1405"/>
      <c r="C172" s="443" t="s">
        <v>605</v>
      </c>
      <c r="D172" s="442" t="s">
        <v>605</v>
      </c>
      <c r="E172" s="441"/>
    </row>
    <row r="173" spans="2:6" ht="26.25" customHeight="1">
      <c r="B173" s="1405"/>
      <c r="C173" s="443" t="s">
        <v>605</v>
      </c>
      <c r="D173" s="442" t="s">
        <v>605</v>
      </c>
      <c r="E173" s="441"/>
    </row>
    <row r="174" spans="2:6" ht="26.25" customHeight="1">
      <c r="B174" s="1405"/>
      <c r="C174" s="443" t="s">
        <v>605</v>
      </c>
      <c r="D174" s="442" t="s">
        <v>605</v>
      </c>
      <c r="E174" s="441"/>
    </row>
    <row r="175" spans="2:6" ht="27" customHeight="1" thickBot="1">
      <c r="B175" s="1405"/>
      <c r="C175" s="440" t="s">
        <v>605</v>
      </c>
      <c r="D175" s="439"/>
      <c r="E175" s="438"/>
    </row>
    <row r="176" spans="2:6" ht="28.8">
      <c r="B176" s="437"/>
    </row>
    <row r="177" spans="1:23" ht="28.8">
      <c r="B177" s="437"/>
    </row>
    <row r="178" spans="1:23" ht="31.2">
      <c r="B178" s="436" t="s">
        <v>604</v>
      </c>
      <c r="C178" s="435"/>
      <c r="D178" s="435"/>
      <c r="E178" s="435"/>
      <c r="F178" s="435"/>
      <c r="G178" s="435"/>
      <c r="H178" s="435"/>
      <c r="I178" s="435"/>
      <c r="J178" s="435"/>
      <c r="K178" s="435"/>
      <c r="L178" s="435"/>
      <c r="M178" s="435"/>
      <c r="N178" s="435"/>
      <c r="O178" s="435"/>
    </row>
    <row r="179" spans="1:23" ht="15" thickBot="1"/>
    <row r="180" spans="1:23" ht="15" thickBot="1">
      <c r="B180" s="434" t="s">
        <v>603</v>
      </c>
      <c r="C180" s="433"/>
      <c r="D180" s="433"/>
      <c r="E180" s="433"/>
      <c r="F180" s="432"/>
      <c r="R180" s="363"/>
      <c r="S180" s="363"/>
      <c r="T180" s="363"/>
      <c r="U180" s="363"/>
      <c r="V180" s="363"/>
      <c r="W180" s="363"/>
    </row>
    <row r="181" spans="1:23" ht="15" thickBot="1">
      <c r="D181" s="431"/>
      <c r="E181" s="430"/>
      <c r="F181" s="384"/>
      <c r="Q181" s="363"/>
      <c r="R181" s="363"/>
      <c r="S181" s="363"/>
      <c r="T181" s="363"/>
      <c r="U181" s="363"/>
      <c r="V181" s="363"/>
      <c r="W181" s="363"/>
    </row>
    <row r="182" spans="1:23" ht="30.75" customHeight="1" thickBot="1">
      <c r="B182" s="1398" t="s">
        <v>602</v>
      </c>
      <c r="C182" s="429" t="s">
        <v>601</v>
      </c>
      <c r="D182" s="428" t="s">
        <v>600</v>
      </c>
      <c r="E182" s="428" t="s">
        <v>599</v>
      </c>
      <c r="F182" s="427" t="s">
        <v>598</v>
      </c>
      <c r="G182" s="426"/>
      <c r="Q182" s="363"/>
      <c r="R182" s="363"/>
      <c r="S182" s="363"/>
      <c r="T182" s="363"/>
      <c r="U182" s="363"/>
      <c r="V182" s="363"/>
      <c r="W182" s="363"/>
    </row>
    <row r="183" spans="1:23" ht="45.75" customHeight="1" thickBot="1">
      <c r="B183" s="1398"/>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 thickBot="1">
      <c r="G185" s="384"/>
      <c r="Q185" s="363"/>
      <c r="R185" s="363"/>
      <c r="S185" s="363"/>
      <c r="T185" s="363"/>
      <c r="U185" s="363"/>
      <c r="V185" s="363"/>
      <c r="W185" s="363"/>
    </row>
    <row r="186" spans="1:23" ht="30" customHeight="1" thickBot="1">
      <c r="B186" s="1398" t="s">
        <v>593</v>
      </c>
      <c r="C186" s="421" t="s">
        <v>592</v>
      </c>
      <c r="D186" s="420" t="s">
        <v>591</v>
      </c>
      <c r="E186" s="419" t="s">
        <v>590</v>
      </c>
      <c r="G186" s="384"/>
      <c r="Q186" s="363"/>
      <c r="R186" s="363"/>
      <c r="S186" s="363"/>
      <c r="T186" s="363"/>
      <c r="U186" s="363"/>
      <c r="V186" s="363"/>
      <c r="W186" s="363"/>
    </row>
    <row r="187" spans="1:23" ht="40.200000000000003" thickBot="1">
      <c r="B187" s="1398"/>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 thickBot="1">
      <c r="B189" s="369"/>
      <c r="C189" s="384"/>
      <c r="P189" s="363"/>
      <c r="Q189" s="363"/>
      <c r="R189" s="363"/>
      <c r="S189" s="363"/>
      <c r="T189" s="363"/>
      <c r="U189" s="363"/>
      <c r="V189" s="363"/>
      <c r="W189" s="363"/>
    </row>
    <row r="190" spans="1:23" ht="22.5" customHeight="1" thickBot="1">
      <c r="A190" s="369"/>
      <c r="B190" s="1398" t="s">
        <v>587</v>
      </c>
      <c r="C190" s="417" t="s">
        <v>586</v>
      </c>
      <c r="D190" s="416" t="s">
        <v>585</v>
      </c>
      <c r="E190" s="416" t="s">
        <v>584</v>
      </c>
      <c r="F190" s="415" t="s">
        <v>583</v>
      </c>
      <c r="Q190" s="363"/>
      <c r="R190" s="363"/>
      <c r="S190" s="363"/>
      <c r="T190" s="363"/>
      <c r="U190" s="363"/>
      <c r="V190" s="363"/>
      <c r="W190" s="363"/>
    </row>
    <row r="191" spans="1:23" ht="22.5" customHeight="1" thickBot="1">
      <c r="A191" s="369"/>
      <c r="B191" s="1398"/>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 thickBot="1">
      <c r="B198" s="403"/>
      <c r="C198" s="384"/>
      <c r="F198" s="402"/>
      <c r="K198" s="401"/>
      <c r="P198" s="363"/>
      <c r="Q198" s="363"/>
      <c r="R198" s="363"/>
      <c r="S198" s="363"/>
      <c r="T198" s="363"/>
      <c r="U198" s="363"/>
      <c r="V198" s="363"/>
      <c r="W198" s="363"/>
    </row>
    <row r="199" spans="1:23" ht="15" customHeight="1" thickBot="1">
      <c r="B199" s="1398"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 thickBot="1">
      <c r="B200" s="1398"/>
      <c r="C200" s="396"/>
      <c r="D200" s="395"/>
      <c r="F200" s="367"/>
      <c r="N200" s="394"/>
      <c r="P200" s="363"/>
      <c r="Q200" s="363"/>
      <c r="R200" s="363"/>
      <c r="S200" s="363"/>
      <c r="T200" s="363"/>
      <c r="U200" s="363"/>
      <c r="V200" s="363"/>
      <c r="W200" s="363"/>
    </row>
    <row r="201" spans="1:23" ht="27" thickBot="1">
      <c r="B201" s="1398"/>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398"/>
      <c r="C202" s="384"/>
      <c r="D202" s="389" t="s">
        <v>567</v>
      </c>
      <c r="F202" s="367"/>
      <c r="P202" s="363"/>
      <c r="Q202" s="363"/>
      <c r="R202" s="363"/>
      <c r="S202" s="363"/>
      <c r="T202" s="363"/>
      <c r="U202" s="363"/>
      <c r="V202" s="363"/>
      <c r="W202" s="363"/>
    </row>
    <row r="203" spans="1:23" ht="15" thickBot="1">
      <c r="A203" s="369"/>
      <c r="B203" s="1398"/>
      <c r="C203" s="384"/>
      <c r="F203" s="367"/>
      <c r="P203" s="363"/>
      <c r="Q203" s="363"/>
      <c r="R203" s="363"/>
      <c r="S203" s="363"/>
      <c r="T203" s="363"/>
      <c r="U203" s="363"/>
      <c r="V203" s="363"/>
      <c r="W203" s="363"/>
    </row>
    <row r="204" spans="1:23" ht="15" thickBot="1">
      <c r="A204" s="369"/>
      <c r="B204" s="1398"/>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ht="15.6">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ht="15.6">
      <c r="A211" s="369"/>
      <c r="B211" s="374"/>
      <c r="C211" s="362" t="s">
        <v>560</v>
      </c>
      <c r="E211" s="367"/>
      <c r="Q211" s="363"/>
      <c r="R211" s="363"/>
      <c r="S211" s="363"/>
      <c r="T211" s="363"/>
      <c r="U211" s="363"/>
      <c r="V211" s="363"/>
      <c r="W211" s="363"/>
    </row>
    <row r="212" spans="1:23" ht="15.6">
      <c r="A212" s="369"/>
      <c r="B212" s="373"/>
      <c r="E212" s="367"/>
      <c r="Q212" s="363"/>
      <c r="R212" s="363"/>
      <c r="S212" s="363"/>
      <c r="T212" s="363"/>
      <c r="U212" s="363"/>
      <c r="V212" s="363"/>
      <c r="W212" s="363"/>
    </row>
    <row r="213" spans="1:23" ht="15.6">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ht="15.6">
      <c r="A215" s="369"/>
      <c r="B215" s="374"/>
      <c r="C215" s="362" t="s">
        <v>548</v>
      </c>
      <c r="E215" s="367"/>
      <c r="Q215" s="363"/>
      <c r="R215" s="363"/>
      <c r="S215" s="363"/>
      <c r="T215" s="363"/>
      <c r="U215" s="363"/>
      <c r="V215" s="363"/>
      <c r="W215" s="363"/>
    </row>
    <row r="216" spans="1:23" ht="15.6">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2" customWidth="1"/>
    <col min="2" max="2" width="33.88671875" style="365" customWidth="1"/>
    <col min="3" max="3" width="60.5546875" style="365" customWidth="1"/>
    <col min="4" max="4" width="38.88671875" style="362" customWidth="1"/>
    <col min="5" max="5" width="26.44140625" style="367" customWidth="1"/>
    <col min="6" max="6" width="22.109375" style="362" customWidth="1"/>
    <col min="7" max="7" width="27.33203125" style="362" customWidth="1"/>
    <col min="8" max="8" width="28.33203125" style="365" customWidth="1"/>
    <col min="9" max="9" width="19" style="366" customWidth="1"/>
    <col min="10" max="10" width="25.6640625" style="365" customWidth="1"/>
    <col min="11" max="11" width="27.88671875" style="365" customWidth="1"/>
    <col min="12" max="12" width="27.5546875" style="364" customWidth="1"/>
    <col min="13" max="13" width="27.88671875" style="362" customWidth="1"/>
    <col min="14" max="14" width="21" style="362" customWidth="1"/>
    <col min="15" max="15" width="34.33203125" style="363" customWidth="1"/>
    <col min="16" max="16" width="21" style="363" customWidth="1"/>
    <col min="17" max="18" width="22.33203125" style="363" customWidth="1"/>
    <col min="19" max="20" width="25" style="363" customWidth="1"/>
    <col min="21" max="21" width="22.5546875" style="363" customWidth="1"/>
    <col min="22" max="23" width="23.88671875" style="363" customWidth="1"/>
    <col min="24" max="24" width="26.44140625" style="362" customWidth="1"/>
    <col min="25" max="25" width="37.88671875" style="362" customWidth="1"/>
    <col min="26" max="26" width="21.33203125" style="362" customWidth="1"/>
    <col min="27" max="28" width="27" style="362" customWidth="1"/>
    <col min="29" max="30" width="30.109375" style="362" customWidth="1"/>
    <col min="31" max="31" width="25.109375" style="362" customWidth="1"/>
    <col min="32" max="32" width="28.88671875" style="362" customWidth="1"/>
    <col min="33" max="33" width="28.5546875" style="362" customWidth="1"/>
    <col min="34" max="34" width="25.109375" style="362" customWidth="1"/>
    <col min="35" max="35" width="30" style="362" customWidth="1"/>
    <col min="36" max="36" width="32" style="362" customWidth="1"/>
    <col min="37" max="37" width="28.5546875" style="362" customWidth="1"/>
    <col min="38" max="16384" width="9.10937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 thickBot="1">
      <c r="B9" s="772"/>
      <c r="C9" s="771" t="s">
        <v>807</v>
      </c>
      <c r="D9" s="770">
        <v>5</v>
      </c>
      <c r="E9" s="770"/>
      <c r="F9" s="769"/>
      <c r="G9" s="768"/>
      <c r="H9" s="362"/>
      <c r="I9" s="362"/>
      <c r="J9" s="362"/>
      <c r="K9" s="362"/>
      <c r="L9" s="362"/>
    </row>
    <row r="10" spans="1:37" ht="15" thickBot="1">
      <c r="B10" s="362"/>
      <c r="C10" s="362"/>
      <c r="E10" s="362"/>
      <c r="H10" s="362"/>
      <c r="I10" s="362"/>
      <c r="J10" s="362"/>
      <c r="K10" s="362"/>
      <c r="L10" s="362"/>
      <c r="O10" s="362"/>
      <c r="P10" s="362"/>
      <c r="Q10" s="362"/>
      <c r="R10" s="362"/>
      <c r="S10" s="362"/>
      <c r="T10" s="362"/>
      <c r="U10" s="362"/>
      <c r="V10" s="362"/>
      <c r="W10" s="362"/>
    </row>
    <row r="11" spans="1:37" ht="16.2"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19" t="s">
        <v>435</v>
      </c>
      <c r="AA11" s="1419"/>
      <c r="AB11" s="1419"/>
      <c r="AC11" s="1419"/>
      <c r="AD11" s="1419"/>
      <c r="AE11" s="1419"/>
      <c r="AF11" s="1419"/>
      <c r="AG11" s="1419"/>
      <c r="AH11" s="1419"/>
      <c r="AI11" s="1419"/>
      <c r="AJ11" s="1419"/>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0" t="s">
        <v>222</v>
      </c>
      <c r="AA12" s="1421"/>
      <c r="AB12" s="1421"/>
      <c r="AC12" s="1421"/>
      <c r="AD12" s="763" t="s">
        <v>197</v>
      </c>
      <c r="AE12" s="1422" t="s">
        <v>223</v>
      </c>
      <c r="AF12" s="1423"/>
      <c r="AG12" s="1423"/>
      <c r="AH12" s="1423"/>
      <c r="AI12" s="1424"/>
      <c r="AJ12" s="1425"/>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6"/>
      <c r="AK13" s="450"/>
    </row>
    <row r="14" spans="1:37" ht="1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27"/>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 thickBot="1">
      <c r="C23" s="636"/>
      <c r="H23" s="362"/>
      <c r="I23" s="362"/>
      <c r="J23" s="362"/>
      <c r="K23" s="362"/>
      <c r="X23" s="363"/>
    </row>
    <row r="24" spans="2:37" ht="47.25" customHeight="1" thickBot="1">
      <c r="B24" s="1417" t="s">
        <v>440</v>
      </c>
      <c r="C24" s="1418"/>
      <c r="D24" s="1418"/>
      <c r="E24" s="1418"/>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 thickBot="1">
      <c r="B39" s="675" t="s">
        <v>253</v>
      </c>
      <c r="C39" s="674" t="s">
        <v>265</v>
      </c>
      <c r="E39" s="673" t="s">
        <v>787</v>
      </c>
      <c r="G39" s="673" t="s">
        <v>786</v>
      </c>
      <c r="H39" s="362"/>
      <c r="I39" s="672" t="s">
        <v>785</v>
      </c>
    </row>
    <row r="40" spans="2:25" ht="1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43" priority="7" operator="equal">
      <formula>"YES"</formula>
    </cfRule>
  </conditionalFormatting>
  <conditionalFormatting sqref="Z16:AD18">
    <cfRule type="containsText" dxfId="42" priority="6" operator="containsText" text="YES">
      <formula>NOT(ISERROR(SEARCH("YES",Z16)))</formula>
    </cfRule>
  </conditionalFormatting>
  <conditionalFormatting sqref="Z19:AD19">
    <cfRule type="containsText" dxfId="41"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2" customWidth="1"/>
    <col min="2" max="2" width="44.5546875" style="365" customWidth="1"/>
    <col min="3" max="3" width="24.109375" style="365" customWidth="1"/>
    <col min="4" max="4" width="33.44140625" style="365" customWidth="1"/>
    <col min="5" max="7" width="17.33203125" style="365" customWidth="1"/>
    <col min="8" max="9" width="13.33203125" style="365" customWidth="1"/>
    <col min="10" max="12" width="13.6640625" style="362" customWidth="1"/>
    <col min="13" max="16384" width="9.10937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399999999999999">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 thickBot="1">
      <c r="B7" s="1149" t="s">
        <v>1031</v>
      </c>
      <c r="C7" s="1115"/>
      <c r="D7" s="1148"/>
      <c r="E7" s="1148"/>
      <c r="F7" s="1148"/>
      <c r="G7" s="1148"/>
      <c r="H7" s="1148"/>
      <c r="I7" s="1147"/>
    </row>
    <row r="8" spans="1:51" s="362" customFormat="1" ht="1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32" t="s">
        <v>1026</v>
      </c>
      <c r="B12" s="1133" t="s">
        <v>98</v>
      </c>
      <c r="C12" s="1132" t="s">
        <v>99</v>
      </c>
      <c r="D12" s="1131" t="s">
        <v>1025</v>
      </c>
      <c r="E12" s="1136"/>
      <c r="F12" s="1135"/>
      <c r="G12" s="1135"/>
      <c r="H12" s="1135"/>
      <c r="I12" s="1134"/>
    </row>
    <row r="13" spans="1:51" s="362" customFormat="1">
      <c r="A13" s="1433"/>
      <c r="B13" s="1133" t="s">
        <v>1024</v>
      </c>
      <c r="C13" s="1132" t="s">
        <v>104</v>
      </c>
      <c r="D13" s="1131" t="s">
        <v>1023</v>
      </c>
      <c r="E13" s="1435"/>
      <c r="F13" s="1435"/>
      <c r="G13" s="1435"/>
      <c r="H13" s="1435"/>
      <c r="I13" s="1436"/>
    </row>
    <row r="14" spans="1:51" s="362" customFormat="1">
      <c r="A14" s="1433"/>
      <c r="B14" s="1133" t="s">
        <v>1022</v>
      </c>
      <c r="C14" s="1132" t="s">
        <v>103</v>
      </c>
      <c r="D14" s="1131" t="s">
        <v>1021</v>
      </c>
      <c r="E14" s="1128"/>
      <c r="F14" s="1128"/>
      <c r="G14" s="1128"/>
      <c r="H14" s="1128"/>
      <c r="I14" s="1127"/>
    </row>
    <row r="15" spans="1:51" s="362" customFormat="1" ht="39" customHeight="1">
      <c r="A15" s="1433"/>
      <c r="B15" s="1130" t="s">
        <v>1020</v>
      </c>
      <c r="C15" s="1437" t="str">
        <f>dms_Amendment_Text</f>
        <v>.</v>
      </c>
      <c r="D15" s="1437"/>
      <c r="E15" s="1437"/>
      <c r="F15" s="1129" t="s">
        <v>1019</v>
      </c>
      <c r="G15" s="1128"/>
      <c r="H15" s="1128"/>
      <c r="I15" s="1127"/>
    </row>
    <row r="16" spans="1:51" s="362" customFormat="1" ht="15" customHeight="1" thickBot="1">
      <c r="A16" s="1434"/>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 thickBot="1">
      <c r="A18" s="1120" t="s">
        <v>1017</v>
      </c>
      <c r="B18" s="1119" t="s">
        <v>198</v>
      </c>
      <c r="C18" s="1118" t="s">
        <v>199</v>
      </c>
      <c r="D18" s="1117"/>
      <c r="E18" s="1117"/>
      <c r="F18" s="1117"/>
      <c r="G18" s="1117"/>
      <c r="H18" s="1117"/>
      <c r="I18" s="1116"/>
      <c r="J18" s="1115"/>
      <c r="K18" s="1115"/>
    </row>
    <row r="19" spans="1:11" s="362" customFormat="1">
      <c r="A19" s="1438" t="s">
        <v>1016</v>
      </c>
      <c r="B19" s="1114" t="s">
        <v>1015</v>
      </c>
      <c r="C19" s="854" t="s">
        <v>104</v>
      </c>
      <c r="D19" s="853" t="s">
        <v>1014</v>
      </c>
      <c r="E19" s="1113" t="s">
        <v>1013</v>
      </c>
      <c r="F19" s="1112"/>
      <c r="G19" s="1112"/>
      <c r="H19" s="1112"/>
      <c r="I19" s="1112"/>
      <c r="J19" s="1111"/>
      <c r="K19" s="1110"/>
    </row>
    <row r="20" spans="1:11" s="688" customFormat="1">
      <c r="A20" s="1439"/>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39"/>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39"/>
      <c r="B22" s="1106" t="s">
        <v>100</v>
      </c>
      <c r="C22" s="1109" t="e">
        <f ca="1">dms_RYE_result</f>
        <v>#N/A</v>
      </c>
      <c r="D22" s="824" t="s">
        <v>175</v>
      </c>
      <c r="E22" s="1108" t="s">
        <v>388</v>
      </c>
      <c r="F22" s="920"/>
      <c r="G22" s="920"/>
      <c r="H22" s="920"/>
      <c r="I22" s="920"/>
      <c r="J22" s="1105"/>
      <c r="K22" s="1104"/>
    </row>
    <row r="23" spans="1:11" s="362" customFormat="1">
      <c r="A23" s="1439"/>
      <c r="B23" s="1106" t="s">
        <v>101</v>
      </c>
      <c r="C23" s="849" t="e">
        <f>INDEX(dms_RPT_List,MATCH(dms_TradingName,dms_TradingName_List))</f>
        <v>#N/A</v>
      </c>
      <c r="D23" s="824" t="s">
        <v>389</v>
      </c>
      <c r="E23" s="1108" t="s">
        <v>390</v>
      </c>
      <c r="F23" s="920"/>
      <c r="G23" s="920"/>
      <c r="H23" s="920"/>
      <c r="I23" s="920"/>
      <c r="J23" s="1105"/>
      <c r="K23" s="1104"/>
    </row>
    <row r="24" spans="1:11" s="362" customFormat="1">
      <c r="A24" s="1439"/>
      <c r="B24" s="1106" t="s">
        <v>420</v>
      </c>
      <c r="C24" s="950" t="s">
        <v>297</v>
      </c>
      <c r="D24" s="824" t="s">
        <v>421</v>
      </c>
      <c r="E24" s="1107" t="s">
        <v>1012</v>
      </c>
      <c r="F24" s="822"/>
      <c r="G24" s="822"/>
      <c r="H24" s="822"/>
      <c r="I24" s="822"/>
      <c r="J24" s="822"/>
      <c r="K24" s="821"/>
    </row>
    <row r="25" spans="1:11" s="362" customFormat="1">
      <c r="A25" s="1439"/>
      <c r="B25" s="1106" t="s">
        <v>102</v>
      </c>
      <c r="C25" s="849" t="s">
        <v>103</v>
      </c>
      <c r="D25" s="848" t="s">
        <v>392</v>
      </c>
      <c r="E25" s="893" t="s">
        <v>393</v>
      </c>
      <c r="F25" s="920"/>
      <c r="G25" s="920"/>
      <c r="H25" s="920"/>
      <c r="I25" s="920"/>
      <c r="J25" s="1105"/>
      <c r="K25" s="1104"/>
    </row>
    <row r="26" spans="1:11" s="362" customFormat="1" ht="15.75" customHeight="1" thickBot="1">
      <c r="A26" s="1440"/>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41" t="s">
        <v>1011</v>
      </c>
      <c r="B27" s="1097" t="s">
        <v>1010</v>
      </c>
      <c r="C27" s="1096"/>
      <c r="D27" s="1096"/>
      <c r="E27" s="1073"/>
      <c r="F27" s="1072"/>
      <c r="G27" s="1072"/>
      <c r="H27" s="1072"/>
      <c r="I27" s="1072"/>
      <c r="J27" s="1072"/>
      <c r="K27" s="1071"/>
    </row>
    <row r="28" spans="1:11" s="363" customFormat="1" ht="22.5" customHeight="1">
      <c r="A28" s="1442"/>
      <c r="B28" s="1095" t="s">
        <v>1009</v>
      </c>
      <c r="C28" s="1094" t="str">
        <f>IFERROR(CRY,"NO")</f>
        <v>NO</v>
      </c>
      <c r="D28" s="1093"/>
      <c r="E28" s="1092"/>
      <c r="F28" s="1092"/>
      <c r="G28" s="1092"/>
      <c r="H28" s="1092"/>
      <c r="I28" s="1092"/>
      <c r="J28" s="1092"/>
      <c r="K28" s="1091"/>
    </row>
    <row r="29" spans="1:11" s="362" customFormat="1">
      <c r="A29" s="1442"/>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42"/>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42"/>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43"/>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15"/>
      <c r="AM33" s="1415"/>
      <c r="AN33" s="1415"/>
      <c r="AO33" s="1415"/>
      <c r="AP33" s="1415"/>
      <c r="AQ33" s="1415"/>
      <c r="AR33" s="1415"/>
      <c r="AS33" s="1415"/>
      <c r="AT33" s="1415"/>
      <c r="AU33" s="1415"/>
      <c r="AV33" s="1415"/>
      <c r="AW33" s="1415"/>
      <c r="AX33" s="1415"/>
      <c r="AY33" s="1415"/>
      <c r="AZ33" s="1415"/>
      <c r="BA33" s="1415"/>
      <c r="BB33" s="1415"/>
      <c r="BC33" s="1415"/>
      <c r="BD33" s="1415"/>
      <c r="BE33" s="1415"/>
      <c r="BF33" s="1415"/>
      <c r="BG33" s="1415"/>
      <c r="BQ33" s="1415"/>
      <c r="BR33" s="1415"/>
      <c r="BS33" s="1415"/>
      <c r="BT33" s="1415"/>
      <c r="BU33" s="1415"/>
      <c r="BV33" s="1415"/>
      <c r="BW33" s="1415"/>
      <c r="BX33" s="1415"/>
      <c r="BY33" s="1415"/>
      <c r="BZ33" s="1415"/>
      <c r="CA33" s="1415"/>
      <c r="CB33" s="1415"/>
      <c r="CC33" s="1415"/>
      <c r="CD33" s="1415"/>
      <c r="CE33" s="1415"/>
      <c r="CF33" s="1415"/>
      <c r="CG33" s="1415"/>
      <c r="CH33" s="1415"/>
      <c r="CI33" s="1415"/>
      <c r="CJ33" s="1415"/>
      <c r="CK33" s="1415"/>
      <c r="CL33" s="1415"/>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15"/>
      <c r="AM34" s="1415"/>
      <c r="AN34" s="1415"/>
      <c r="AO34" s="1415"/>
      <c r="AP34" s="1415"/>
      <c r="AQ34" s="1415"/>
      <c r="AR34" s="1415"/>
      <c r="AS34" s="1415"/>
      <c r="AT34" s="1415"/>
      <c r="AU34" s="1415"/>
      <c r="AV34" s="1415"/>
      <c r="AW34" s="1415"/>
      <c r="AX34" s="1415"/>
      <c r="AY34" s="1415"/>
      <c r="AZ34" s="1415"/>
      <c r="BA34" s="1415"/>
      <c r="BB34" s="1415"/>
      <c r="BC34" s="1415"/>
      <c r="BD34" s="1415"/>
      <c r="BE34" s="1415"/>
      <c r="BF34" s="1415"/>
      <c r="BG34" s="1415"/>
      <c r="BQ34" s="1415"/>
      <c r="BR34" s="1415"/>
      <c r="BS34" s="1415"/>
      <c r="BT34" s="1415"/>
      <c r="BU34" s="1415"/>
      <c r="BV34" s="1415"/>
      <c r="BW34" s="1415"/>
      <c r="BX34" s="1415"/>
      <c r="BY34" s="1415"/>
      <c r="BZ34" s="1415"/>
      <c r="CA34" s="1415"/>
      <c r="CB34" s="1415"/>
      <c r="CC34" s="1415"/>
      <c r="CD34" s="1415"/>
      <c r="CE34" s="1415"/>
      <c r="CF34" s="1415"/>
      <c r="CG34" s="1415"/>
      <c r="CH34" s="1415"/>
      <c r="CI34" s="1415"/>
      <c r="CJ34" s="1415"/>
      <c r="CK34" s="1415"/>
      <c r="CL34" s="1415"/>
    </row>
    <row r="35" spans="1:90" s="362" customFormat="1" ht="24" customHeight="1" thickBot="1">
      <c r="A35" s="1428" t="s">
        <v>1003</v>
      </c>
      <c r="B35" s="871" t="s">
        <v>1002</v>
      </c>
      <c r="C35" s="870"/>
      <c r="D35" s="1073"/>
      <c r="E35" s="1073"/>
      <c r="F35" s="1072"/>
      <c r="G35" s="1072"/>
      <c r="H35" s="1072"/>
      <c r="I35" s="1072"/>
      <c r="J35" s="1072"/>
      <c r="K35" s="1071"/>
      <c r="AL35" s="1415"/>
      <c r="AM35" s="1415"/>
      <c r="AN35" s="1415"/>
      <c r="AO35" s="1415"/>
      <c r="AP35" s="1415"/>
      <c r="AQ35" s="1415"/>
      <c r="AR35" s="1415"/>
      <c r="AS35" s="1415"/>
      <c r="AT35" s="1415"/>
      <c r="AU35" s="1415"/>
      <c r="AV35" s="1415"/>
      <c r="AW35" s="1415"/>
      <c r="AX35" s="1415"/>
      <c r="AY35" s="1415"/>
      <c r="AZ35" s="1415"/>
      <c r="BA35" s="1415"/>
      <c r="BB35" s="1415"/>
      <c r="BC35" s="1415"/>
      <c r="BD35" s="1415"/>
      <c r="BE35" s="1415"/>
      <c r="BF35" s="1415"/>
      <c r="BG35" s="1415"/>
      <c r="BQ35" s="1415"/>
      <c r="BR35" s="1415"/>
      <c r="BS35" s="1415"/>
      <c r="BT35" s="1415"/>
      <c r="BU35" s="1415"/>
      <c r="BV35" s="1415"/>
      <c r="BW35" s="1415"/>
      <c r="BX35" s="1415"/>
      <c r="BY35" s="1415"/>
      <c r="BZ35" s="1415"/>
      <c r="CA35" s="1415"/>
      <c r="CB35" s="1415"/>
      <c r="CC35" s="1415"/>
      <c r="CD35" s="1415"/>
      <c r="CE35" s="1415"/>
      <c r="CF35" s="1415"/>
      <c r="CG35" s="1415"/>
      <c r="CH35" s="1415"/>
      <c r="CI35" s="1415"/>
      <c r="CJ35" s="1415"/>
      <c r="CK35" s="1415"/>
      <c r="CL35" s="1415"/>
    </row>
    <row r="36" spans="1:90" s="362" customFormat="1">
      <c r="A36" s="1429"/>
      <c r="B36" s="1070" t="s">
        <v>1001</v>
      </c>
      <c r="C36" s="1069" t="str">
        <f>FRCP_y1</f>
        <v>2020-21</v>
      </c>
      <c r="D36" s="1068" t="s">
        <v>1000</v>
      </c>
      <c r="E36" s="1067" t="s">
        <v>999</v>
      </c>
      <c r="F36" s="1066"/>
      <c r="G36" s="1066"/>
      <c r="H36" s="1066"/>
      <c r="I36" s="1066"/>
      <c r="J36" s="1066"/>
      <c r="K36" s="1065"/>
    </row>
    <row r="37" spans="1:90" s="362" customFormat="1">
      <c r="A37" s="1429"/>
      <c r="B37" s="1050" t="s">
        <v>998</v>
      </c>
      <c r="C37" s="1064" t="e">
        <f ca="1">IFERROR(CRY,CRCP_y4)</f>
        <v>#N/A</v>
      </c>
      <c r="D37" s="1048" t="s">
        <v>997</v>
      </c>
      <c r="E37" s="1063"/>
      <c r="F37" s="1062"/>
      <c r="G37" s="1062"/>
      <c r="H37" s="1062"/>
      <c r="I37" s="1062"/>
      <c r="J37" s="1062"/>
      <c r="K37" s="1061"/>
    </row>
    <row r="38" spans="1:90" s="362" customFormat="1">
      <c r="A38" s="1429"/>
      <c r="B38" s="1050" t="s">
        <v>996</v>
      </c>
      <c r="C38" s="1064">
        <f ca="1">IFERROR(MATCH(dms_CRY_start_year,INDIRECT(dms_RPT),0),0)</f>
        <v>0</v>
      </c>
      <c r="D38" s="1048" t="s">
        <v>995</v>
      </c>
      <c r="E38" s="1063"/>
      <c r="F38" s="1062"/>
      <c r="G38" s="1062"/>
      <c r="H38" s="1062"/>
      <c r="I38" s="1062"/>
      <c r="J38" s="1062"/>
      <c r="K38" s="1061"/>
    </row>
    <row r="39" spans="1:90" s="362" customFormat="1">
      <c r="A39" s="1429"/>
      <c r="B39" s="1054" t="s">
        <v>994</v>
      </c>
      <c r="C39" s="1060" t="e">
        <f ca="1">MATCH(dms_start_year,INDIRECT(dms_RPT),0)</f>
        <v>#N/A</v>
      </c>
      <c r="D39" s="1052" t="s">
        <v>993</v>
      </c>
      <c r="E39" s="1041" t="s">
        <v>992</v>
      </c>
      <c r="F39" s="1056"/>
      <c r="G39" s="1056"/>
      <c r="H39" s="1056"/>
      <c r="I39" s="1056"/>
      <c r="J39" s="1056"/>
      <c r="K39" s="1055"/>
    </row>
    <row r="40" spans="1:90" s="362" customFormat="1">
      <c r="A40" s="1429"/>
      <c r="B40" s="1030" t="s">
        <v>991</v>
      </c>
      <c r="C40" s="1029" t="e">
        <f ca="1">dms_FRCP_start_row-dms_CRCPlength_Num</f>
        <v>#N/A</v>
      </c>
      <c r="D40" s="1028" t="s">
        <v>990</v>
      </c>
      <c r="E40" s="1027" t="s">
        <v>989</v>
      </c>
      <c r="F40" s="1026"/>
      <c r="G40" s="1026"/>
      <c r="H40" s="1026"/>
      <c r="I40" s="1026"/>
      <c r="J40" s="1026"/>
      <c r="K40" s="1025"/>
    </row>
    <row r="41" spans="1:90" s="362" customFormat="1">
      <c r="A41" s="1429"/>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29"/>
      <c r="B42" s="1059" t="s">
        <v>985</v>
      </c>
      <c r="C42" s="1058" t="e">
        <f ca="1">dms_FRCP_start_row+(dms_FRCPlength_Num-1)</f>
        <v>#N/A</v>
      </c>
      <c r="D42" s="1057" t="s">
        <v>984</v>
      </c>
      <c r="E42" s="1037" t="s">
        <v>983</v>
      </c>
      <c r="F42" s="1036"/>
      <c r="G42" s="1036"/>
      <c r="H42" s="1036"/>
      <c r="I42" s="1036"/>
      <c r="J42" s="1036"/>
      <c r="K42" s="1035"/>
    </row>
    <row r="43" spans="1:90" s="362" customFormat="1">
      <c r="A43" s="1429"/>
      <c r="B43" s="1054" t="s">
        <v>982</v>
      </c>
      <c r="C43" s="1053" t="e">
        <f ca="1">INDEX(INDIRECT(dms_RPT),dms_FRCP_start_row)</f>
        <v>#N/A</v>
      </c>
      <c r="D43" s="1052" t="s">
        <v>981</v>
      </c>
      <c r="E43" s="1041" t="s">
        <v>980</v>
      </c>
      <c r="F43" s="1056"/>
      <c r="G43" s="1056"/>
      <c r="H43" s="1056"/>
      <c r="I43" s="1056"/>
      <c r="J43" s="1056"/>
      <c r="K43" s="1055"/>
    </row>
    <row r="44" spans="1:90" s="362" customFormat="1">
      <c r="A44" s="1429"/>
      <c r="B44" s="1030" t="s">
        <v>979</v>
      </c>
      <c r="C44" s="1029" t="e">
        <f ca="1">INDEX(INDIRECT(dms_RPT),dms_CRCP_start_row)</f>
        <v>#N/A</v>
      </c>
      <c r="D44" s="1028" t="s">
        <v>978</v>
      </c>
      <c r="E44" s="1027" t="s">
        <v>977</v>
      </c>
      <c r="F44" s="1026"/>
      <c r="G44" s="1026"/>
      <c r="H44" s="1026"/>
      <c r="I44" s="1026"/>
      <c r="J44" s="1026"/>
      <c r="K44" s="1025"/>
    </row>
    <row r="45" spans="1:90" s="362" customFormat="1">
      <c r="A45" s="1429"/>
      <c r="B45" s="1040" t="s">
        <v>976</v>
      </c>
      <c r="C45" s="1039" t="e">
        <f ca="1">INDEX(INDIRECT(dms_RPT),dms_PRCP_start_row)</f>
        <v>#N/A</v>
      </c>
      <c r="D45" s="1038" t="s">
        <v>975</v>
      </c>
      <c r="E45" s="1037" t="s">
        <v>974</v>
      </c>
      <c r="F45" s="1036"/>
      <c r="G45" s="1036"/>
      <c r="H45" s="1036"/>
      <c r="I45" s="1036"/>
      <c r="J45" s="1036"/>
      <c r="K45" s="1035"/>
    </row>
    <row r="46" spans="1:90" s="362" customFormat="1">
      <c r="A46" s="1429"/>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29"/>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29"/>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29"/>
      <c r="B49" s="1054" t="s">
        <v>964</v>
      </c>
      <c r="C49" s="1053" t="e">
        <f ca="1">INDEX(INDIRECT(dms_RPT),dms_RYE_start_row)</f>
        <v>#N/A</v>
      </c>
      <c r="D49" s="1052" t="s">
        <v>963</v>
      </c>
      <c r="E49" s="1027" t="s">
        <v>962</v>
      </c>
      <c r="F49" s="1026"/>
      <c r="G49" s="1026"/>
      <c r="H49" s="1026"/>
      <c r="I49" s="1026"/>
      <c r="J49" s="1026"/>
      <c r="K49" s="1025"/>
    </row>
    <row r="50" spans="1:11" s="362" customFormat="1">
      <c r="A50" s="1429"/>
      <c r="B50" s="1040" t="s">
        <v>961</v>
      </c>
      <c r="C50" s="1051" t="e">
        <f>FRY</f>
        <v>#NAME?</v>
      </c>
      <c r="D50" s="1038" t="s">
        <v>960</v>
      </c>
      <c r="E50" s="1037" t="s">
        <v>959</v>
      </c>
      <c r="F50" s="1036"/>
      <c r="G50" s="1036"/>
      <c r="H50" s="1036"/>
      <c r="I50" s="1036"/>
      <c r="J50" s="1036"/>
      <c r="K50" s="1035"/>
    </row>
    <row r="51" spans="1:11" s="362" customFormat="1">
      <c r="A51" s="1429"/>
      <c r="B51" s="1050" t="s">
        <v>958</v>
      </c>
      <c r="C51" s="1049" t="e">
        <f ca="1">LEFT(CRCP_final_year,2)&amp;RIGHT(CRCP_final_year,2)</f>
        <v>#N/A</v>
      </c>
      <c r="D51" s="1048" t="s">
        <v>957</v>
      </c>
      <c r="E51" s="1047" t="s">
        <v>956</v>
      </c>
      <c r="F51" s="1046"/>
      <c r="G51" s="1046"/>
      <c r="H51" s="1046"/>
      <c r="I51" s="1046"/>
      <c r="J51" s="1046"/>
      <c r="K51" s="1045"/>
    </row>
    <row r="52" spans="1:11" s="362" customFormat="1">
      <c r="A52" s="1429"/>
      <c r="B52" s="1044" t="s">
        <v>955</v>
      </c>
      <c r="C52" s="1043" t="e">
        <f ca="1">LEFT(PRCP_final_year,2)&amp;RIGHT(PRCP_final_year,2)</f>
        <v>#N/A</v>
      </c>
      <c r="D52" s="1042" t="s">
        <v>954</v>
      </c>
      <c r="E52" s="1037" t="s">
        <v>953</v>
      </c>
      <c r="F52" s="1036"/>
      <c r="G52" s="1036"/>
      <c r="H52" s="1036"/>
      <c r="I52" s="1036"/>
      <c r="J52" s="1036"/>
      <c r="K52" s="1035"/>
    </row>
    <row r="53" spans="1:11" s="362" customFormat="1">
      <c r="A53" s="1429"/>
      <c r="B53" s="1034" t="s">
        <v>952</v>
      </c>
      <c r="C53" s="1033">
        <f>IFERROR(LEFT(CRY,2)&amp;RIGHT(CRY,2),0)</f>
        <v>0</v>
      </c>
      <c r="D53" s="1032" t="s">
        <v>951</v>
      </c>
      <c r="E53" s="1041" t="s">
        <v>950</v>
      </c>
      <c r="F53" s="1026"/>
      <c r="G53" s="1026"/>
      <c r="H53" s="1026"/>
      <c r="I53" s="1026"/>
      <c r="J53" s="1026"/>
      <c r="K53" s="1025"/>
    </row>
    <row r="54" spans="1:11" s="362" customFormat="1">
      <c r="A54" s="1429"/>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29"/>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29"/>
      <c r="B56" s="1030" t="s">
        <v>943</v>
      </c>
      <c r="C56" s="1029">
        <f>INDEX(dms_Model_Span_List,MATCH(dms_Model,dms_Model_List))</f>
        <v>5</v>
      </c>
      <c r="D56" s="1028" t="s">
        <v>942</v>
      </c>
      <c r="E56" s="1027" t="s">
        <v>941</v>
      </c>
      <c r="F56" s="1026"/>
      <c r="G56" s="1026"/>
      <c r="H56" s="1026"/>
      <c r="I56" s="1026"/>
      <c r="J56" s="1026"/>
      <c r="K56" s="1025"/>
    </row>
    <row r="57" spans="1:11" s="362" customFormat="1">
      <c r="A57" s="1429"/>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29"/>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29"/>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 thickBot="1">
      <c r="A60" s="1429"/>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7.399999999999999">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6.4">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30" t="s">
        <v>914</v>
      </c>
      <c r="C72" s="985">
        <f>IF(dms_Model="EB",1,0)</f>
        <v>0</v>
      </c>
      <c r="D72" s="984" t="s">
        <v>404</v>
      </c>
      <c r="E72" s="983"/>
      <c r="F72" s="953"/>
      <c r="G72" s="953"/>
      <c r="H72" s="953"/>
      <c r="I72" s="953"/>
      <c r="J72" s="982"/>
      <c r="K72" s="981"/>
    </row>
    <row r="73" spans="2:11" s="362" customFormat="1">
      <c r="B73" s="1430"/>
      <c r="C73" s="980">
        <f>IF(dms_Model="CA",1,0)</f>
        <v>0</v>
      </c>
      <c r="D73" s="979" t="s">
        <v>405</v>
      </c>
      <c r="E73" s="976" t="s">
        <v>406</v>
      </c>
      <c r="F73" s="974"/>
      <c r="G73" s="974"/>
      <c r="H73" s="974"/>
      <c r="I73" s="974"/>
      <c r="J73" s="973"/>
      <c r="K73" s="972"/>
    </row>
    <row r="74" spans="2:11" s="362" customFormat="1">
      <c r="B74" s="1431"/>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6.4">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 thickBot="1">
      <c r="B108" s="871" t="s">
        <v>853</v>
      </c>
      <c r="C108" s="870"/>
      <c r="D108" s="870"/>
      <c r="E108" s="870"/>
      <c r="F108" s="869"/>
      <c r="G108" s="869"/>
      <c r="H108" s="869"/>
      <c r="I108" s="869"/>
      <c r="J108" s="869"/>
      <c r="K108" s="868"/>
    </row>
    <row r="109" spans="1:12" ht="39.6">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 thickBot="1">
      <c r="B117" s="820"/>
      <c r="C117" s="819"/>
      <c r="D117" s="818"/>
      <c r="E117" s="817"/>
      <c r="F117" s="816"/>
      <c r="G117" s="816"/>
      <c r="H117" s="816"/>
      <c r="I117" s="816"/>
      <c r="J117" s="816"/>
      <c r="K117" s="815"/>
    </row>
    <row r="118" spans="2:11" s="362" customFormat="1" ht="1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 thickBot="1">
      <c r="B126" s="820"/>
      <c r="C126" s="819"/>
      <c r="D126" s="818"/>
      <c r="E126" s="817"/>
      <c r="F126" s="816"/>
      <c r="G126" s="816"/>
      <c r="H126" s="816"/>
      <c r="I126" s="816"/>
      <c r="J126" s="816"/>
      <c r="K126" s="815"/>
    </row>
    <row r="127" spans="2:11" s="362" customFormat="1" ht="15" thickBot="1">
      <c r="B127" s="829" t="s">
        <v>825</v>
      </c>
      <c r="C127" s="828"/>
      <c r="D127" s="828"/>
      <c r="E127" s="828"/>
      <c r="F127" s="827"/>
      <c r="G127" s="827"/>
      <c r="H127" s="827"/>
      <c r="I127" s="827"/>
      <c r="J127" s="827"/>
      <c r="K127" s="826"/>
    </row>
    <row r="128" spans="2:11" ht="15" thickBot="1">
      <c r="B128" s="835" t="s">
        <v>422</v>
      </c>
      <c r="C128" s="834" t="s">
        <v>255</v>
      </c>
      <c r="D128" s="833" t="s">
        <v>423</v>
      </c>
      <c r="E128" s="832" t="s">
        <v>424</v>
      </c>
      <c r="F128" s="831"/>
      <c r="G128" s="831"/>
      <c r="H128" s="831"/>
      <c r="I128" s="831"/>
      <c r="J128" s="831"/>
      <c r="K128" s="830"/>
    </row>
    <row r="129" spans="2:11" s="362" customFormat="1" ht="15" thickBot="1"/>
    <row r="130" spans="2:11" s="362" customFormat="1" ht="1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 thickBot="1">
      <c r="B133" s="820"/>
      <c r="C133" s="819"/>
      <c r="D133" s="818"/>
      <c r="E133" s="817"/>
      <c r="F133" s="816"/>
      <c r="G133" s="816"/>
      <c r="H133" s="816"/>
      <c r="I133" s="816"/>
      <c r="J133" s="816"/>
      <c r="K133" s="815"/>
    </row>
    <row r="134" spans="2:11" ht="1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2" customWidth="1"/>
    <col min="97" max="16384" width="9.109375" style="362"/>
  </cols>
  <sheetData>
    <row r="1" spans="1:96" ht="44.25" customHeight="1">
      <c r="H1" s="1466"/>
      <c r="I1" s="1466"/>
      <c r="J1" s="1466"/>
      <c r="K1" s="1466"/>
      <c r="L1" s="1466"/>
      <c r="M1" s="1466"/>
      <c r="N1" s="1466"/>
      <c r="O1" s="1466"/>
      <c r="P1" s="1466"/>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66"/>
      <c r="I2" s="1466"/>
      <c r="J2" s="1466"/>
      <c r="K2" s="1466"/>
      <c r="L2" s="1466"/>
      <c r="M2" s="1466"/>
      <c r="N2" s="1466"/>
      <c r="O2" s="1466"/>
      <c r="P2" s="1466"/>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66"/>
      <c r="I3" s="1466"/>
      <c r="J3" s="1466"/>
      <c r="K3" s="1466"/>
      <c r="L3" s="1466"/>
      <c r="M3" s="1466"/>
      <c r="N3" s="1466"/>
      <c r="O3" s="1466"/>
      <c r="P3" s="1466"/>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67" t="s">
        <v>172</v>
      </c>
      <c r="W4" s="1467"/>
      <c r="X4" s="1467"/>
      <c r="Y4" s="1467"/>
      <c r="Z4" s="1467"/>
      <c r="AA4" s="1467"/>
      <c r="AB4" s="1467"/>
      <c r="AC4" s="1467"/>
      <c r="AD4" s="1467"/>
      <c r="AE4" s="1467"/>
      <c r="AF4" s="1467"/>
      <c r="AG4" s="1467"/>
      <c r="AH4" s="1467"/>
      <c r="AI4" s="1467"/>
      <c r="AJ4" s="1467"/>
      <c r="AK4" s="1467"/>
      <c r="AL4" s="1467"/>
      <c r="AM4" s="1467"/>
      <c r="AN4" s="1467"/>
      <c r="AO4" s="1467"/>
      <c r="AP4" s="1467"/>
      <c r="AQ4" s="1467"/>
      <c r="AR4" s="1467"/>
      <c r="AS4" s="1467"/>
      <c r="AT4" s="1467"/>
      <c r="AU4" s="1467"/>
      <c r="AV4" s="1467"/>
      <c r="AW4" s="1467"/>
      <c r="AX4" s="1467"/>
      <c r="AY4" s="1467"/>
      <c r="AZ4" s="1467"/>
      <c r="BA4" s="1467"/>
      <c r="BB4" s="1467"/>
      <c r="BC4" s="1467"/>
      <c r="BD4" s="1467"/>
      <c r="BE4" s="1467"/>
      <c r="BF4" s="1467"/>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1">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68" t="s">
        <v>1060</v>
      </c>
      <c r="W7" s="1468"/>
      <c r="X7" s="1468"/>
      <c r="Y7" s="1468"/>
      <c r="Z7" s="1468"/>
      <c r="AA7" s="1468"/>
      <c r="AB7" s="1468"/>
      <c r="AC7" s="1468"/>
      <c r="AD7" s="1468"/>
      <c r="AE7" s="1468"/>
      <c r="AF7" s="1468"/>
      <c r="AG7" s="1468"/>
      <c r="AH7" s="1468"/>
      <c r="AI7" s="1468"/>
      <c r="AJ7" s="1468"/>
      <c r="AK7" s="1468"/>
      <c r="AL7" s="1468"/>
      <c r="AM7" s="1468"/>
      <c r="AN7" s="1468"/>
      <c r="AO7" s="1468"/>
      <c r="AP7" s="1468"/>
      <c r="AQ7" s="1468"/>
      <c r="AR7" s="1468"/>
      <c r="AS7" s="1468"/>
      <c r="AT7" s="1468"/>
      <c r="AU7" s="1468"/>
      <c r="AV7" s="1468"/>
      <c r="AW7" s="1468"/>
      <c r="AX7" s="1468"/>
      <c r="AY7" s="1468"/>
      <c r="AZ7" s="1468"/>
      <c r="BA7" s="1468"/>
      <c r="BB7" s="1468"/>
      <c r="BC7" s="1468"/>
      <c r="BD7" s="1468"/>
      <c r="BE7" s="1468"/>
      <c r="BF7" s="1468"/>
      <c r="BG7" s="1468"/>
      <c r="BH7" s="1468"/>
      <c r="BI7" s="1468"/>
      <c r="BJ7" s="1468"/>
      <c r="BK7" s="1468"/>
      <c r="BL7" s="1468"/>
      <c r="BM7" s="1468"/>
      <c r="BN7" s="1468"/>
      <c r="BO7" s="1468"/>
      <c r="BP7" s="1468"/>
      <c r="BQ7" s="1468"/>
      <c r="BR7" s="1468"/>
      <c r="BS7" s="1468"/>
      <c r="BT7" s="1468"/>
      <c r="BU7" s="1468"/>
      <c r="BV7" s="1468"/>
      <c r="BW7" s="1468"/>
      <c r="BX7" s="1468"/>
      <c r="BY7" s="1224"/>
      <c r="BZ7" s="1224"/>
      <c r="CA7" s="1224"/>
      <c r="CB7" s="1224"/>
      <c r="CC7" s="1224"/>
      <c r="CD7" s="1224"/>
      <c r="CE7" s="1224"/>
      <c r="CF7" s="1224"/>
      <c r="CG7" s="1224"/>
      <c r="CH7" s="1224"/>
      <c r="CI7" s="1224"/>
      <c r="CJ7" s="1224"/>
      <c r="CK7" s="1224"/>
      <c r="CL7" s="1224"/>
      <c r="CM7" s="1224"/>
      <c r="CN7" s="1224"/>
      <c r="CO7" s="1224"/>
      <c r="CP7" s="1224"/>
    </row>
    <row r="8" spans="1:96" ht="21">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69" t="s">
        <v>1059</v>
      </c>
      <c r="R9" s="1469"/>
      <c r="S9" s="1469"/>
      <c r="T9" s="1469"/>
      <c r="U9" s="1469"/>
      <c r="V9" s="1469"/>
      <c r="W9" s="1469"/>
      <c r="X9" s="1469"/>
      <c r="Y9" s="1469"/>
      <c r="Z9" s="1469"/>
      <c r="AA9" s="1469"/>
      <c r="AB9" s="1469"/>
      <c r="AC9" s="1469"/>
      <c r="AD9" s="1469"/>
      <c r="AE9" s="1469"/>
      <c r="AF9" s="1469"/>
      <c r="AG9" s="1469"/>
      <c r="AH9" s="1469"/>
      <c r="AI9" s="1469"/>
      <c r="AJ9" s="1469"/>
      <c r="AK9" s="1469"/>
      <c r="AL9" s="1469"/>
      <c r="AM9" s="1469"/>
      <c r="AN9" s="1469"/>
      <c r="AO9" s="1469"/>
      <c r="AP9" s="1469"/>
      <c r="AQ9" s="1469"/>
      <c r="AR9" s="1469"/>
      <c r="AS9" s="1469"/>
      <c r="AT9" s="1469"/>
      <c r="AU9" s="1469"/>
      <c r="AV9" s="1469"/>
      <c r="AW9" s="1469"/>
      <c r="AX9" s="1469"/>
      <c r="AY9" s="1469"/>
      <c r="AZ9" s="1469"/>
      <c r="BA9" s="1469"/>
      <c r="BB9" s="1469"/>
      <c r="BC9" s="1469"/>
      <c r="BD9" s="1469"/>
      <c r="BE9" s="1469"/>
      <c r="BF9" s="1469"/>
      <c r="BG9" s="1469"/>
      <c r="BH9" s="1469"/>
      <c r="BI9" s="1469"/>
      <c r="BJ9" s="1469"/>
      <c r="BK9" s="1469"/>
      <c r="BL9" s="1469"/>
      <c r="BM9" s="1469"/>
      <c r="BN9" s="1469"/>
      <c r="BO9" s="1469"/>
      <c r="BP9" s="1469"/>
      <c r="BQ9" s="1469"/>
      <c r="BR9" s="1469"/>
      <c r="BS9" s="1469"/>
      <c r="BT9" s="1469"/>
      <c r="BU9" s="1469"/>
      <c r="BV9" s="1469"/>
      <c r="BW9" s="1469"/>
      <c r="BX9" s="1469"/>
      <c r="BY9" s="1469"/>
      <c r="BZ9" s="1469"/>
      <c r="CA9" s="1469"/>
      <c r="CB9" s="1469"/>
      <c r="CC9" s="1469"/>
      <c r="CD9" s="1469"/>
      <c r="CE9" s="1469"/>
      <c r="CF9" s="1469"/>
      <c r="CG9" s="1469"/>
      <c r="CH9" s="1469"/>
      <c r="CI9" s="1469"/>
      <c r="CJ9" s="1469"/>
      <c r="CK9" s="1469"/>
      <c r="CL9" s="1469"/>
      <c r="CM9" s="1469"/>
      <c r="CN9" s="1469"/>
      <c r="CO9" s="1469"/>
      <c r="CP9" s="1469"/>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7.399999999999999">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70" t="s">
        <v>380</v>
      </c>
      <c r="W16" s="1470"/>
      <c r="X16" s="1470"/>
      <c r="Y16" s="1470"/>
      <c r="Z16" s="1470"/>
      <c r="AA16" s="1470"/>
      <c r="AB16" s="1470"/>
      <c r="AC16" s="1470"/>
      <c r="AD16" s="1470"/>
      <c r="AE16" s="1470"/>
      <c r="AF16" s="1470"/>
      <c r="AG16" s="1470"/>
      <c r="AH16" s="1470"/>
      <c r="AI16" s="1470"/>
      <c r="AJ16" s="1470"/>
      <c r="AK16" s="1210"/>
      <c r="AL16" s="1471">
        <f>dms_InputTradingName</f>
        <v>0</v>
      </c>
      <c r="AM16" s="1471"/>
      <c r="AN16" s="1471"/>
      <c r="AO16" s="1471"/>
      <c r="AP16" s="1471"/>
      <c r="AQ16" s="1471"/>
      <c r="AR16" s="1471"/>
      <c r="AS16" s="1471"/>
      <c r="AT16" s="1471"/>
      <c r="AU16" s="1471"/>
      <c r="AV16" s="1471"/>
      <c r="AW16" s="1471"/>
      <c r="AX16" s="1471"/>
      <c r="AY16" s="1471"/>
      <c r="AZ16" s="1471"/>
      <c r="BA16" s="1471"/>
      <c r="BB16" s="1471"/>
      <c r="BC16" s="1471"/>
      <c r="BD16" s="1471"/>
      <c r="BE16" s="1471"/>
      <c r="BF16" s="1471"/>
      <c r="BG16" s="1471"/>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63" t="s">
        <v>1057</v>
      </c>
      <c r="W17" s="1464"/>
      <c r="X17" s="1464"/>
      <c r="Y17" s="1464"/>
      <c r="Z17" s="1464"/>
      <c r="AA17" s="1464"/>
      <c r="AB17" s="1464"/>
      <c r="AC17" s="1464"/>
      <c r="AD17" s="1464"/>
      <c r="AE17" s="1464"/>
      <c r="AF17" s="1464"/>
      <c r="AG17" s="1464"/>
      <c r="AH17" s="1464"/>
      <c r="AI17" s="1464"/>
      <c r="AJ17" s="1464"/>
      <c r="AK17" s="1207"/>
      <c r="AL17" s="1465" t="e">
        <f>INDEX(dms_ABN_List,MATCH(dms_TradingName,dms_TradingName_List))</f>
        <v>#N/A</v>
      </c>
      <c r="AM17" s="1465"/>
      <c r="AN17" s="1465"/>
      <c r="AO17" s="1465"/>
      <c r="AP17" s="1465"/>
      <c r="AQ17" s="1465"/>
      <c r="AR17" s="1465"/>
      <c r="AS17" s="1465"/>
      <c r="AT17" s="1465"/>
      <c r="AU17" s="1465"/>
      <c r="AV17" s="1465"/>
      <c r="AW17" s="1465"/>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3" t="s">
        <v>87</v>
      </c>
      <c r="W23" s="1453"/>
      <c r="X23" s="1453"/>
      <c r="Y23" s="1453"/>
      <c r="Z23" s="1453"/>
      <c r="AA23" s="1453"/>
      <c r="AB23" s="1453"/>
      <c r="AC23" s="1453"/>
      <c r="AD23" s="1453"/>
      <c r="AE23" s="1453"/>
      <c r="AF23" s="1453"/>
      <c r="AG23" s="1453"/>
      <c r="AH23" s="1453"/>
      <c r="AI23" s="1453"/>
      <c r="AJ23" s="1453"/>
      <c r="AK23" s="1164"/>
      <c r="AL23" s="1460" t="e">
        <f>INDEX(dms_Addr1_List,MATCH(dms_TradingName,dms_TradingName_List))</f>
        <v>#N/A</v>
      </c>
      <c r="AM23" s="1461"/>
      <c r="AN23" s="1461"/>
      <c r="AO23" s="1461"/>
      <c r="AP23" s="1461"/>
      <c r="AQ23" s="1461"/>
      <c r="AR23" s="1461"/>
      <c r="AS23" s="1461"/>
      <c r="AT23" s="1461"/>
      <c r="AU23" s="1461"/>
      <c r="AV23" s="1461"/>
      <c r="AW23" s="1461"/>
      <c r="AX23" s="1461"/>
      <c r="AY23" s="1461"/>
      <c r="AZ23" s="1461"/>
      <c r="BA23" s="1461"/>
      <c r="BB23" s="1461"/>
      <c r="BC23" s="1461"/>
      <c r="BD23" s="1461"/>
      <c r="BE23" s="1461"/>
      <c r="BF23" s="1461"/>
      <c r="BG23" s="1462"/>
      <c r="BH23" s="1163"/>
      <c r="BI23" s="1453" t="s">
        <v>87</v>
      </c>
      <c r="BJ23" s="1453"/>
      <c r="BK23" s="1453"/>
      <c r="BL23" s="1453"/>
      <c r="BM23" s="1453"/>
      <c r="BN23" s="1453"/>
      <c r="BO23" s="1453"/>
      <c r="BP23" s="1195"/>
      <c r="BQ23" s="1460" t="e">
        <f>INDEX(dms_PAddr1_List,MATCH(dms_TradingName,dms_TradingName_List))</f>
        <v>#N/A</v>
      </c>
      <c r="BR23" s="1461"/>
      <c r="BS23" s="1461"/>
      <c r="BT23" s="1461"/>
      <c r="BU23" s="1461"/>
      <c r="BV23" s="1461"/>
      <c r="BW23" s="1461"/>
      <c r="BX23" s="1461"/>
      <c r="BY23" s="1461"/>
      <c r="BZ23" s="1461"/>
      <c r="CA23" s="1461"/>
      <c r="CB23" s="1461"/>
      <c r="CC23" s="1461"/>
      <c r="CD23" s="1461"/>
      <c r="CE23" s="1461"/>
      <c r="CF23" s="1461"/>
      <c r="CG23" s="1461"/>
      <c r="CH23" s="1461"/>
      <c r="CI23" s="1461"/>
      <c r="CJ23" s="1461"/>
      <c r="CK23" s="1461"/>
      <c r="CL23" s="1462"/>
      <c r="CM23" s="1164"/>
      <c r="CN23" s="1164"/>
      <c r="CO23" s="1164"/>
      <c r="CP23" s="1164"/>
    </row>
    <row r="24" spans="1:99">
      <c r="H24" s="1166"/>
      <c r="I24" s="1166"/>
      <c r="J24" s="1166"/>
      <c r="K24" s="1166"/>
      <c r="L24" s="1166"/>
      <c r="M24" s="1166"/>
      <c r="N24" s="1166"/>
      <c r="O24" s="1166"/>
      <c r="P24" s="1166"/>
      <c r="Q24" s="1164"/>
      <c r="R24" s="1164"/>
      <c r="S24" s="1164"/>
      <c r="T24" s="1164"/>
      <c r="U24" s="1163"/>
      <c r="V24" s="1453" t="s">
        <v>89</v>
      </c>
      <c r="W24" s="1453"/>
      <c r="X24" s="1453"/>
      <c r="Y24" s="1453"/>
      <c r="Z24" s="1453"/>
      <c r="AA24" s="1453"/>
      <c r="AB24" s="1453"/>
      <c r="AC24" s="1453"/>
      <c r="AD24" s="1453"/>
      <c r="AE24" s="1453"/>
      <c r="AF24" s="1453"/>
      <c r="AG24" s="1453"/>
      <c r="AH24" s="1453"/>
      <c r="AI24" s="1453"/>
      <c r="AJ24" s="1453"/>
      <c r="AK24" s="1164"/>
      <c r="AL24" s="1460" t="e">
        <f>IF(ISBLANK(INDEX(dms_Addr2_List,MATCH(dms_TradingName,dms_TradingName_List))),"",(INDEX(dms_Addr2_List,MATCH(dms_TradingName,dms_TradingName_List))))</f>
        <v>#N/A</v>
      </c>
      <c r="AM24" s="1461"/>
      <c r="AN24" s="1461"/>
      <c r="AO24" s="1461"/>
      <c r="AP24" s="1461"/>
      <c r="AQ24" s="1461"/>
      <c r="AR24" s="1461"/>
      <c r="AS24" s="1461"/>
      <c r="AT24" s="1461"/>
      <c r="AU24" s="1461"/>
      <c r="AV24" s="1461"/>
      <c r="AW24" s="1461"/>
      <c r="AX24" s="1461"/>
      <c r="AY24" s="1461"/>
      <c r="AZ24" s="1461"/>
      <c r="BA24" s="1461"/>
      <c r="BB24" s="1461"/>
      <c r="BC24" s="1461"/>
      <c r="BD24" s="1461"/>
      <c r="BE24" s="1461"/>
      <c r="BF24" s="1461"/>
      <c r="BG24" s="1462"/>
      <c r="BH24" s="1163"/>
      <c r="BI24" s="1453" t="s">
        <v>89</v>
      </c>
      <c r="BJ24" s="1453"/>
      <c r="BK24" s="1453"/>
      <c r="BL24" s="1453"/>
      <c r="BM24" s="1453"/>
      <c r="BN24" s="1453"/>
      <c r="BO24" s="1453"/>
      <c r="BP24" s="1195"/>
      <c r="BQ24" s="1460" t="e">
        <f>IF(ISBLANK(INDEX(dms_PAddr2_List,MATCH(dms_TradingName,dms_TradingName_List))),"",(INDEX(dms_PAddr2_List,MATCH(dms_TradingName,dms_TradingName_List))))</f>
        <v>#N/A</v>
      </c>
      <c r="BR24" s="1461"/>
      <c r="BS24" s="1461"/>
      <c r="BT24" s="1461"/>
      <c r="BU24" s="1461"/>
      <c r="BV24" s="1461"/>
      <c r="BW24" s="1461"/>
      <c r="BX24" s="1461"/>
      <c r="BY24" s="1461"/>
      <c r="BZ24" s="1461"/>
      <c r="CA24" s="1461"/>
      <c r="CB24" s="1461"/>
      <c r="CC24" s="1461"/>
      <c r="CD24" s="1461"/>
      <c r="CE24" s="1461"/>
      <c r="CF24" s="1461"/>
      <c r="CG24" s="1461"/>
      <c r="CH24" s="1461"/>
      <c r="CI24" s="1461"/>
      <c r="CJ24" s="1461"/>
      <c r="CK24" s="1461"/>
      <c r="CL24" s="1462"/>
      <c r="CM24" s="1164"/>
      <c r="CN24" s="1164"/>
      <c r="CO24" s="1164"/>
      <c r="CP24" s="1164"/>
    </row>
    <row r="25" spans="1:99">
      <c r="H25" s="1166"/>
      <c r="I25" s="1166"/>
      <c r="J25" s="1166"/>
      <c r="K25" s="1166"/>
      <c r="L25" s="1166"/>
      <c r="M25" s="1166"/>
      <c r="N25" s="1166"/>
      <c r="O25" s="1166"/>
      <c r="P25" s="1166"/>
      <c r="Q25" s="1164"/>
      <c r="R25" s="1164"/>
      <c r="S25" s="1164"/>
      <c r="T25" s="1164"/>
      <c r="U25" s="1163"/>
      <c r="V25" s="1453" t="s">
        <v>90</v>
      </c>
      <c r="W25" s="1453"/>
      <c r="X25" s="1453"/>
      <c r="Y25" s="1453"/>
      <c r="Z25" s="1453"/>
      <c r="AA25" s="1453"/>
      <c r="AB25" s="1453"/>
      <c r="AC25" s="1453"/>
      <c r="AD25" s="1453"/>
      <c r="AE25" s="1453"/>
      <c r="AF25" s="1453"/>
      <c r="AG25" s="1453"/>
      <c r="AH25" s="1453"/>
      <c r="AI25" s="1453"/>
      <c r="AJ25" s="1453"/>
      <c r="AK25" s="1164"/>
      <c r="AL25" s="1457" t="e">
        <f>INDEX(dms_Suburb_List,MATCH(dms_TradingName,dms_TradingName_List))</f>
        <v>#N/A</v>
      </c>
      <c r="AM25" s="1457"/>
      <c r="AN25" s="1457"/>
      <c r="AO25" s="1457"/>
      <c r="AP25" s="1457"/>
      <c r="AQ25" s="1457"/>
      <c r="AR25" s="1457"/>
      <c r="AS25" s="1457"/>
      <c r="AT25" s="1457"/>
      <c r="AU25" s="1457"/>
      <c r="AV25" s="1457"/>
      <c r="AW25" s="1457"/>
      <c r="AX25" s="1457"/>
      <c r="AY25" s="1457"/>
      <c r="AZ25" s="1457"/>
      <c r="BA25" s="1200"/>
      <c r="BB25" s="1200"/>
      <c r="BC25" s="1200"/>
      <c r="BD25" s="1200"/>
      <c r="BE25" s="1200"/>
      <c r="BF25" s="1200"/>
      <c r="BG25" s="1200"/>
      <c r="BH25" s="1163"/>
      <c r="BI25" s="1453" t="s">
        <v>90</v>
      </c>
      <c r="BJ25" s="1453"/>
      <c r="BK25" s="1453"/>
      <c r="BL25" s="1453"/>
      <c r="BM25" s="1453"/>
      <c r="BN25" s="1453"/>
      <c r="BO25" s="1453"/>
      <c r="BP25" s="1195"/>
      <c r="BQ25" s="1457" t="e">
        <f>INDEX(dms_PSuburb_List,MATCH(dms_TradingName,dms_TradingName_List))</f>
        <v>#N/A</v>
      </c>
      <c r="BR25" s="1457"/>
      <c r="BS25" s="1457"/>
      <c r="BT25" s="1457"/>
      <c r="BU25" s="1457"/>
      <c r="BV25" s="1457"/>
      <c r="BW25" s="1457"/>
      <c r="BX25" s="1457"/>
      <c r="BY25" s="1457"/>
      <c r="BZ25" s="1457"/>
      <c r="CA25" s="1457"/>
      <c r="CB25" s="1457"/>
      <c r="CC25" s="1457"/>
      <c r="CD25" s="1457"/>
      <c r="CE25" s="1457"/>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3" t="s">
        <v>91</v>
      </c>
      <c r="W26" s="1453"/>
      <c r="X26" s="1453"/>
      <c r="Y26" s="1453"/>
      <c r="Z26" s="1453"/>
      <c r="AA26" s="1453"/>
      <c r="AB26" s="1453"/>
      <c r="AC26" s="1453"/>
      <c r="AD26" s="1453"/>
      <c r="AE26" s="1453"/>
      <c r="AF26" s="1453"/>
      <c r="AG26" s="1453"/>
      <c r="AH26" s="1453"/>
      <c r="AI26" s="1453"/>
      <c r="AJ26" s="1453"/>
      <c r="AK26" s="1164"/>
      <c r="AL26" s="1458" t="e">
        <f>INDEX(dms_State_List,MATCH(dms_TradingName,dms_TradingName_List))</f>
        <v>#N/A</v>
      </c>
      <c r="AM26" s="1458"/>
      <c r="AN26" s="1458"/>
      <c r="AO26" s="1458"/>
      <c r="AP26" s="1164"/>
      <c r="AQ26" s="1198"/>
      <c r="AR26" s="1164"/>
      <c r="AS26" s="1164"/>
      <c r="AT26" s="1164"/>
      <c r="AU26" s="1164"/>
      <c r="AV26" s="1198" t="s">
        <v>1054</v>
      </c>
      <c r="AW26" s="1198"/>
      <c r="AX26" s="1459"/>
      <c r="AY26" s="1459"/>
      <c r="AZ26" s="1459"/>
      <c r="BA26" s="1164"/>
      <c r="BB26" s="1164"/>
      <c r="BC26" s="1164"/>
      <c r="BD26" s="1164"/>
      <c r="BE26" s="1164"/>
      <c r="BF26" s="1164"/>
      <c r="BG26" s="1164"/>
      <c r="BH26" s="1163"/>
      <c r="BI26" s="1453" t="s">
        <v>91</v>
      </c>
      <c r="BJ26" s="1453"/>
      <c r="BK26" s="1453"/>
      <c r="BL26" s="1453"/>
      <c r="BM26" s="1453"/>
      <c r="BN26" s="1453"/>
      <c r="BO26" s="1453"/>
      <c r="BP26" s="1195"/>
      <c r="BQ26" s="1458" t="e">
        <f>INDEX(dms_PState_List,MATCH(dms_TradingName,dms_TradingName_List))</f>
        <v>#N/A</v>
      </c>
      <c r="BR26" s="1458"/>
      <c r="BS26" s="1458"/>
      <c r="BT26" s="1458"/>
      <c r="BU26" s="1164"/>
      <c r="BV26" s="1164"/>
      <c r="BW26" s="1199"/>
      <c r="BX26" s="1164"/>
      <c r="BY26" s="1164"/>
      <c r="BZ26" s="1164"/>
      <c r="CA26" s="1198" t="s">
        <v>1054</v>
      </c>
      <c r="CB26" s="1164"/>
      <c r="CC26" s="1459"/>
      <c r="CD26" s="1459"/>
      <c r="CE26" s="1459"/>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7.399999999999999">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3" t="s">
        <v>804</v>
      </c>
      <c r="W32" s="1453"/>
      <c r="X32" s="1453"/>
      <c r="Y32" s="1453"/>
      <c r="Z32" s="1453"/>
      <c r="AA32" s="1453"/>
      <c r="AB32" s="1453"/>
      <c r="AC32" s="1453"/>
      <c r="AD32" s="1453"/>
      <c r="AE32" s="1453"/>
      <c r="AF32" s="1453"/>
      <c r="AG32" s="1453"/>
      <c r="AH32" s="1453"/>
      <c r="AI32" s="1453"/>
      <c r="AJ32" s="1453"/>
      <c r="AK32" s="1164"/>
      <c r="AL32" s="1454" t="s">
        <v>1052</v>
      </c>
      <c r="AM32" s="1454"/>
      <c r="AN32" s="1454"/>
      <c r="AO32" s="1454"/>
      <c r="AP32" s="1454"/>
      <c r="AQ32" s="1454"/>
      <c r="AR32" s="1454"/>
      <c r="AS32" s="1454"/>
      <c r="AT32" s="1454"/>
      <c r="AU32" s="1454"/>
      <c r="AV32" s="1454"/>
      <c r="AW32" s="1454"/>
      <c r="AX32" s="1454"/>
      <c r="AY32" s="1454"/>
      <c r="AZ32" s="1454"/>
      <c r="BA32" s="1454"/>
      <c r="BB32" s="1454"/>
      <c r="BC32" s="1454"/>
      <c r="BD32" s="1454"/>
      <c r="BE32" s="1454"/>
      <c r="BF32" s="1454"/>
      <c r="BG32" s="1454"/>
      <c r="BH32" s="1164"/>
      <c r="BI32" s="1453" t="s">
        <v>804</v>
      </c>
      <c r="BJ32" s="1453"/>
      <c r="BK32" s="1453"/>
      <c r="BL32" s="1453"/>
      <c r="BM32" s="1453"/>
      <c r="BN32" s="1453"/>
      <c r="BO32" s="1453"/>
      <c r="BP32" s="1195"/>
      <c r="BQ32" s="1454" t="s">
        <v>1052</v>
      </c>
      <c r="BR32" s="1454"/>
      <c r="BS32" s="1454"/>
      <c r="BT32" s="1454"/>
      <c r="BU32" s="1454"/>
      <c r="BV32" s="1454"/>
      <c r="BW32" s="1454"/>
      <c r="BX32" s="1454"/>
      <c r="BY32" s="1454"/>
      <c r="BZ32" s="1454"/>
      <c r="CA32" s="1454"/>
      <c r="CB32" s="1454"/>
      <c r="CC32" s="1454"/>
      <c r="CD32" s="1454"/>
      <c r="CE32" s="1454"/>
      <c r="CF32" s="1454"/>
      <c r="CG32" s="1454"/>
      <c r="CH32" s="1454"/>
      <c r="CI32" s="1454"/>
      <c r="CJ32" s="1454"/>
      <c r="CK32" s="1454"/>
      <c r="CL32" s="1454"/>
      <c r="CM32" s="1164"/>
      <c r="CN32" s="1164"/>
      <c r="CO32" s="1164"/>
      <c r="CP32" s="1164"/>
    </row>
    <row r="33" spans="2:94">
      <c r="H33" s="1166"/>
      <c r="I33" s="1166"/>
      <c r="J33" s="1166"/>
      <c r="K33" s="1166"/>
      <c r="L33" s="1166"/>
      <c r="M33" s="1166"/>
      <c r="N33" s="1166"/>
      <c r="O33" s="1166"/>
      <c r="P33" s="1166"/>
      <c r="Q33" s="1164"/>
      <c r="R33" s="1164"/>
      <c r="S33" s="1164"/>
      <c r="T33" s="1164"/>
      <c r="U33" s="1163"/>
      <c r="V33" s="1453" t="s">
        <v>1051</v>
      </c>
      <c r="W33" s="1453"/>
      <c r="X33" s="1453"/>
      <c r="Y33" s="1453"/>
      <c r="Z33" s="1453"/>
      <c r="AA33" s="1453"/>
      <c r="AB33" s="1453"/>
      <c r="AC33" s="1453"/>
      <c r="AD33" s="1453"/>
      <c r="AE33" s="1453"/>
      <c r="AF33" s="1453"/>
      <c r="AG33" s="1453"/>
      <c r="AH33" s="1453"/>
      <c r="AI33" s="1453"/>
      <c r="AJ33" s="1453"/>
      <c r="AK33" s="1164"/>
      <c r="AL33" s="1456" t="s">
        <v>1050</v>
      </c>
      <c r="AM33" s="1456"/>
      <c r="AN33" s="1456"/>
      <c r="AO33" s="1456"/>
      <c r="AP33" s="1456"/>
      <c r="AQ33" s="1456"/>
      <c r="AR33" s="1456"/>
      <c r="AS33" s="1456"/>
      <c r="AT33" s="1456"/>
      <c r="AU33" s="1456"/>
      <c r="AV33" s="1456"/>
      <c r="AW33" s="1456"/>
      <c r="AX33" s="1456"/>
      <c r="AY33" s="1456"/>
      <c r="AZ33" s="1456"/>
      <c r="BA33" s="1456"/>
      <c r="BB33" s="1456"/>
      <c r="BC33" s="1456"/>
      <c r="BD33" s="1456"/>
      <c r="BE33" s="1456"/>
      <c r="BF33" s="1456"/>
      <c r="BG33" s="1456"/>
      <c r="BH33" s="1196"/>
      <c r="BI33" s="1453" t="s">
        <v>1051</v>
      </c>
      <c r="BJ33" s="1453"/>
      <c r="BK33" s="1453"/>
      <c r="BL33" s="1453"/>
      <c r="BM33" s="1453"/>
      <c r="BN33" s="1453"/>
      <c r="BO33" s="1453"/>
      <c r="BP33" s="1195"/>
      <c r="BQ33" s="1456" t="s">
        <v>1050</v>
      </c>
      <c r="BR33" s="1456"/>
      <c r="BS33" s="1456"/>
      <c r="BT33" s="1456"/>
      <c r="BU33" s="1456"/>
      <c r="BV33" s="1456"/>
      <c r="BW33" s="1456"/>
      <c r="BX33" s="1456"/>
      <c r="BY33" s="1456"/>
      <c r="BZ33" s="1456"/>
      <c r="CA33" s="1456"/>
      <c r="CB33" s="1456"/>
      <c r="CC33" s="1456"/>
      <c r="CD33" s="1456"/>
      <c r="CE33" s="1456"/>
      <c r="CF33" s="1456"/>
      <c r="CG33" s="1456"/>
      <c r="CH33" s="1456"/>
      <c r="CI33" s="1456"/>
      <c r="CJ33" s="1456"/>
      <c r="CK33" s="1456"/>
      <c r="CL33" s="1456"/>
      <c r="CM33" s="1164"/>
      <c r="CN33" s="1164"/>
      <c r="CO33" s="1164"/>
      <c r="CP33" s="1164"/>
    </row>
    <row r="34" spans="2:94">
      <c r="H34" s="1166"/>
      <c r="I34" s="1166"/>
      <c r="J34" s="1166"/>
      <c r="K34" s="1166"/>
      <c r="L34" s="1166"/>
      <c r="M34" s="1166"/>
      <c r="N34" s="1166"/>
      <c r="O34" s="1166"/>
      <c r="P34" s="1166"/>
      <c r="Q34" s="1164"/>
      <c r="R34" s="1164"/>
      <c r="S34" s="1164"/>
      <c r="T34" s="1164"/>
      <c r="U34" s="1163"/>
      <c r="V34" s="1453" t="s">
        <v>1049</v>
      </c>
      <c r="W34" s="1453"/>
      <c r="X34" s="1453"/>
      <c r="Y34" s="1453"/>
      <c r="Z34" s="1453"/>
      <c r="AA34" s="1453"/>
      <c r="AB34" s="1453"/>
      <c r="AC34" s="1453"/>
      <c r="AD34" s="1453"/>
      <c r="AE34" s="1453"/>
      <c r="AF34" s="1453"/>
      <c r="AG34" s="1453"/>
      <c r="AH34" s="1453"/>
      <c r="AI34" s="1453"/>
      <c r="AJ34" s="1453"/>
      <c r="AK34" s="1164"/>
      <c r="AL34" s="1454" t="s">
        <v>1048</v>
      </c>
      <c r="AM34" s="1454"/>
      <c r="AN34" s="1454"/>
      <c r="AO34" s="1454"/>
      <c r="AP34" s="1454"/>
      <c r="AQ34" s="1454"/>
      <c r="AR34" s="1454"/>
      <c r="AS34" s="1454"/>
      <c r="AT34" s="1454"/>
      <c r="AU34" s="1454"/>
      <c r="AV34" s="1454"/>
      <c r="AW34" s="1454"/>
      <c r="AX34" s="1454"/>
      <c r="AY34" s="1454"/>
      <c r="AZ34" s="1454"/>
      <c r="BA34" s="1454"/>
      <c r="BB34" s="1454"/>
      <c r="BC34" s="1454"/>
      <c r="BD34" s="1454"/>
      <c r="BE34" s="1454"/>
      <c r="BF34" s="1454"/>
      <c r="BG34" s="1454"/>
      <c r="BH34" s="1164"/>
      <c r="BI34" s="1453" t="s">
        <v>1049</v>
      </c>
      <c r="BJ34" s="1453"/>
      <c r="BK34" s="1453"/>
      <c r="BL34" s="1453"/>
      <c r="BM34" s="1453"/>
      <c r="BN34" s="1453"/>
      <c r="BO34" s="1453"/>
      <c r="BP34" s="1195"/>
      <c r="BQ34" s="1454" t="s">
        <v>1048</v>
      </c>
      <c r="BR34" s="1454"/>
      <c r="BS34" s="1454"/>
      <c r="BT34" s="1454"/>
      <c r="BU34" s="1454"/>
      <c r="BV34" s="1454"/>
      <c r="BW34" s="1454"/>
      <c r="BX34" s="1454"/>
      <c r="BY34" s="1454"/>
      <c r="BZ34" s="1454"/>
      <c r="CA34" s="1454"/>
      <c r="CB34" s="1454"/>
      <c r="CC34" s="1454"/>
      <c r="CD34" s="1454"/>
      <c r="CE34" s="1454"/>
      <c r="CF34" s="1454"/>
      <c r="CG34" s="1454"/>
      <c r="CH34" s="1454"/>
      <c r="CI34" s="1454"/>
      <c r="CJ34" s="1454"/>
      <c r="CK34" s="1454"/>
      <c r="CL34" s="1454"/>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ht="15">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44" t="s">
        <v>1047</v>
      </c>
      <c r="AA42" s="1444"/>
      <c r="AB42" s="1444"/>
      <c r="AC42" s="1444"/>
      <c r="AD42" s="1444"/>
      <c r="AE42" s="1444"/>
      <c r="AF42" s="1444"/>
      <c r="AG42" s="1444"/>
      <c r="AH42" s="1444"/>
      <c r="AI42" s="1444"/>
      <c r="AJ42" s="1167"/>
      <c r="AK42" s="1167"/>
      <c r="AL42" s="1455" t="s">
        <v>428</v>
      </c>
      <c r="AM42" s="1455"/>
      <c r="AN42" s="1455"/>
      <c r="AO42" s="1455"/>
      <c r="AP42" s="1455"/>
      <c r="AQ42" s="1455"/>
      <c r="AR42" s="1455"/>
      <c r="AS42" s="1455"/>
      <c r="AT42" s="1182"/>
      <c r="AU42" s="1451" t="e">
        <f ca="1">FRCP_y2</f>
        <v>#N/A</v>
      </c>
      <c r="AV42" s="1451"/>
      <c r="AW42" s="1451"/>
      <c r="AX42" s="1451"/>
      <c r="AY42" s="1451"/>
      <c r="AZ42" s="1451"/>
      <c r="BA42" s="1451"/>
      <c r="BB42" s="1451"/>
      <c r="BC42" s="1182"/>
      <c r="BD42" s="1451" t="e">
        <f ca="1">FRCP_y3</f>
        <v>#N/A</v>
      </c>
      <c r="BE42" s="1451"/>
      <c r="BF42" s="1451"/>
      <c r="BG42" s="1451"/>
      <c r="BH42" s="1451"/>
      <c r="BI42" s="1451"/>
      <c r="BJ42" s="1451"/>
      <c r="BK42" s="1451"/>
      <c r="BL42" s="1182"/>
      <c r="BM42" s="1451" t="e">
        <f ca="1">FRCP_y4</f>
        <v>#N/A</v>
      </c>
      <c r="BN42" s="1451"/>
      <c r="BO42" s="1451"/>
      <c r="BP42" s="1451"/>
      <c r="BQ42" s="1451"/>
      <c r="BR42" s="1451"/>
      <c r="BS42" s="1451"/>
      <c r="BT42" s="1451"/>
      <c r="BU42" s="1182"/>
      <c r="BV42" s="1452" t="e">
        <f ca="1">FRCP_y5</f>
        <v>#N/A</v>
      </c>
      <c r="BW42" s="1452"/>
      <c r="BX42" s="1452"/>
      <c r="BY42" s="1452"/>
      <c r="BZ42" s="1452"/>
      <c r="CA42" s="1452"/>
      <c r="CB42" s="1452"/>
      <c r="CC42" s="1452"/>
      <c r="CD42" s="1169"/>
      <c r="CE42" s="1169"/>
      <c r="CF42" s="1169"/>
      <c r="CG42" s="1169"/>
      <c r="CH42" s="1169"/>
      <c r="CI42" s="1169"/>
      <c r="CJ42" s="1169"/>
      <c r="CK42" s="1169"/>
      <c r="CL42" s="1169"/>
      <c r="CM42" s="1169"/>
      <c r="CN42" s="1169"/>
      <c r="CO42" s="1168"/>
      <c r="CP42" s="1168"/>
    </row>
    <row r="43" spans="2:94" ht="17.399999999999999">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52" t="e">
        <f ca="1">FRCP_y6</f>
        <v>#N/A</v>
      </c>
      <c r="AM43" s="1452"/>
      <c r="AN43" s="1452"/>
      <c r="AO43" s="1452"/>
      <c r="AP43" s="1452"/>
      <c r="AQ43" s="1452"/>
      <c r="AR43" s="1452"/>
      <c r="AS43" s="1452"/>
      <c r="AT43" s="1189"/>
      <c r="AU43" s="1452" t="e">
        <f ca="1">FRCP_y7</f>
        <v>#N/A</v>
      </c>
      <c r="AV43" s="1452"/>
      <c r="AW43" s="1452"/>
      <c r="AX43" s="1452"/>
      <c r="AY43" s="1452"/>
      <c r="AZ43" s="1452"/>
      <c r="BA43" s="1452"/>
      <c r="BB43" s="1452"/>
      <c r="BC43" s="1189"/>
      <c r="BD43" s="1452" t="e">
        <f ca="1">FRCP_y8</f>
        <v>#N/A</v>
      </c>
      <c r="BE43" s="1452"/>
      <c r="BF43" s="1452"/>
      <c r="BG43" s="1452"/>
      <c r="BH43" s="1452"/>
      <c r="BI43" s="1452"/>
      <c r="BJ43" s="1452"/>
      <c r="BK43" s="1452"/>
      <c r="BL43" s="1184"/>
      <c r="BM43" s="1452" t="e">
        <f ca="1">FRCP_y9</f>
        <v>#N/A</v>
      </c>
      <c r="BN43" s="1452"/>
      <c r="BO43" s="1452"/>
      <c r="BP43" s="1452"/>
      <c r="BQ43" s="1452"/>
      <c r="BR43" s="1452"/>
      <c r="BS43" s="1452"/>
      <c r="BT43" s="1452"/>
      <c r="BU43" s="1184"/>
      <c r="BV43" s="1452" t="e">
        <f ca="1">FRCP_y10</f>
        <v>#N/A</v>
      </c>
      <c r="BW43" s="1452"/>
      <c r="BX43" s="1452"/>
      <c r="BY43" s="1452"/>
      <c r="BZ43" s="1452"/>
      <c r="CA43" s="1452"/>
      <c r="CB43" s="1452"/>
      <c r="CC43" s="1452"/>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52" t="e">
        <f ca="1">FRCP_y11</f>
        <v>#N/A</v>
      </c>
      <c r="AM44" s="1452"/>
      <c r="AN44" s="1452"/>
      <c r="AO44" s="1452"/>
      <c r="AP44" s="1452"/>
      <c r="AQ44" s="1452"/>
      <c r="AR44" s="1452"/>
      <c r="AS44" s="1452"/>
      <c r="AT44" s="1186"/>
      <c r="AU44" s="1452" t="e">
        <f ca="1">FRCP_y12</f>
        <v>#N/A</v>
      </c>
      <c r="AV44" s="1452"/>
      <c r="AW44" s="1452"/>
      <c r="AX44" s="1452"/>
      <c r="AY44" s="1452"/>
      <c r="AZ44" s="1452"/>
      <c r="BA44" s="1452"/>
      <c r="BB44" s="1452"/>
      <c r="BC44" s="1186"/>
      <c r="BD44" s="1452" t="e">
        <f ca="1">FRCP_y13</f>
        <v>#N/A</v>
      </c>
      <c r="BE44" s="1452"/>
      <c r="BF44" s="1452"/>
      <c r="BG44" s="1452"/>
      <c r="BH44" s="1452"/>
      <c r="BI44" s="1452"/>
      <c r="BJ44" s="1452"/>
      <c r="BK44" s="1452"/>
      <c r="BL44" s="1186"/>
      <c r="BM44" s="1452" t="e">
        <f ca="1">FRCP_y14</f>
        <v>#N/A</v>
      </c>
      <c r="BN44" s="1452"/>
      <c r="BO44" s="1452"/>
      <c r="BP44" s="1452"/>
      <c r="BQ44" s="1452"/>
      <c r="BR44" s="1452"/>
      <c r="BS44" s="1452"/>
      <c r="BT44" s="1452"/>
      <c r="BU44" s="1186"/>
      <c r="BV44" s="1452" t="e">
        <f ca="1">FRCP_y15</f>
        <v>#N/A</v>
      </c>
      <c r="BW44" s="1452"/>
      <c r="BX44" s="1452"/>
      <c r="BY44" s="1452"/>
      <c r="BZ44" s="1452"/>
      <c r="CA44" s="1452"/>
      <c r="CB44" s="1452"/>
      <c r="CC44" s="1452"/>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44" t="s">
        <v>1045</v>
      </c>
      <c r="AA46" s="1444"/>
      <c r="AB46" s="1444"/>
      <c r="AC46" s="1444"/>
      <c r="AD46" s="1444"/>
      <c r="AE46" s="1444"/>
      <c r="AF46" s="1444"/>
      <c r="AG46" s="1444"/>
      <c r="AH46" s="1444"/>
      <c r="AI46" s="1444"/>
      <c r="AJ46" s="1167"/>
      <c r="AK46" s="1167"/>
      <c r="AL46" s="1451" t="e">
        <f ca="1">CRCP_y1</f>
        <v>#N/A</v>
      </c>
      <c r="AM46" s="1451"/>
      <c r="AN46" s="1451"/>
      <c r="AO46" s="1451"/>
      <c r="AP46" s="1451"/>
      <c r="AQ46" s="1451"/>
      <c r="AR46" s="1451"/>
      <c r="AS46" s="1451"/>
      <c r="AT46" s="1182"/>
      <c r="AU46" s="1451" t="e">
        <f ca="1">CRCP_y2</f>
        <v>#N/A</v>
      </c>
      <c r="AV46" s="1451"/>
      <c r="AW46" s="1451"/>
      <c r="AX46" s="1451"/>
      <c r="AY46" s="1451"/>
      <c r="AZ46" s="1451"/>
      <c r="BA46" s="1451"/>
      <c r="BB46" s="1451"/>
      <c r="BC46" s="1182"/>
      <c r="BD46" s="1451" t="e">
        <f ca="1">CRCP_y3</f>
        <v>#N/A</v>
      </c>
      <c r="BE46" s="1451"/>
      <c r="BF46" s="1451"/>
      <c r="BG46" s="1451"/>
      <c r="BH46" s="1451"/>
      <c r="BI46" s="1451"/>
      <c r="BJ46" s="1451"/>
      <c r="BK46" s="1451"/>
      <c r="BL46" s="1182"/>
      <c r="BM46" s="1451" t="e">
        <f ca="1">CRCP_y4</f>
        <v>#N/A</v>
      </c>
      <c r="BN46" s="1451"/>
      <c r="BO46" s="1451"/>
      <c r="BP46" s="1451"/>
      <c r="BQ46" s="1451"/>
      <c r="BR46" s="1451"/>
      <c r="BS46" s="1451"/>
      <c r="BT46" s="1451"/>
      <c r="BU46" s="1182"/>
      <c r="BV46" s="1451" t="e">
        <f ca="1">CRCP_y5</f>
        <v>#N/A</v>
      </c>
      <c r="BW46" s="1451"/>
      <c r="BX46" s="1451"/>
      <c r="BY46" s="1451"/>
      <c r="BZ46" s="1451"/>
      <c r="CA46" s="1451"/>
      <c r="CB46" s="1451"/>
      <c r="CC46" s="1451"/>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52" t="e">
        <f ca="1">CRCP_y6</f>
        <v>#N/A</v>
      </c>
      <c r="AM47" s="1452"/>
      <c r="AN47" s="1452"/>
      <c r="AO47" s="1452"/>
      <c r="AP47" s="1452"/>
      <c r="AQ47" s="1452"/>
      <c r="AR47" s="1452"/>
      <c r="AS47" s="1452"/>
      <c r="AT47" s="1181"/>
      <c r="AU47" s="1452" t="e">
        <f ca="1">CRCP_y7</f>
        <v>#N/A</v>
      </c>
      <c r="AV47" s="1452"/>
      <c r="AW47" s="1452"/>
      <c r="AX47" s="1452"/>
      <c r="AY47" s="1452"/>
      <c r="AZ47" s="1452"/>
      <c r="BA47" s="1452"/>
      <c r="BB47" s="1452"/>
      <c r="BC47" s="1180"/>
      <c r="BD47" s="1452" t="e">
        <f ca="1">CRCP_y8</f>
        <v>#N/A</v>
      </c>
      <c r="BE47" s="1452"/>
      <c r="BF47" s="1452"/>
      <c r="BG47" s="1452"/>
      <c r="BH47" s="1452"/>
      <c r="BI47" s="1452"/>
      <c r="BJ47" s="1452"/>
      <c r="BK47" s="1452"/>
      <c r="BL47" s="1180"/>
      <c r="BM47" s="1452" t="e">
        <f ca="1">CRCP_y9</f>
        <v>#N/A</v>
      </c>
      <c r="BN47" s="1452"/>
      <c r="BO47" s="1452"/>
      <c r="BP47" s="1452"/>
      <c r="BQ47" s="1452"/>
      <c r="BR47" s="1452"/>
      <c r="BS47" s="1452"/>
      <c r="BT47" s="1452"/>
      <c r="BU47" s="1180"/>
      <c r="BV47" s="1452" t="e">
        <f ca="1">CRCP_y10</f>
        <v>#N/A</v>
      </c>
      <c r="BW47" s="1452"/>
      <c r="BX47" s="1452"/>
      <c r="BY47" s="1452"/>
      <c r="BZ47" s="1452"/>
      <c r="CA47" s="1452"/>
      <c r="CB47" s="1452"/>
      <c r="CC47" s="1452"/>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52" t="e">
        <f ca="1">CRCP_y11</f>
        <v>#N/A</v>
      </c>
      <c r="AM48" s="1452"/>
      <c r="AN48" s="1452"/>
      <c r="AO48" s="1452"/>
      <c r="AP48" s="1452"/>
      <c r="AQ48" s="1452"/>
      <c r="AR48" s="1452"/>
      <c r="AS48" s="1452"/>
      <c r="AT48" s="1181"/>
      <c r="AU48" s="1452" t="e">
        <f ca="1">CRCP_y12</f>
        <v>#N/A</v>
      </c>
      <c r="AV48" s="1452"/>
      <c r="AW48" s="1452"/>
      <c r="AX48" s="1452"/>
      <c r="AY48" s="1452"/>
      <c r="AZ48" s="1452"/>
      <c r="BA48" s="1452"/>
      <c r="BB48" s="1452"/>
      <c r="BC48" s="1180"/>
      <c r="BD48" s="1452" t="e">
        <f ca="1">CRCP_y13</f>
        <v>#N/A</v>
      </c>
      <c r="BE48" s="1452"/>
      <c r="BF48" s="1452"/>
      <c r="BG48" s="1452"/>
      <c r="BH48" s="1452"/>
      <c r="BI48" s="1452"/>
      <c r="BJ48" s="1452"/>
      <c r="BK48" s="1452"/>
      <c r="BL48" s="1180"/>
      <c r="BM48" s="1452" t="e">
        <f ca="1">CRCP_y14</f>
        <v>#N/A</v>
      </c>
      <c r="BN48" s="1452"/>
      <c r="BO48" s="1452"/>
      <c r="BP48" s="1452"/>
      <c r="BQ48" s="1452"/>
      <c r="BR48" s="1452"/>
      <c r="BS48" s="1452"/>
      <c r="BT48" s="1452"/>
      <c r="BU48" s="1180"/>
      <c r="BV48" s="1452" t="e">
        <f ca="1">CRCP_y15</f>
        <v>#N/A</v>
      </c>
      <c r="BW48" s="1452"/>
      <c r="BX48" s="1452"/>
      <c r="BY48" s="1452"/>
      <c r="BZ48" s="1452"/>
      <c r="CA48" s="1452"/>
      <c r="CB48" s="1452"/>
      <c r="CC48" s="1452"/>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44" t="s">
        <v>1044</v>
      </c>
      <c r="AA50" s="1444"/>
      <c r="AB50" s="1444"/>
      <c r="AC50" s="1444"/>
      <c r="AD50" s="1444"/>
      <c r="AE50" s="1444"/>
      <c r="AF50" s="1444"/>
      <c r="AG50" s="1444"/>
      <c r="AH50" s="1444"/>
      <c r="AI50" s="1444"/>
      <c r="AJ50" s="1167"/>
      <c r="AK50" s="1167"/>
      <c r="AL50" s="1451" t="e">
        <f ca="1">PRCP_y1</f>
        <v>#N/A</v>
      </c>
      <c r="AM50" s="1451"/>
      <c r="AN50" s="1451"/>
      <c r="AO50" s="1451"/>
      <c r="AP50" s="1451"/>
      <c r="AQ50" s="1451"/>
      <c r="AR50" s="1451"/>
      <c r="AS50" s="1451"/>
      <c r="AT50" s="1182"/>
      <c r="AU50" s="1451" t="e">
        <f ca="1">PRCP_y2</f>
        <v>#N/A</v>
      </c>
      <c r="AV50" s="1451"/>
      <c r="AW50" s="1451"/>
      <c r="AX50" s="1451"/>
      <c r="AY50" s="1451"/>
      <c r="AZ50" s="1451"/>
      <c r="BA50" s="1451"/>
      <c r="BB50" s="1451"/>
      <c r="BC50" s="1182"/>
      <c r="BD50" s="1451" t="e">
        <f ca="1">PRCP_y3</f>
        <v>#N/A</v>
      </c>
      <c r="BE50" s="1451"/>
      <c r="BF50" s="1451"/>
      <c r="BG50" s="1451"/>
      <c r="BH50" s="1451"/>
      <c r="BI50" s="1451"/>
      <c r="BJ50" s="1451"/>
      <c r="BK50" s="1451"/>
      <c r="BL50" s="1182"/>
      <c r="BM50" s="1451" t="e">
        <f ca="1">PRCP_y4</f>
        <v>#N/A</v>
      </c>
      <c r="BN50" s="1451"/>
      <c r="BO50" s="1451"/>
      <c r="BP50" s="1451"/>
      <c r="BQ50" s="1451"/>
      <c r="BR50" s="1451"/>
      <c r="BS50" s="1451"/>
      <c r="BT50" s="1451"/>
      <c r="BU50" s="1182"/>
      <c r="BV50" s="1451" t="e">
        <f ca="1">PRCP_y5</f>
        <v>#N/A</v>
      </c>
      <c r="BW50" s="1451"/>
      <c r="BX50" s="1451"/>
      <c r="BY50" s="1451"/>
      <c r="BZ50" s="1451"/>
      <c r="CA50" s="1451"/>
      <c r="CB50" s="1451"/>
      <c r="CC50" s="1451"/>
      <c r="CD50" s="1169"/>
      <c r="CE50" s="1169"/>
      <c r="CF50" s="1169"/>
      <c r="CG50" s="1169"/>
      <c r="CH50" s="1169"/>
      <c r="CI50" s="1169"/>
      <c r="CJ50" s="1169"/>
      <c r="CK50" s="1169"/>
      <c r="CL50" s="1169"/>
      <c r="CM50" s="1169"/>
      <c r="CN50" s="1169"/>
      <c r="CO50" s="1168"/>
      <c r="CP50" s="1179"/>
    </row>
    <row r="51" spans="8:94" ht="15.6">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52" t="e">
        <f ca="1">PRCP_y6</f>
        <v>#N/A</v>
      </c>
      <c r="AM51" s="1452"/>
      <c r="AN51" s="1452"/>
      <c r="AO51" s="1452"/>
      <c r="AP51" s="1452"/>
      <c r="AQ51" s="1452"/>
      <c r="AR51" s="1452"/>
      <c r="AS51" s="1452"/>
      <c r="AT51" s="1181"/>
      <c r="AU51" s="1452" t="e">
        <f ca="1">PRCP_y7</f>
        <v>#N/A</v>
      </c>
      <c r="AV51" s="1452"/>
      <c r="AW51" s="1452"/>
      <c r="AX51" s="1452"/>
      <c r="AY51" s="1452"/>
      <c r="AZ51" s="1452"/>
      <c r="BA51" s="1452"/>
      <c r="BB51" s="1452"/>
      <c r="BC51" s="1180"/>
      <c r="BD51" s="1452" t="e">
        <f ca="1">PRCP_y8</f>
        <v>#N/A</v>
      </c>
      <c r="BE51" s="1452"/>
      <c r="BF51" s="1452"/>
      <c r="BG51" s="1452"/>
      <c r="BH51" s="1452"/>
      <c r="BI51" s="1452"/>
      <c r="BJ51" s="1452"/>
      <c r="BK51" s="1452"/>
      <c r="BL51" s="1180"/>
      <c r="BM51" s="1452" t="e">
        <f ca="1">PRCP_y9</f>
        <v>#N/A</v>
      </c>
      <c r="BN51" s="1452"/>
      <c r="BO51" s="1452"/>
      <c r="BP51" s="1452"/>
      <c r="BQ51" s="1452"/>
      <c r="BR51" s="1452"/>
      <c r="BS51" s="1452"/>
      <c r="BT51" s="1452"/>
      <c r="BU51" s="1180"/>
      <c r="BV51" s="1452" t="e">
        <f ca="1">PRCP_y10</f>
        <v>#N/A</v>
      </c>
      <c r="BW51" s="1452"/>
      <c r="BX51" s="1452"/>
      <c r="BY51" s="1452"/>
      <c r="BZ51" s="1452"/>
      <c r="CA51" s="1452"/>
      <c r="CB51" s="1452"/>
      <c r="CC51" s="1452"/>
      <c r="CD51" s="1169"/>
      <c r="CE51" s="1169"/>
      <c r="CF51" s="1169"/>
      <c r="CG51" s="1169"/>
      <c r="CH51" s="1169"/>
      <c r="CI51" s="1169"/>
      <c r="CJ51" s="1169"/>
      <c r="CK51" s="1169"/>
      <c r="CL51" s="1169"/>
      <c r="CM51" s="1169"/>
      <c r="CN51" s="1169"/>
      <c r="CO51" s="1168"/>
      <c r="CP51" s="1168"/>
    </row>
    <row r="52" spans="8:94" s="369" customFormat="1" ht="15">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7.399999999999999">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7.399999999999999">
      <c r="Q56" s="1168"/>
      <c r="R56" s="1168"/>
      <c r="S56" s="1168"/>
      <c r="T56" s="1168"/>
      <c r="U56" s="1174"/>
      <c r="V56" s="1174"/>
      <c r="W56" s="1174"/>
      <c r="X56" s="1174"/>
      <c r="Y56" s="1169"/>
      <c r="Z56" s="1444" t="s">
        <v>1042</v>
      </c>
      <c r="AA56" s="1444"/>
      <c r="AB56" s="1444"/>
      <c r="AC56" s="1444"/>
      <c r="AD56" s="1444"/>
      <c r="AE56" s="1444"/>
      <c r="AF56" s="1444"/>
      <c r="AG56" s="1444"/>
      <c r="AH56" s="1444"/>
      <c r="AI56" s="1444"/>
      <c r="AJ56" s="1169"/>
      <c r="AK56" s="1169"/>
      <c r="AL56" s="1445" t="str">
        <f ca="1">INDIRECT(dms_Model)</f>
        <v>Roll Forward Model</v>
      </c>
      <c r="AM56" s="1445"/>
      <c r="AN56" s="1445"/>
      <c r="AO56" s="1445"/>
      <c r="AP56" s="1445"/>
      <c r="AQ56" s="1445"/>
      <c r="AR56" s="1445"/>
      <c r="AS56" s="1445"/>
      <c r="AT56" s="1445"/>
      <c r="AU56" s="1445"/>
      <c r="AV56" s="1445"/>
      <c r="AW56" s="1445"/>
      <c r="AX56" s="1445"/>
      <c r="AY56" s="1445"/>
      <c r="AZ56" s="1445"/>
      <c r="BA56" s="1445"/>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7.399999999999999">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44" t="s">
        <v>98</v>
      </c>
      <c r="AA58" s="1444"/>
      <c r="AB58" s="1444"/>
      <c r="AC58" s="1444"/>
      <c r="AD58" s="1444"/>
      <c r="AE58" s="1444"/>
      <c r="AF58" s="1444"/>
      <c r="AG58" s="1444"/>
      <c r="AH58" s="1444"/>
      <c r="AI58" s="1444"/>
      <c r="AJ58" s="1169"/>
      <c r="AK58" s="1169"/>
      <c r="AL58" s="1450">
        <f>dms_InputSource</f>
        <v>0</v>
      </c>
      <c r="AM58" s="1450"/>
      <c r="AN58" s="1450"/>
      <c r="AO58" s="1450"/>
      <c r="AP58" s="1450"/>
      <c r="AQ58" s="1450"/>
      <c r="AR58" s="1450"/>
      <c r="AS58" s="1450"/>
      <c r="AT58" s="1450"/>
      <c r="AU58" s="1450"/>
      <c r="AV58" s="1450"/>
      <c r="AW58" s="1450"/>
      <c r="AX58" s="1450"/>
      <c r="AY58" s="1450"/>
      <c r="AZ58" s="1450"/>
      <c r="BA58" s="1450"/>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44" t="s">
        <v>1040</v>
      </c>
      <c r="AA60" s="1444"/>
      <c r="AB60" s="1444"/>
      <c r="AC60" s="1444"/>
      <c r="AD60" s="1444"/>
      <c r="AE60" s="1444"/>
      <c r="AF60" s="1444"/>
      <c r="AG60" s="1444"/>
      <c r="AH60" s="1444"/>
      <c r="AI60" s="1444"/>
      <c r="AJ60" s="1169"/>
      <c r="AK60" s="1169"/>
      <c r="AL60" s="1450" t="s">
        <v>104</v>
      </c>
      <c r="AM60" s="1450"/>
      <c r="AN60" s="1450"/>
      <c r="AO60" s="1450"/>
      <c r="AP60" s="1450"/>
      <c r="AQ60" s="1450"/>
      <c r="AR60" s="1450"/>
      <c r="AS60" s="1450"/>
      <c r="AT60" s="1450"/>
      <c r="AU60" s="1450"/>
      <c r="AV60" s="1450"/>
      <c r="AW60" s="1450"/>
      <c r="AX60" s="1450"/>
      <c r="AY60" s="1450"/>
      <c r="AZ60" s="1450"/>
      <c r="BA60" s="1450"/>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44" t="s">
        <v>1039</v>
      </c>
      <c r="AA62" s="1444"/>
      <c r="AB62" s="1444"/>
      <c r="AC62" s="1444"/>
      <c r="AD62" s="1444"/>
      <c r="AE62" s="1444"/>
      <c r="AF62" s="1444"/>
      <c r="AG62" s="1444"/>
      <c r="AH62" s="1444"/>
      <c r="AI62" s="1444"/>
      <c r="AJ62" s="1169"/>
      <c r="AK62" s="1169"/>
      <c r="AL62" s="1450" t="s">
        <v>103</v>
      </c>
      <c r="AM62" s="1450"/>
      <c r="AN62" s="1450"/>
      <c r="AO62" s="1450"/>
      <c r="AP62" s="1450"/>
      <c r="AQ62" s="1450"/>
      <c r="AR62" s="1450"/>
      <c r="AS62" s="1450"/>
      <c r="AT62" s="1450"/>
      <c r="AU62" s="1450"/>
      <c r="AV62" s="1450"/>
      <c r="AW62" s="1450"/>
      <c r="AX62" s="1450"/>
      <c r="AY62" s="1450"/>
      <c r="AZ62" s="1450"/>
      <c r="BA62" s="1450"/>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46" t="s">
        <v>1038</v>
      </c>
      <c r="AA64" s="1446"/>
      <c r="AB64" s="1446"/>
      <c r="AC64" s="1446"/>
      <c r="AD64" s="1446"/>
      <c r="AE64" s="1446"/>
      <c r="AF64" s="1446"/>
      <c r="AG64" s="1446"/>
      <c r="AH64" s="1446"/>
      <c r="AI64" s="1446"/>
      <c r="AJ64" s="1169"/>
      <c r="AK64" s="1169"/>
      <c r="AL64" s="1447" t="s">
        <v>1037</v>
      </c>
      <c r="AM64" s="1447"/>
      <c r="AN64" s="1447"/>
      <c r="AO64" s="1447"/>
      <c r="AP64" s="1447"/>
      <c r="AQ64" s="1447"/>
      <c r="AR64" s="1447"/>
      <c r="AS64" s="1447"/>
      <c r="AT64" s="1447"/>
      <c r="AU64" s="1447"/>
      <c r="AV64" s="1447"/>
      <c r="AW64" s="1447"/>
      <c r="AX64" s="1447"/>
      <c r="AY64" s="1447"/>
      <c r="AZ64" s="1447"/>
      <c r="BA64" s="1447"/>
      <c r="BB64" s="1447"/>
      <c r="BC64" s="1447"/>
      <c r="BD64" s="1447"/>
      <c r="BE64" s="1447"/>
      <c r="BF64" s="1447"/>
      <c r="BG64" s="1447"/>
      <c r="BH64" s="1447"/>
      <c r="BI64" s="1447"/>
      <c r="BJ64" s="1447"/>
      <c r="BK64" s="1447"/>
      <c r="BL64" s="1447"/>
      <c r="BM64" s="1447"/>
      <c r="BN64" s="1447"/>
      <c r="BO64" s="1447"/>
      <c r="BP64" s="1447"/>
      <c r="BQ64" s="1447"/>
      <c r="BR64" s="1447"/>
      <c r="BS64" s="1447"/>
      <c r="BT64" s="1447"/>
      <c r="BU64" s="1447"/>
      <c r="BV64" s="1447"/>
      <c r="BW64" s="1447"/>
      <c r="BX64" s="1447"/>
      <c r="BY64" s="1447"/>
      <c r="BZ64" s="1447"/>
      <c r="CA64" s="1447"/>
      <c r="CB64" s="1447"/>
      <c r="CC64" s="1447"/>
      <c r="CD64" s="1447"/>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46"/>
      <c r="AA65" s="1446"/>
      <c r="AB65" s="1446"/>
      <c r="AC65" s="1446"/>
      <c r="AD65" s="1446"/>
      <c r="AE65" s="1446"/>
      <c r="AF65" s="1446"/>
      <c r="AG65" s="1446"/>
      <c r="AH65" s="1446"/>
      <c r="AI65" s="1446"/>
      <c r="AJ65" s="1169"/>
      <c r="AK65" s="1169"/>
      <c r="AL65" s="1447"/>
      <c r="AM65" s="1447"/>
      <c r="AN65" s="1447"/>
      <c r="AO65" s="1447"/>
      <c r="AP65" s="1447"/>
      <c r="AQ65" s="1447"/>
      <c r="AR65" s="1447"/>
      <c r="AS65" s="1447"/>
      <c r="AT65" s="1447"/>
      <c r="AU65" s="1447"/>
      <c r="AV65" s="1447"/>
      <c r="AW65" s="1447"/>
      <c r="AX65" s="1447"/>
      <c r="AY65" s="1447"/>
      <c r="AZ65" s="1447"/>
      <c r="BA65" s="1447"/>
      <c r="BB65" s="1447"/>
      <c r="BC65" s="1447"/>
      <c r="BD65" s="1447"/>
      <c r="BE65" s="1447"/>
      <c r="BF65" s="1447"/>
      <c r="BG65" s="1447"/>
      <c r="BH65" s="1447"/>
      <c r="BI65" s="1447"/>
      <c r="BJ65" s="1447"/>
      <c r="BK65" s="1447"/>
      <c r="BL65" s="1447"/>
      <c r="BM65" s="1447"/>
      <c r="BN65" s="1447"/>
      <c r="BO65" s="1447"/>
      <c r="BP65" s="1447"/>
      <c r="BQ65" s="1447"/>
      <c r="BR65" s="1447"/>
      <c r="BS65" s="1447"/>
      <c r="BT65" s="1447"/>
      <c r="BU65" s="1447"/>
      <c r="BV65" s="1447"/>
      <c r="BW65" s="1447"/>
      <c r="BX65" s="1447"/>
      <c r="BY65" s="1447"/>
      <c r="BZ65" s="1447"/>
      <c r="CA65" s="1447"/>
      <c r="CB65" s="1447"/>
      <c r="CC65" s="1447"/>
      <c r="CD65" s="1447"/>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46"/>
      <c r="AA66" s="1446"/>
      <c r="AB66" s="1446"/>
      <c r="AC66" s="1446"/>
      <c r="AD66" s="1446"/>
      <c r="AE66" s="1446"/>
      <c r="AF66" s="1446"/>
      <c r="AG66" s="1446"/>
      <c r="AH66" s="1446"/>
      <c r="AI66" s="1446"/>
      <c r="AJ66" s="1169"/>
      <c r="AK66" s="1169"/>
      <c r="AL66" s="1447"/>
      <c r="AM66" s="1447"/>
      <c r="AN66" s="1447"/>
      <c r="AO66" s="1447"/>
      <c r="AP66" s="1447"/>
      <c r="AQ66" s="1447"/>
      <c r="AR66" s="1447"/>
      <c r="AS66" s="1447"/>
      <c r="AT66" s="1447"/>
      <c r="AU66" s="1447"/>
      <c r="AV66" s="1447"/>
      <c r="AW66" s="1447"/>
      <c r="AX66" s="1447"/>
      <c r="AY66" s="1447"/>
      <c r="AZ66" s="1447"/>
      <c r="BA66" s="1447"/>
      <c r="BB66" s="1447"/>
      <c r="BC66" s="1447"/>
      <c r="BD66" s="1447"/>
      <c r="BE66" s="1447"/>
      <c r="BF66" s="1447"/>
      <c r="BG66" s="1447"/>
      <c r="BH66" s="1447"/>
      <c r="BI66" s="1447"/>
      <c r="BJ66" s="1447"/>
      <c r="BK66" s="1447"/>
      <c r="BL66" s="1447"/>
      <c r="BM66" s="1447"/>
      <c r="BN66" s="1447"/>
      <c r="BO66" s="1447"/>
      <c r="BP66" s="1447"/>
      <c r="BQ66" s="1447"/>
      <c r="BR66" s="1447"/>
      <c r="BS66" s="1447"/>
      <c r="BT66" s="1447"/>
      <c r="BU66" s="1447"/>
      <c r="BV66" s="1447"/>
      <c r="BW66" s="1447"/>
      <c r="BX66" s="1447"/>
      <c r="BY66" s="1447"/>
      <c r="BZ66" s="1447"/>
      <c r="CA66" s="1447"/>
      <c r="CB66" s="1447"/>
      <c r="CC66" s="1447"/>
      <c r="CD66" s="1447"/>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44" t="s">
        <v>382</v>
      </c>
      <c r="AA68" s="1444"/>
      <c r="AB68" s="1444"/>
      <c r="AC68" s="1444"/>
      <c r="AD68" s="1444"/>
      <c r="AE68" s="1444"/>
      <c r="AF68" s="1444"/>
      <c r="AG68" s="1444"/>
      <c r="AH68" s="1444"/>
      <c r="AI68" s="1444"/>
      <c r="AJ68" s="1169"/>
      <c r="AK68" s="1169"/>
      <c r="AL68" s="1448" t="s">
        <v>1036</v>
      </c>
      <c r="AM68" s="1449"/>
      <c r="AN68" s="1449"/>
      <c r="AO68" s="1449"/>
      <c r="AP68" s="1449"/>
      <c r="AQ68" s="1449"/>
      <c r="AR68" s="1449"/>
      <c r="AS68" s="1449"/>
      <c r="AT68" s="1449"/>
      <c r="AU68" s="1449"/>
      <c r="AV68" s="1449"/>
      <c r="AW68" s="1449"/>
      <c r="AX68" s="1449"/>
      <c r="AY68" s="1449"/>
      <c r="AZ68" s="1449"/>
      <c r="BA68" s="1449"/>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ht="15">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ht="15">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6">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2"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6">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6">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6">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election activeCell="C23" sqref="C23:I23"/>
    </sheetView>
  </sheetViews>
  <sheetFormatPr defaultRowHeight="13.2"/>
  <cols>
    <col min="1" max="1" width="5.6640625" style="195" customWidth="1"/>
    <col min="2" max="2" width="41.5546875" style="179" customWidth="1"/>
    <col min="3" max="3" width="12" style="179" bestFit="1" customWidth="1"/>
    <col min="4" max="14" width="11.33203125" style="179" customWidth="1"/>
    <col min="15" max="256" width="9.33203125" style="179"/>
    <col min="257" max="257" width="24.5546875" style="179" customWidth="1"/>
    <col min="258" max="258" width="60.6640625" style="179" bestFit="1" customWidth="1"/>
    <col min="259" max="264" width="17.44140625" style="179" customWidth="1"/>
    <col min="265" max="512" width="9.33203125" style="179"/>
    <col min="513" max="513" width="24.5546875" style="179" customWidth="1"/>
    <col min="514" max="514" width="60.6640625" style="179" bestFit="1" customWidth="1"/>
    <col min="515" max="520" width="17.44140625" style="179" customWidth="1"/>
    <col min="521" max="768" width="9.33203125" style="179"/>
    <col min="769" max="769" width="24.5546875" style="179" customWidth="1"/>
    <col min="770" max="770" width="60.6640625" style="179" bestFit="1" customWidth="1"/>
    <col min="771" max="776" width="17.44140625" style="179" customWidth="1"/>
    <col min="777" max="1024" width="9.33203125" style="179"/>
    <col min="1025" max="1025" width="24.5546875" style="179" customWidth="1"/>
    <col min="1026" max="1026" width="60.6640625" style="179" bestFit="1" customWidth="1"/>
    <col min="1027" max="1032" width="17.44140625" style="179" customWidth="1"/>
    <col min="1033" max="1280" width="9.33203125" style="179"/>
    <col min="1281" max="1281" width="24.5546875" style="179" customWidth="1"/>
    <col min="1282" max="1282" width="60.6640625" style="179" bestFit="1" customWidth="1"/>
    <col min="1283" max="1288" width="17.44140625" style="179" customWidth="1"/>
    <col min="1289" max="1536" width="9.33203125" style="179"/>
    <col min="1537" max="1537" width="24.5546875" style="179" customWidth="1"/>
    <col min="1538" max="1538" width="60.6640625" style="179" bestFit="1" customWidth="1"/>
    <col min="1539" max="1544" width="17.44140625" style="179" customWidth="1"/>
    <col min="1545" max="1792" width="9.33203125" style="179"/>
    <col min="1793" max="1793" width="24.5546875" style="179" customWidth="1"/>
    <col min="1794" max="1794" width="60.6640625" style="179" bestFit="1" customWidth="1"/>
    <col min="1795" max="1800" width="17.44140625" style="179" customWidth="1"/>
    <col min="1801" max="2048" width="9.33203125" style="179"/>
    <col min="2049" max="2049" width="24.5546875" style="179" customWidth="1"/>
    <col min="2050" max="2050" width="60.6640625" style="179" bestFit="1" customWidth="1"/>
    <col min="2051" max="2056" width="17.44140625" style="179" customWidth="1"/>
    <col min="2057" max="2304" width="9.33203125" style="179"/>
    <col min="2305" max="2305" width="24.5546875" style="179" customWidth="1"/>
    <col min="2306" max="2306" width="60.6640625" style="179" bestFit="1" customWidth="1"/>
    <col min="2307" max="2312" width="17.44140625" style="179" customWidth="1"/>
    <col min="2313" max="2560" width="9.33203125" style="179"/>
    <col min="2561" max="2561" width="24.5546875" style="179" customWidth="1"/>
    <col min="2562" max="2562" width="60.6640625" style="179" bestFit="1" customWidth="1"/>
    <col min="2563" max="2568" width="17.44140625" style="179" customWidth="1"/>
    <col min="2569" max="2816" width="9.33203125" style="179"/>
    <col min="2817" max="2817" width="24.5546875" style="179" customWidth="1"/>
    <col min="2818" max="2818" width="60.6640625" style="179" bestFit="1" customWidth="1"/>
    <col min="2819" max="2824" width="17.44140625" style="179" customWidth="1"/>
    <col min="2825" max="3072" width="9.33203125" style="179"/>
    <col min="3073" max="3073" width="24.5546875" style="179" customWidth="1"/>
    <col min="3074" max="3074" width="60.6640625" style="179" bestFit="1" customWidth="1"/>
    <col min="3075" max="3080" width="17.44140625" style="179" customWidth="1"/>
    <col min="3081" max="3328" width="9.33203125" style="179"/>
    <col min="3329" max="3329" width="24.5546875" style="179" customWidth="1"/>
    <col min="3330" max="3330" width="60.6640625" style="179" bestFit="1" customWidth="1"/>
    <col min="3331" max="3336" width="17.44140625" style="179" customWidth="1"/>
    <col min="3337" max="3584" width="9.33203125" style="179"/>
    <col min="3585" max="3585" width="24.5546875" style="179" customWidth="1"/>
    <col min="3586" max="3586" width="60.6640625" style="179" bestFit="1" customWidth="1"/>
    <col min="3587" max="3592" width="17.44140625" style="179" customWidth="1"/>
    <col min="3593" max="3840" width="9.33203125" style="179"/>
    <col min="3841" max="3841" width="24.5546875" style="179" customWidth="1"/>
    <col min="3842" max="3842" width="60.6640625" style="179" bestFit="1" customWidth="1"/>
    <col min="3843" max="3848" width="17.44140625" style="179" customWidth="1"/>
    <col min="3849" max="4096" width="9.33203125" style="179"/>
    <col min="4097" max="4097" width="24.5546875" style="179" customWidth="1"/>
    <col min="4098" max="4098" width="60.6640625" style="179" bestFit="1" customWidth="1"/>
    <col min="4099" max="4104" width="17.44140625" style="179" customWidth="1"/>
    <col min="4105" max="4352" width="9.33203125" style="179"/>
    <col min="4353" max="4353" width="24.5546875" style="179" customWidth="1"/>
    <col min="4354" max="4354" width="60.6640625" style="179" bestFit="1" customWidth="1"/>
    <col min="4355" max="4360" width="17.44140625" style="179" customWidth="1"/>
    <col min="4361" max="4608" width="9.33203125" style="179"/>
    <col min="4609" max="4609" width="24.5546875" style="179" customWidth="1"/>
    <col min="4610" max="4610" width="60.6640625" style="179" bestFit="1" customWidth="1"/>
    <col min="4611" max="4616" width="17.44140625" style="179" customWidth="1"/>
    <col min="4617" max="4864" width="9.33203125" style="179"/>
    <col min="4865" max="4865" width="24.5546875" style="179" customWidth="1"/>
    <col min="4866" max="4866" width="60.6640625" style="179" bestFit="1" customWidth="1"/>
    <col min="4867" max="4872" width="17.44140625" style="179" customWidth="1"/>
    <col min="4873" max="5120" width="9.33203125" style="179"/>
    <col min="5121" max="5121" width="24.5546875" style="179" customWidth="1"/>
    <col min="5122" max="5122" width="60.6640625" style="179" bestFit="1" customWidth="1"/>
    <col min="5123" max="5128" width="17.44140625" style="179" customWidth="1"/>
    <col min="5129" max="5376" width="9.33203125" style="179"/>
    <col min="5377" max="5377" width="24.5546875" style="179" customWidth="1"/>
    <col min="5378" max="5378" width="60.6640625" style="179" bestFit="1" customWidth="1"/>
    <col min="5379" max="5384" width="17.44140625" style="179" customWidth="1"/>
    <col min="5385" max="5632" width="9.33203125" style="179"/>
    <col min="5633" max="5633" width="24.5546875" style="179" customWidth="1"/>
    <col min="5634" max="5634" width="60.6640625" style="179" bestFit="1" customWidth="1"/>
    <col min="5635" max="5640" width="17.44140625" style="179" customWidth="1"/>
    <col min="5641" max="5888" width="9.33203125" style="179"/>
    <col min="5889" max="5889" width="24.5546875" style="179" customWidth="1"/>
    <col min="5890" max="5890" width="60.6640625" style="179" bestFit="1" customWidth="1"/>
    <col min="5891" max="5896" width="17.44140625" style="179" customWidth="1"/>
    <col min="5897" max="6144" width="9.33203125" style="179"/>
    <col min="6145" max="6145" width="24.5546875" style="179" customWidth="1"/>
    <col min="6146" max="6146" width="60.6640625" style="179" bestFit="1" customWidth="1"/>
    <col min="6147" max="6152" width="17.44140625" style="179" customWidth="1"/>
    <col min="6153" max="6400" width="9.33203125" style="179"/>
    <col min="6401" max="6401" width="24.5546875" style="179" customWidth="1"/>
    <col min="6402" max="6402" width="60.6640625" style="179" bestFit="1" customWidth="1"/>
    <col min="6403" max="6408" width="17.44140625" style="179" customWidth="1"/>
    <col min="6409" max="6656" width="9.33203125" style="179"/>
    <col min="6657" max="6657" width="24.5546875" style="179" customWidth="1"/>
    <col min="6658" max="6658" width="60.6640625" style="179" bestFit="1" customWidth="1"/>
    <col min="6659" max="6664" width="17.44140625" style="179" customWidth="1"/>
    <col min="6665" max="6912" width="9.33203125" style="179"/>
    <col min="6913" max="6913" width="24.5546875" style="179" customWidth="1"/>
    <col min="6914" max="6914" width="60.6640625" style="179" bestFit="1" customWidth="1"/>
    <col min="6915" max="6920" width="17.44140625" style="179" customWidth="1"/>
    <col min="6921" max="7168" width="9.33203125" style="179"/>
    <col min="7169" max="7169" width="24.5546875" style="179" customWidth="1"/>
    <col min="7170" max="7170" width="60.6640625" style="179" bestFit="1" customWidth="1"/>
    <col min="7171" max="7176" width="17.44140625" style="179" customWidth="1"/>
    <col min="7177" max="7424" width="9.33203125" style="179"/>
    <col min="7425" max="7425" width="24.5546875" style="179" customWidth="1"/>
    <col min="7426" max="7426" width="60.6640625" style="179" bestFit="1" customWidth="1"/>
    <col min="7427" max="7432" width="17.44140625" style="179" customWidth="1"/>
    <col min="7433" max="7680" width="9.33203125" style="179"/>
    <col min="7681" max="7681" width="24.5546875" style="179" customWidth="1"/>
    <col min="7682" max="7682" width="60.6640625" style="179" bestFit="1" customWidth="1"/>
    <col min="7683" max="7688" width="17.44140625" style="179" customWidth="1"/>
    <col min="7689" max="7936" width="9.33203125" style="179"/>
    <col min="7937" max="7937" width="24.5546875" style="179" customWidth="1"/>
    <col min="7938" max="7938" width="60.6640625" style="179" bestFit="1" customWidth="1"/>
    <col min="7939" max="7944" width="17.44140625" style="179" customWidth="1"/>
    <col min="7945" max="8192" width="9.33203125" style="179"/>
    <col min="8193" max="8193" width="24.5546875" style="179" customWidth="1"/>
    <col min="8194" max="8194" width="60.6640625" style="179" bestFit="1" customWidth="1"/>
    <col min="8195" max="8200" width="17.44140625" style="179" customWidth="1"/>
    <col min="8201" max="8448" width="9.33203125" style="179"/>
    <col min="8449" max="8449" width="24.5546875" style="179" customWidth="1"/>
    <col min="8450" max="8450" width="60.6640625" style="179" bestFit="1" customWidth="1"/>
    <col min="8451" max="8456" width="17.44140625" style="179" customWidth="1"/>
    <col min="8457" max="8704" width="9.33203125" style="179"/>
    <col min="8705" max="8705" width="24.5546875" style="179" customWidth="1"/>
    <col min="8706" max="8706" width="60.6640625" style="179" bestFit="1" customWidth="1"/>
    <col min="8707" max="8712" width="17.44140625" style="179" customWidth="1"/>
    <col min="8713" max="8960" width="9.33203125" style="179"/>
    <col min="8961" max="8961" width="24.5546875" style="179" customWidth="1"/>
    <col min="8962" max="8962" width="60.6640625" style="179" bestFit="1" customWidth="1"/>
    <col min="8963" max="8968" width="17.44140625" style="179" customWidth="1"/>
    <col min="8969" max="9216" width="9.33203125" style="179"/>
    <col min="9217" max="9217" width="24.5546875" style="179" customWidth="1"/>
    <col min="9218" max="9218" width="60.6640625" style="179" bestFit="1" customWidth="1"/>
    <col min="9219" max="9224" width="17.44140625" style="179" customWidth="1"/>
    <col min="9225" max="9472" width="9.33203125" style="179"/>
    <col min="9473" max="9473" width="24.5546875" style="179" customWidth="1"/>
    <col min="9474" max="9474" width="60.6640625" style="179" bestFit="1" customWidth="1"/>
    <col min="9475" max="9480" width="17.44140625" style="179" customWidth="1"/>
    <col min="9481" max="9728" width="9.33203125" style="179"/>
    <col min="9729" max="9729" width="24.5546875" style="179" customWidth="1"/>
    <col min="9730" max="9730" width="60.6640625" style="179" bestFit="1" customWidth="1"/>
    <col min="9731" max="9736" width="17.44140625" style="179" customWidth="1"/>
    <col min="9737" max="9984" width="9.33203125" style="179"/>
    <col min="9985" max="9985" width="24.5546875" style="179" customWidth="1"/>
    <col min="9986" max="9986" width="60.6640625" style="179" bestFit="1" customWidth="1"/>
    <col min="9987" max="9992" width="17.44140625" style="179" customWidth="1"/>
    <col min="9993" max="10240" width="9.33203125" style="179"/>
    <col min="10241" max="10241" width="24.5546875" style="179" customWidth="1"/>
    <col min="10242" max="10242" width="60.6640625" style="179" bestFit="1" customWidth="1"/>
    <col min="10243" max="10248" width="17.44140625" style="179" customWidth="1"/>
    <col min="10249" max="10496" width="9.33203125" style="179"/>
    <col min="10497" max="10497" width="24.5546875" style="179" customWidth="1"/>
    <col min="10498" max="10498" width="60.6640625" style="179" bestFit="1" customWidth="1"/>
    <col min="10499" max="10504" width="17.44140625" style="179" customWidth="1"/>
    <col min="10505" max="10752" width="9.33203125" style="179"/>
    <col min="10753" max="10753" width="24.5546875" style="179" customWidth="1"/>
    <col min="10754" max="10754" width="60.6640625" style="179" bestFit="1" customWidth="1"/>
    <col min="10755" max="10760" width="17.44140625" style="179" customWidth="1"/>
    <col min="10761" max="11008" width="9.33203125" style="179"/>
    <col min="11009" max="11009" width="24.5546875" style="179" customWidth="1"/>
    <col min="11010" max="11010" width="60.6640625" style="179" bestFit="1" customWidth="1"/>
    <col min="11011" max="11016" width="17.44140625" style="179" customWidth="1"/>
    <col min="11017" max="11264" width="9.33203125" style="179"/>
    <col min="11265" max="11265" width="24.5546875" style="179" customWidth="1"/>
    <col min="11266" max="11266" width="60.6640625" style="179" bestFit="1" customWidth="1"/>
    <col min="11267" max="11272" width="17.44140625" style="179" customWidth="1"/>
    <col min="11273" max="11520" width="9.33203125" style="179"/>
    <col min="11521" max="11521" width="24.5546875" style="179" customWidth="1"/>
    <col min="11522" max="11522" width="60.6640625" style="179" bestFit="1" customWidth="1"/>
    <col min="11523" max="11528" width="17.44140625" style="179" customWidth="1"/>
    <col min="11529" max="11776" width="9.33203125" style="179"/>
    <col min="11777" max="11777" width="24.5546875" style="179" customWidth="1"/>
    <col min="11778" max="11778" width="60.6640625" style="179" bestFit="1" customWidth="1"/>
    <col min="11779" max="11784" width="17.44140625" style="179" customWidth="1"/>
    <col min="11785" max="12032" width="9.33203125" style="179"/>
    <col min="12033" max="12033" width="24.5546875" style="179" customWidth="1"/>
    <col min="12034" max="12034" width="60.6640625" style="179" bestFit="1" customWidth="1"/>
    <col min="12035" max="12040" width="17.44140625" style="179" customWidth="1"/>
    <col min="12041" max="12288" width="9.33203125" style="179"/>
    <col min="12289" max="12289" width="24.5546875" style="179" customWidth="1"/>
    <col min="12290" max="12290" width="60.6640625" style="179" bestFit="1" customWidth="1"/>
    <col min="12291" max="12296" width="17.44140625" style="179" customWidth="1"/>
    <col min="12297" max="12544" width="9.33203125" style="179"/>
    <col min="12545" max="12545" width="24.5546875" style="179" customWidth="1"/>
    <col min="12546" max="12546" width="60.6640625" style="179" bestFit="1" customWidth="1"/>
    <col min="12547" max="12552" width="17.44140625" style="179" customWidth="1"/>
    <col min="12553" max="12800" width="9.33203125" style="179"/>
    <col min="12801" max="12801" width="24.5546875" style="179" customWidth="1"/>
    <col min="12802" max="12802" width="60.6640625" style="179" bestFit="1" customWidth="1"/>
    <col min="12803" max="12808" width="17.44140625" style="179" customWidth="1"/>
    <col min="12809" max="13056" width="9.33203125" style="179"/>
    <col min="13057" max="13057" width="24.5546875" style="179" customWidth="1"/>
    <col min="13058" max="13058" width="60.6640625" style="179" bestFit="1" customWidth="1"/>
    <col min="13059" max="13064" width="17.44140625" style="179" customWidth="1"/>
    <col min="13065" max="13312" width="9.33203125" style="179"/>
    <col min="13313" max="13313" width="24.5546875" style="179" customWidth="1"/>
    <col min="13314" max="13314" width="60.6640625" style="179" bestFit="1" customWidth="1"/>
    <col min="13315" max="13320" width="17.44140625" style="179" customWidth="1"/>
    <col min="13321" max="13568" width="9.33203125" style="179"/>
    <col min="13569" max="13569" width="24.5546875" style="179" customWidth="1"/>
    <col min="13570" max="13570" width="60.6640625" style="179" bestFit="1" customWidth="1"/>
    <col min="13571" max="13576" width="17.44140625" style="179" customWidth="1"/>
    <col min="13577" max="13824" width="9.33203125" style="179"/>
    <col min="13825" max="13825" width="24.5546875" style="179" customWidth="1"/>
    <col min="13826" max="13826" width="60.6640625" style="179" bestFit="1" customWidth="1"/>
    <col min="13827" max="13832" width="17.44140625" style="179" customWidth="1"/>
    <col min="13833" max="14080" width="9.33203125" style="179"/>
    <col min="14081" max="14081" width="24.5546875" style="179" customWidth="1"/>
    <col min="14082" max="14082" width="60.6640625" style="179" bestFit="1" customWidth="1"/>
    <col min="14083" max="14088" width="17.44140625" style="179" customWidth="1"/>
    <col min="14089" max="14336" width="9.33203125" style="179"/>
    <col min="14337" max="14337" width="24.5546875" style="179" customWidth="1"/>
    <col min="14338" max="14338" width="60.6640625" style="179" bestFit="1" customWidth="1"/>
    <col min="14339" max="14344" width="17.44140625" style="179" customWidth="1"/>
    <col min="14345" max="14592" width="9.33203125" style="179"/>
    <col min="14593" max="14593" width="24.5546875" style="179" customWidth="1"/>
    <col min="14594" max="14594" width="60.6640625" style="179" bestFit="1" customWidth="1"/>
    <col min="14595" max="14600" width="17.44140625" style="179" customWidth="1"/>
    <col min="14601" max="14848" width="9.33203125" style="179"/>
    <col min="14849" max="14849" width="24.5546875" style="179" customWidth="1"/>
    <col min="14850" max="14850" width="60.6640625" style="179" bestFit="1" customWidth="1"/>
    <col min="14851" max="14856" width="17.44140625" style="179" customWidth="1"/>
    <col min="14857" max="15104" width="9.33203125" style="179"/>
    <col min="15105" max="15105" width="24.5546875" style="179" customWidth="1"/>
    <col min="15106" max="15106" width="60.6640625" style="179" bestFit="1" customWidth="1"/>
    <col min="15107" max="15112" width="17.44140625" style="179" customWidth="1"/>
    <col min="15113" max="15360" width="9.33203125" style="179"/>
    <col min="15361" max="15361" width="24.5546875" style="179" customWidth="1"/>
    <col min="15362" max="15362" width="60.6640625" style="179" bestFit="1" customWidth="1"/>
    <col min="15363" max="15368" width="17.44140625" style="179" customWidth="1"/>
    <col min="15369" max="15616" width="9.33203125" style="179"/>
    <col min="15617" max="15617" width="24.5546875" style="179" customWidth="1"/>
    <col min="15618" max="15618" width="60.6640625" style="179" bestFit="1" customWidth="1"/>
    <col min="15619" max="15624" width="17.44140625" style="179" customWidth="1"/>
    <col min="15625" max="15872" width="9.33203125" style="179"/>
    <col min="15873" max="15873" width="24.5546875" style="179" customWidth="1"/>
    <col min="15874" max="15874" width="60.6640625" style="179" bestFit="1" customWidth="1"/>
    <col min="15875" max="15880" width="17.44140625" style="179" customWidth="1"/>
    <col min="15881" max="16128" width="9.33203125" style="179"/>
    <col min="16129" max="16129" width="24.5546875" style="179" customWidth="1"/>
    <col min="16130" max="16130" width="60.6640625" style="179" bestFit="1" customWidth="1"/>
    <col min="16131" max="16136" width="17.44140625" style="179" customWidth="1"/>
    <col min="16137" max="16384" width="9.332031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6" t="str">
        <f>$C$16&amp;" - DMS Input"&amp;" - TNSP RFM - version "&amp;Intro!$M$4</f>
        <v>Carpentaria Gas Pipeline - DMS Input - TNSP RFM - version 1.1</v>
      </c>
      <c r="C2" s="1476"/>
      <c r="D2" s="177"/>
      <c r="E2" s="177"/>
      <c r="F2" s="177"/>
      <c r="G2" s="1477" t="s">
        <v>42</v>
      </c>
      <c r="H2" s="1478"/>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79"/>
      <c r="D14" s="1480"/>
      <c r="E14" s="1480"/>
      <c r="F14" s="1480"/>
      <c r="G14" s="1480"/>
      <c r="H14" s="1480"/>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1" t="s">
        <v>1086</v>
      </c>
      <c r="D15" s="1482"/>
      <c r="E15" s="1482"/>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3" t="s">
        <v>1085</v>
      </c>
      <c r="D16" s="1512"/>
      <c r="E16" s="1512"/>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2"/>
      <c r="D22" s="1473"/>
      <c r="E22" s="1473"/>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4"/>
      <c r="D23" s="1475"/>
      <c r="E23" s="1475"/>
      <c r="F23" s="1475"/>
      <c r="G23" s="1475"/>
      <c r="H23" s="1475"/>
      <c r="I23" s="1475"/>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13"/>
  <sheetViews>
    <sheetView showGridLines="0" zoomScale="85" zoomScaleNormal="85" workbookViewId="0">
      <selection activeCell="M72" sqref="M72:M73"/>
    </sheetView>
  </sheetViews>
  <sheetFormatPr defaultRowHeight="13.2" outlineLevelRow="2"/>
  <cols>
    <col min="1" max="4" width="1" customWidth="1"/>
    <col min="5" max="5" width="52.109375" customWidth="1"/>
    <col min="6" max="6" width="15.6640625" customWidth="1"/>
    <col min="7" max="7" width="20.88671875" customWidth="1"/>
    <col min="8" max="8" width="17.88671875" customWidth="1"/>
    <col min="9" max="9" width="17.109375" customWidth="1"/>
    <col min="10" max="10" width="17.88671875" customWidth="1"/>
    <col min="11" max="17" width="17.109375" customWidth="1"/>
    <col min="18" max="18" width="14.5546875" customWidth="1"/>
    <col min="19" max="19" width="12.44140625" customWidth="1"/>
    <col min="20" max="20" width="15.33203125" customWidth="1"/>
    <col min="21" max="21" width="12.5546875" customWidth="1"/>
    <col min="22" max="22" width="17.109375" customWidth="1"/>
    <col min="23" max="24" width="12.6640625" customWidth="1"/>
    <col min="25" max="25" width="11.33203125" bestFit="1" customWidth="1"/>
    <col min="26" max="26" width="11.5546875" bestFit="1" customWidth="1"/>
    <col min="27" max="27" width="14.109375" customWidth="1"/>
    <col min="28" max="28" width="12.33203125" customWidth="1"/>
    <col min="29" max="29" width="12" customWidth="1"/>
    <col min="30" max="30" width="12.33203125" customWidth="1"/>
    <col min="31" max="31" width="12.6640625" customWidth="1"/>
    <col min="32" max="32" width="12.44140625" customWidth="1"/>
    <col min="33" max="33" width="13.6640625" customWidth="1"/>
    <col min="34" max="34" width="14.88671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6" t="str">
        <f>'DMS input'!$C$16&amp;" - RFM Input"&amp;" - TNSP RFM - version "&amp;Intro!$M$4</f>
        <v>Carpentaria Gas Pipeline - RFM Input - TNSP RFM - version 1.1</v>
      </c>
      <c r="F2" s="1476"/>
      <c r="G2" s="1495" t="s">
        <v>42</v>
      </c>
      <c r="H2" s="1496"/>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6">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86" t="str">
        <f>"Opening Capital Base for "&amp;IF(LEN($Z$7)&gt;4,CONCATENATE(LEFT($Z$7,4)-1&amp;"-"&amp;IF($Z$7&gt;"2009-10",,"0")&amp;RIGHT($Z$7,2)-1),$Z$7-1)&amp;" and Opening Tax Asset Base for "&amp;$Z$7&amp;" ($m Nominal)"</f>
        <v>Opening Capital Base for 2015-16 and Opening Tax Asset Base for 2016-17 ($m Nominal)</v>
      </c>
      <c r="F5" s="1486"/>
      <c r="G5" s="1486"/>
      <c r="H5" s="1486"/>
      <c r="I5" s="1486"/>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66">
      <c r="A6" s="4"/>
      <c r="B6" s="4"/>
      <c r="C6" s="4"/>
      <c r="D6" s="4"/>
      <c r="E6" s="4"/>
      <c r="F6" s="1497" t="s">
        <v>47</v>
      </c>
      <c r="G6" s="1497"/>
      <c r="H6" s="1497"/>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498" t="s">
        <v>522</v>
      </c>
      <c r="G7" s="1499"/>
      <c r="H7" s="1499"/>
      <c r="I7" s="286">
        <v>239.56529446685127</v>
      </c>
      <c r="J7" s="286">
        <v>239.56529446685127</v>
      </c>
      <c r="K7" s="316">
        <v>62.218288407248899</v>
      </c>
      <c r="L7" s="303">
        <v>80</v>
      </c>
      <c r="M7" s="1259">
        <v>0.28598169103724558</v>
      </c>
      <c r="N7" s="1259">
        <v>0.28598169103724558</v>
      </c>
      <c r="O7" s="1259">
        <v>1.4989512643824603</v>
      </c>
      <c r="P7" s="1259">
        <v>1.4989512643824603</v>
      </c>
      <c r="Q7" s="1259"/>
      <c r="R7" s="1259"/>
      <c r="S7" s="1259"/>
      <c r="T7" s="1259"/>
      <c r="U7" s="1259"/>
      <c r="V7" s="1259"/>
      <c r="W7" s="301">
        <v>20.927529960699765</v>
      </c>
      <c r="X7" s="298">
        <v>3.7421827083723285</v>
      </c>
      <c r="Y7" s="303">
        <v>20</v>
      </c>
      <c r="Z7" s="209" t="s">
        <v>337</v>
      </c>
      <c r="AA7" s="202">
        <v>10</v>
      </c>
      <c r="AB7" s="172"/>
      <c r="AC7" s="172"/>
      <c r="AD7" s="172"/>
      <c r="AE7" s="172"/>
      <c r="AF7" s="172"/>
      <c r="AG7" s="172"/>
      <c r="AH7" s="172"/>
      <c r="AI7" s="172"/>
      <c r="AJ7" s="172"/>
    </row>
    <row r="8" spans="1:36">
      <c r="A8" s="4"/>
      <c r="B8" s="4"/>
      <c r="C8" s="4"/>
      <c r="D8" s="4"/>
      <c r="E8" s="119" t="s">
        <v>1</v>
      </c>
      <c r="F8" s="1487" t="s">
        <v>523</v>
      </c>
      <c r="G8" s="1494"/>
      <c r="H8" s="1494"/>
      <c r="I8" s="287">
        <v>44.311963353037747</v>
      </c>
      <c r="J8" s="1390">
        <v>44.311963353037747</v>
      </c>
      <c r="K8" s="233">
        <v>26.703125197217258</v>
      </c>
      <c r="L8" s="300">
        <v>35</v>
      </c>
      <c r="M8" s="1260">
        <v>1.2516034431101927E-2</v>
      </c>
      <c r="N8" s="1260">
        <v>1.2516034431101927E-2</v>
      </c>
      <c r="O8" s="1260">
        <v>1.1958344001278152</v>
      </c>
      <c r="P8" s="1260">
        <v>1.1958344001278152</v>
      </c>
      <c r="Q8" s="1260"/>
      <c r="R8" s="1260"/>
      <c r="S8" s="1260"/>
      <c r="T8" s="1260"/>
      <c r="U8" s="1260"/>
      <c r="V8" s="1260"/>
      <c r="W8" s="302">
        <v>26.111481568902246</v>
      </c>
      <c r="X8" s="299">
        <v>12.241729721257878</v>
      </c>
      <c r="Y8" s="300">
        <v>20</v>
      </c>
      <c r="Z8" s="2"/>
      <c r="AA8" s="2"/>
      <c r="AB8" s="172"/>
      <c r="AC8" s="172"/>
      <c r="AD8" s="172"/>
      <c r="AE8" s="172"/>
      <c r="AF8" s="172"/>
      <c r="AG8" s="172"/>
      <c r="AH8" s="172"/>
      <c r="AI8" s="172"/>
      <c r="AJ8" s="172"/>
    </row>
    <row r="9" spans="1:36">
      <c r="A9" s="4"/>
      <c r="B9" s="4"/>
      <c r="C9" s="4"/>
      <c r="D9" s="4"/>
      <c r="E9" s="119" t="s">
        <v>3</v>
      </c>
      <c r="F9" s="1487" t="s">
        <v>1070</v>
      </c>
      <c r="G9" s="1494"/>
      <c r="H9" s="1494"/>
      <c r="I9" s="287">
        <v>0.11101439770758323</v>
      </c>
      <c r="J9" s="1390">
        <v>0.11101439770758323</v>
      </c>
      <c r="K9" s="233">
        <v>43.760581082428011</v>
      </c>
      <c r="L9" s="299">
        <v>50</v>
      </c>
      <c r="M9" s="1260">
        <v>9.187412422104484E-3</v>
      </c>
      <c r="N9" s="1260">
        <v>9.187412422104484E-3</v>
      </c>
      <c r="O9" s="1260">
        <v>1.489441567747569E-3</v>
      </c>
      <c r="P9" s="1260">
        <v>1.489441567747569E-3</v>
      </c>
      <c r="Q9" s="1260"/>
      <c r="R9" s="1260"/>
      <c r="S9" s="1260"/>
      <c r="T9" s="1260"/>
      <c r="U9" s="1260"/>
      <c r="V9" s="1260"/>
      <c r="W9" s="302">
        <v>7.9006287693868041E-2</v>
      </c>
      <c r="X9" s="299">
        <v>14.887846193002515</v>
      </c>
      <c r="Y9" s="299">
        <v>20</v>
      </c>
      <c r="Z9" s="2"/>
      <c r="AA9" s="2"/>
      <c r="AB9" s="172"/>
      <c r="AC9" s="172"/>
      <c r="AD9" s="172"/>
      <c r="AE9" s="172"/>
      <c r="AF9" s="172"/>
      <c r="AG9" s="172"/>
      <c r="AH9" s="172"/>
      <c r="AI9" s="172"/>
      <c r="AJ9" s="172"/>
    </row>
    <row r="10" spans="1:36">
      <c r="A10" s="4"/>
      <c r="B10" s="4"/>
      <c r="C10" s="4"/>
      <c r="D10" s="4"/>
      <c r="E10" s="119" t="s">
        <v>4</v>
      </c>
      <c r="F10" s="1487" t="s">
        <v>1071</v>
      </c>
      <c r="G10" s="1494"/>
      <c r="H10" s="1494"/>
      <c r="I10" s="287">
        <v>8.0913494859486885</v>
      </c>
      <c r="J10" s="1390">
        <v>8.0913494859486885</v>
      </c>
      <c r="K10" s="233">
        <v>35.459356522049674</v>
      </c>
      <c r="L10" s="233">
        <v>50</v>
      </c>
      <c r="M10" s="1260">
        <v>0</v>
      </c>
      <c r="N10" s="1260">
        <v>0</v>
      </c>
      <c r="O10" s="1260">
        <v>0.15362390739847637</v>
      </c>
      <c r="P10" s="1260">
        <v>0.15362390739847637</v>
      </c>
      <c r="Q10" s="1261"/>
      <c r="R10" s="1261"/>
      <c r="S10" s="1261"/>
      <c r="T10" s="1261"/>
      <c r="U10" s="1261"/>
      <c r="V10" s="1261"/>
      <c r="W10" s="302">
        <v>2.0957609108168089</v>
      </c>
      <c r="X10" s="299">
        <v>12.613456333398785</v>
      </c>
      <c r="Y10" s="233">
        <v>20</v>
      </c>
      <c r="Z10" s="2"/>
      <c r="AA10" s="2"/>
      <c r="AB10" s="172"/>
      <c r="AC10" s="172"/>
      <c r="AD10" s="172"/>
      <c r="AE10" s="172"/>
      <c r="AF10" s="172"/>
      <c r="AG10" s="172"/>
      <c r="AH10" s="172"/>
      <c r="AI10" s="172"/>
      <c r="AJ10" s="172"/>
    </row>
    <row r="11" spans="1:36">
      <c r="A11" s="4"/>
      <c r="B11" s="4"/>
      <c r="C11" s="4"/>
      <c r="D11" s="4"/>
      <c r="E11" s="119" t="s">
        <v>5</v>
      </c>
      <c r="F11" s="1487" t="s">
        <v>1072</v>
      </c>
      <c r="G11" s="1494"/>
      <c r="H11" s="1494"/>
      <c r="I11" s="287">
        <v>0.10522313436725229</v>
      </c>
      <c r="J11" s="1390">
        <v>0.10522313436725229</v>
      </c>
      <c r="K11" s="233">
        <v>78</v>
      </c>
      <c r="L11" s="31">
        <v>80</v>
      </c>
      <c r="M11" s="1260">
        <v>0</v>
      </c>
      <c r="N11" s="1260">
        <v>0</v>
      </c>
      <c r="O11" s="1260">
        <v>2.9565952932909508E-4</v>
      </c>
      <c r="P11" s="1260">
        <v>2.9565952932909508E-4</v>
      </c>
      <c r="Q11" s="1261"/>
      <c r="R11" s="1261"/>
      <c r="S11" s="1261"/>
      <c r="T11" s="1261"/>
      <c r="U11" s="1261"/>
      <c r="V11" s="1261"/>
      <c r="W11" s="302">
        <v>9.0892655999999988E-2</v>
      </c>
      <c r="X11" s="299">
        <v>18</v>
      </c>
      <c r="Y11" s="31">
        <v>20</v>
      </c>
      <c r="Z11" s="2"/>
      <c r="AA11" s="2"/>
      <c r="AB11" s="172"/>
      <c r="AC11" s="172"/>
      <c r="AD11" s="172"/>
      <c r="AE11" s="172"/>
      <c r="AF11" s="172"/>
      <c r="AG11" s="172"/>
      <c r="AH11" s="172"/>
      <c r="AI11" s="172"/>
      <c r="AJ11" s="172"/>
    </row>
    <row r="12" spans="1:36">
      <c r="A12" s="4"/>
      <c r="B12" s="4"/>
      <c r="C12" s="4"/>
      <c r="D12" s="4"/>
      <c r="E12" s="119" t="s">
        <v>6</v>
      </c>
      <c r="F12" s="1487" t="s">
        <v>1073</v>
      </c>
      <c r="G12" s="1494"/>
      <c r="H12" s="1494"/>
      <c r="I12" s="287">
        <v>0.87117360034144375</v>
      </c>
      <c r="J12" s="1390">
        <v>0.87117360034144375</v>
      </c>
      <c r="K12" s="233">
        <v>13.618428242144818</v>
      </c>
      <c r="L12" s="31">
        <v>15</v>
      </c>
      <c r="M12" s="1260">
        <v>1.0594006085425263</v>
      </c>
      <c r="N12" s="1260">
        <v>1.0594006085425263</v>
      </c>
      <c r="O12" s="1260">
        <v>6.8046661766916261E-2</v>
      </c>
      <c r="P12" s="1260">
        <v>6.8046661766916261E-2</v>
      </c>
      <c r="Q12" s="1261"/>
      <c r="R12" s="1261"/>
      <c r="S12" s="1261"/>
      <c r="T12" s="1261"/>
      <c r="U12" s="1261"/>
      <c r="V12" s="1261"/>
      <c r="W12" s="302">
        <v>1.6442643290000001</v>
      </c>
      <c r="X12" s="299">
        <v>9.0570071005900914</v>
      </c>
      <c r="Y12" s="31">
        <v>10</v>
      </c>
      <c r="Z12" s="2"/>
      <c r="AA12" s="2"/>
      <c r="AB12" s="172"/>
      <c r="AC12" s="172"/>
      <c r="AD12" s="172"/>
      <c r="AE12" s="172"/>
      <c r="AF12" s="172"/>
      <c r="AG12" s="172"/>
      <c r="AH12" s="172"/>
      <c r="AI12" s="172"/>
      <c r="AJ12" s="172"/>
    </row>
    <row r="13" spans="1:36">
      <c r="A13" s="4"/>
      <c r="B13" s="4"/>
      <c r="C13" s="4"/>
      <c r="D13" s="4"/>
      <c r="E13" s="119" t="s">
        <v>7</v>
      </c>
      <c r="F13" s="1487" t="s">
        <v>1074</v>
      </c>
      <c r="G13" s="1494"/>
      <c r="H13" s="1494"/>
      <c r="I13" s="287">
        <v>4.2714159907899152</v>
      </c>
      <c r="J13" s="1390">
        <v>4.2714159907899152</v>
      </c>
      <c r="K13" s="233">
        <v>62.960154804636616</v>
      </c>
      <c r="L13" s="31">
        <v>80</v>
      </c>
      <c r="M13" s="1260">
        <v>0</v>
      </c>
      <c r="N13" s="1260">
        <v>0</v>
      </c>
      <c r="O13" s="1260">
        <v>2.5871909855946493E-2</v>
      </c>
      <c r="P13" s="1260">
        <v>2.5871909855946493E-2</v>
      </c>
      <c r="Q13" s="1261"/>
      <c r="R13" s="1261"/>
      <c r="S13" s="1261"/>
      <c r="T13" s="1261"/>
      <c r="U13" s="1261"/>
      <c r="V13" s="1261"/>
      <c r="W13" s="302">
        <v>1.8821231995618855</v>
      </c>
      <c r="X13" s="299">
        <v>23.116706080935028</v>
      </c>
      <c r="Y13" s="31">
        <v>40</v>
      </c>
      <c r="Z13" s="2"/>
      <c r="AA13" s="2"/>
      <c r="AB13" s="172"/>
      <c r="AC13" s="172"/>
      <c r="AD13" s="172"/>
      <c r="AE13" s="172"/>
      <c r="AF13" s="172"/>
      <c r="AG13" s="172"/>
      <c r="AH13" s="172"/>
      <c r="AI13" s="172"/>
      <c r="AJ13" s="172"/>
    </row>
    <row r="14" spans="1:36">
      <c r="A14" s="4"/>
      <c r="B14" s="4"/>
      <c r="C14" s="4"/>
      <c r="D14" s="4"/>
      <c r="E14" s="119" t="s">
        <v>8</v>
      </c>
      <c r="F14" s="1487" t="s">
        <v>1075</v>
      </c>
      <c r="G14" s="1494"/>
      <c r="H14" s="1494"/>
      <c r="I14" s="287">
        <v>1.3334824275865296E-2</v>
      </c>
      <c r="J14" s="1390">
        <v>1.3334824275865296E-2</v>
      </c>
      <c r="K14" s="233" t="s">
        <v>167</v>
      </c>
      <c r="L14" s="233" t="s">
        <v>167</v>
      </c>
      <c r="M14" s="1260">
        <v>0</v>
      </c>
      <c r="N14" s="1260">
        <v>0</v>
      </c>
      <c r="O14" s="1260">
        <v>-1.364493646832721E-4</v>
      </c>
      <c r="P14" s="1260">
        <v>-1.364493646832721E-4</v>
      </c>
      <c r="Q14" s="1261"/>
      <c r="R14" s="1261"/>
      <c r="S14" s="1261"/>
      <c r="T14" s="1261"/>
      <c r="U14" s="1261"/>
      <c r="V14" s="1261"/>
      <c r="W14" s="302">
        <v>7.9469999999999992E-3</v>
      </c>
      <c r="X14" s="299" t="s">
        <v>167</v>
      </c>
      <c r="Y14" s="233" t="s">
        <v>1087</v>
      </c>
      <c r="Z14" s="2"/>
      <c r="AA14" s="2"/>
      <c r="AB14" s="172"/>
      <c r="AC14" s="172"/>
      <c r="AD14" s="172"/>
      <c r="AE14" s="172"/>
      <c r="AF14" s="172"/>
      <c r="AG14" s="172"/>
      <c r="AH14" s="172"/>
      <c r="AI14" s="172"/>
      <c r="AJ14" s="172"/>
    </row>
    <row r="15" spans="1:36">
      <c r="A15" s="4"/>
      <c r="B15" s="4"/>
      <c r="C15" s="4"/>
      <c r="D15" s="4"/>
      <c r="E15" s="119" t="s">
        <v>9</v>
      </c>
      <c r="F15" s="1487" t="s">
        <v>1076</v>
      </c>
      <c r="G15" s="1494"/>
      <c r="H15" s="1494"/>
      <c r="I15" s="287">
        <v>6.6973907050025856</v>
      </c>
      <c r="J15" s="1390">
        <v>6.6973907050025856</v>
      </c>
      <c r="K15" s="233">
        <v>73.029983848444573</v>
      </c>
      <c r="L15" s="233">
        <v>80</v>
      </c>
      <c r="M15" s="1260">
        <v>0.10688829895818489</v>
      </c>
      <c r="N15" s="1260">
        <v>0.10688829895818489</v>
      </c>
      <c r="O15" s="1260">
        <v>2.525213112008437E-2</v>
      </c>
      <c r="P15" s="1260">
        <v>2.525213112008437E-2</v>
      </c>
      <c r="Q15" s="1261"/>
      <c r="R15" s="1261"/>
      <c r="S15" s="1261"/>
      <c r="T15" s="1261"/>
      <c r="U15" s="1261"/>
      <c r="V15" s="1261"/>
      <c r="W15" s="302">
        <v>4.1585903412384777</v>
      </c>
      <c r="X15" s="299">
        <v>16.11100978756447</v>
      </c>
      <c r="Y15" s="233">
        <v>20</v>
      </c>
      <c r="Z15" s="2"/>
      <c r="AA15" s="2"/>
      <c r="AB15" s="172"/>
      <c r="AC15" s="172"/>
      <c r="AD15" s="172"/>
      <c r="AE15" s="172"/>
      <c r="AF15" s="172"/>
      <c r="AG15" s="172"/>
      <c r="AH15" s="172"/>
      <c r="AI15" s="172"/>
      <c r="AJ15" s="172"/>
    </row>
    <row r="16" spans="1:36">
      <c r="A16" s="4"/>
      <c r="B16" s="4"/>
      <c r="C16" s="4"/>
      <c r="D16" s="4"/>
      <c r="E16" s="119" t="s">
        <v>10</v>
      </c>
      <c r="F16" s="1487" t="s">
        <v>1077</v>
      </c>
      <c r="G16" s="1494"/>
      <c r="H16" s="1494"/>
      <c r="I16" s="287">
        <v>1.0586431896429707</v>
      </c>
      <c r="J16" s="1390">
        <v>1.0586431896429707</v>
      </c>
      <c r="K16" s="233">
        <v>1.2750015814193232</v>
      </c>
      <c r="L16" s="31">
        <v>5</v>
      </c>
      <c r="M16" s="1260">
        <v>1.7759482827910556E-2</v>
      </c>
      <c r="N16" s="1260">
        <v>1.7759482827910556E-2</v>
      </c>
      <c r="O16" s="1260">
        <v>0.50363763004232787</v>
      </c>
      <c r="P16" s="1260">
        <v>0.50363763004232787</v>
      </c>
      <c r="Q16" s="1261"/>
      <c r="R16" s="1261"/>
      <c r="S16" s="1261"/>
      <c r="T16" s="1261"/>
      <c r="U16" s="1261"/>
      <c r="V16" s="1261"/>
      <c r="W16" s="302">
        <v>4.8561082499999686E-2</v>
      </c>
      <c r="X16" s="299">
        <v>2.7467822098076176</v>
      </c>
      <c r="Y16" s="31">
        <v>4</v>
      </c>
      <c r="Z16" s="2"/>
      <c r="AA16" s="2"/>
      <c r="AB16" s="172"/>
      <c r="AC16" s="172"/>
      <c r="AD16" s="172"/>
      <c r="AE16" s="172"/>
      <c r="AF16" s="172"/>
      <c r="AG16" s="172"/>
      <c r="AH16" s="172"/>
      <c r="AI16" s="172"/>
      <c r="AJ16" s="172"/>
    </row>
    <row r="17" spans="1:36">
      <c r="A17" s="4"/>
      <c r="B17" s="4"/>
      <c r="C17" s="4"/>
      <c r="D17" s="4"/>
      <c r="E17" s="119" t="s">
        <v>11</v>
      </c>
      <c r="F17" s="1487" t="s">
        <v>1078</v>
      </c>
      <c r="G17" s="1494"/>
      <c r="H17" s="1494"/>
      <c r="I17" s="287">
        <v>1.7092659212322057</v>
      </c>
      <c r="J17" s="1390">
        <v>1.7092659212322057</v>
      </c>
      <c r="K17" s="233">
        <v>6.5281836347412083</v>
      </c>
      <c r="L17" s="31">
        <v>15.5</v>
      </c>
      <c r="M17" s="1260">
        <v>0</v>
      </c>
      <c r="N17" s="1260">
        <v>0</v>
      </c>
      <c r="O17" s="1260">
        <v>0.21332529416093537</v>
      </c>
      <c r="P17" s="1260">
        <v>0.21332529416093537</v>
      </c>
      <c r="Q17" s="1261"/>
      <c r="R17" s="1261"/>
      <c r="S17" s="1261"/>
      <c r="T17" s="1261"/>
      <c r="U17" s="1261"/>
      <c r="V17" s="1261"/>
      <c r="W17" s="302">
        <v>1.1595648041935491</v>
      </c>
      <c r="X17" s="299">
        <v>6.5291527111030643</v>
      </c>
      <c r="Y17" s="31">
        <v>15.5</v>
      </c>
      <c r="Z17" s="2"/>
      <c r="AA17" s="2"/>
      <c r="AB17" s="172"/>
      <c r="AC17" s="172"/>
      <c r="AD17" s="172"/>
      <c r="AE17" s="172"/>
      <c r="AF17" s="172"/>
      <c r="AG17" s="172"/>
      <c r="AH17" s="172"/>
      <c r="AI17" s="172"/>
      <c r="AJ17" s="172"/>
    </row>
    <row r="18" spans="1:36">
      <c r="A18" s="4"/>
      <c r="B18" s="4"/>
      <c r="C18" s="4"/>
      <c r="D18" s="4"/>
      <c r="E18" s="119" t="s">
        <v>12</v>
      </c>
      <c r="F18" s="1487" t="s">
        <v>1079</v>
      </c>
      <c r="G18" s="1494"/>
      <c r="H18" s="1494"/>
      <c r="I18" s="287">
        <v>2.6665477359291296</v>
      </c>
      <c r="J18" s="1390">
        <v>2.6665477359291296</v>
      </c>
      <c r="K18" s="233">
        <v>4.2699981600537242</v>
      </c>
      <c r="L18" s="31">
        <v>5</v>
      </c>
      <c r="M18" s="1260">
        <v>1.8843988312226876</v>
      </c>
      <c r="N18" s="1260">
        <v>1.8843988312226876</v>
      </c>
      <c r="O18" s="1260">
        <v>0.88914898024925959</v>
      </c>
      <c r="P18" s="1260">
        <v>0.88914898024925959</v>
      </c>
      <c r="Q18" s="1261"/>
      <c r="R18" s="1261"/>
      <c r="S18" s="1261"/>
      <c r="T18" s="1261"/>
      <c r="U18" s="1261"/>
      <c r="V18" s="1261"/>
      <c r="W18" s="302">
        <v>3.5526742408734702</v>
      </c>
      <c r="X18" s="299">
        <v>4.2926758334891728</v>
      </c>
      <c r="Y18" s="31">
        <v>5</v>
      </c>
      <c r="Z18" s="2"/>
      <c r="AA18" s="2"/>
      <c r="AB18" s="172"/>
      <c r="AC18" s="172"/>
      <c r="AD18" s="172"/>
      <c r="AE18" s="172"/>
      <c r="AF18" s="172"/>
      <c r="AG18" s="172"/>
      <c r="AH18" s="172"/>
      <c r="AI18" s="172"/>
      <c r="AJ18" s="172"/>
    </row>
    <row r="19" spans="1:36">
      <c r="A19" s="4"/>
      <c r="B19" s="4"/>
      <c r="C19" s="4"/>
      <c r="D19" s="4"/>
      <c r="E19" s="119" t="s">
        <v>13</v>
      </c>
      <c r="F19" s="1487" t="s">
        <v>1080</v>
      </c>
      <c r="G19" s="1494"/>
      <c r="H19" s="1494"/>
      <c r="I19" s="287">
        <v>0</v>
      </c>
      <c r="J19" s="1390">
        <v>0</v>
      </c>
      <c r="K19" s="233">
        <v>0</v>
      </c>
      <c r="L19" s="31">
        <v>5</v>
      </c>
      <c r="M19" s="1260">
        <v>0</v>
      </c>
      <c r="N19" s="1260">
        <v>0</v>
      </c>
      <c r="O19" s="1260">
        <v>0</v>
      </c>
      <c r="P19" s="1260">
        <v>0</v>
      </c>
      <c r="Q19" s="1261"/>
      <c r="R19" s="1261"/>
      <c r="S19" s="1261"/>
      <c r="T19" s="1261"/>
      <c r="U19" s="1261"/>
      <c r="V19" s="1261"/>
      <c r="W19" s="302">
        <v>0</v>
      </c>
      <c r="X19" s="299">
        <v>0</v>
      </c>
      <c r="Y19" s="31">
        <v>5</v>
      </c>
      <c r="Z19" s="2"/>
      <c r="AA19" s="2"/>
      <c r="AB19" s="172"/>
      <c r="AC19" s="172"/>
      <c r="AD19" s="172"/>
      <c r="AE19" s="172"/>
      <c r="AF19" s="172"/>
      <c r="AG19" s="172"/>
      <c r="AH19" s="172"/>
      <c r="AI19" s="172"/>
      <c r="AJ19" s="172"/>
    </row>
    <row r="20" spans="1:36">
      <c r="A20" s="4"/>
      <c r="B20" s="4"/>
      <c r="C20" s="4"/>
      <c r="D20" s="4"/>
      <c r="E20" s="119" t="s">
        <v>14</v>
      </c>
      <c r="F20" s="1487" t="s">
        <v>1081</v>
      </c>
      <c r="G20" s="1494"/>
      <c r="H20" s="1494"/>
      <c r="I20" s="287">
        <v>12.155047883692397</v>
      </c>
      <c r="J20" s="1390">
        <v>12.155047883692397</v>
      </c>
      <c r="K20" s="233">
        <v>4</v>
      </c>
      <c r="L20" s="31">
        <v>12</v>
      </c>
      <c r="M20" s="1260">
        <v>0</v>
      </c>
      <c r="N20" s="1260">
        <v>0</v>
      </c>
      <c r="O20" s="1260">
        <v>2.4950739313270325</v>
      </c>
      <c r="P20" s="1260">
        <v>2.4950739313270325</v>
      </c>
      <c r="Q20" s="1261"/>
      <c r="R20" s="1261"/>
      <c r="S20" s="1261"/>
      <c r="T20" s="1261"/>
      <c r="U20" s="1261"/>
      <c r="V20" s="1261"/>
      <c r="W20" s="302">
        <v>-1.7763568394002505E-15</v>
      </c>
      <c r="X20" s="299">
        <v>5</v>
      </c>
      <c r="Y20" s="31">
        <v>5</v>
      </c>
      <c r="Z20" s="2"/>
      <c r="AA20" s="2"/>
      <c r="AB20" s="172"/>
      <c r="AC20" s="172"/>
      <c r="AD20" s="172"/>
      <c r="AE20" s="172"/>
      <c r="AF20" s="172"/>
      <c r="AG20" s="172"/>
      <c r="AH20" s="172"/>
      <c r="AI20" s="172"/>
      <c r="AJ20" s="172"/>
    </row>
    <row r="21" spans="1:36">
      <c r="A21" s="4"/>
      <c r="B21" s="4"/>
      <c r="C21" s="4"/>
      <c r="D21" s="4"/>
      <c r="E21" s="119" t="s">
        <v>15</v>
      </c>
      <c r="F21" s="1487"/>
      <c r="G21" s="1488"/>
      <c r="H21" s="1488"/>
      <c r="I21" s="45"/>
      <c r="J21" s="45"/>
      <c r="K21" s="31"/>
      <c r="L21" s="31"/>
      <c r="M21" s="1261"/>
      <c r="N21" s="1261"/>
      <c r="O21" s="1261"/>
      <c r="P21" s="1261"/>
      <c r="Q21" s="1261"/>
      <c r="R21" s="1261"/>
      <c r="S21" s="1261"/>
      <c r="T21" s="1261"/>
      <c r="U21" s="1261"/>
      <c r="V21" s="1261"/>
      <c r="W21" s="1261"/>
      <c r="X21" s="31"/>
      <c r="Y21" s="31"/>
      <c r="Z21" s="2"/>
      <c r="AA21" s="2"/>
      <c r="AB21" s="172"/>
      <c r="AC21" s="172"/>
      <c r="AD21" s="172"/>
      <c r="AE21" s="172"/>
      <c r="AF21" s="172"/>
      <c r="AG21" s="172"/>
      <c r="AH21" s="172"/>
      <c r="AI21" s="172"/>
      <c r="AJ21" s="172"/>
    </row>
    <row r="22" spans="1:36">
      <c r="A22" s="4"/>
      <c r="B22" s="4"/>
      <c r="C22" s="4"/>
      <c r="D22" s="4"/>
      <c r="E22" s="119" t="s">
        <v>16</v>
      </c>
      <c r="F22" s="1487"/>
      <c r="G22" s="1488"/>
      <c r="H22" s="1488"/>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87"/>
      <c r="G23" s="1488"/>
      <c r="H23" s="1488"/>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87"/>
      <c r="G24" s="1488"/>
      <c r="H24" s="1488"/>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87"/>
      <c r="G25" s="1488"/>
      <c r="H25" s="1488"/>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87"/>
      <c r="G26" s="1488"/>
      <c r="H26" s="1488"/>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87"/>
      <c r="G27" s="1488"/>
      <c r="H27" s="1488"/>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87"/>
      <c r="G28" s="1488"/>
      <c r="H28" s="1488"/>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87"/>
      <c r="G29" s="1488"/>
      <c r="H29" s="1488"/>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87"/>
      <c r="G30" s="1488"/>
      <c r="H30" s="1488"/>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87"/>
      <c r="G31" s="1488"/>
      <c r="H31" s="1488"/>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87"/>
      <c r="G32" s="1488"/>
      <c r="H32" s="1488"/>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87"/>
      <c r="G33" s="1488"/>
      <c r="H33" s="1488"/>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87"/>
      <c r="G34" s="1488"/>
      <c r="H34" s="1488"/>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87"/>
      <c r="G35" s="1488"/>
      <c r="H35" s="1488"/>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87"/>
      <c r="G36" s="1488"/>
      <c r="H36" s="1488"/>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87"/>
      <c r="G37" s="1488"/>
      <c r="H37" s="1488"/>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87"/>
      <c r="G38" s="1488"/>
      <c r="H38" s="1488"/>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87"/>
      <c r="G39" s="1488"/>
      <c r="H39" s="1488"/>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87"/>
      <c r="G40" s="1488"/>
      <c r="H40" s="1488"/>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87"/>
      <c r="G41" s="1488"/>
      <c r="H41" s="1488"/>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87"/>
      <c r="G42" s="1488"/>
      <c r="H42" s="1488"/>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87"/>
      <c r="G43" s="1488"/>
      <c r="H43" s="1488"/>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87"/>
      <c r="G44" s="1488"/>
      <c r="H44" s="1488"/>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87"/>
      <c r="G45" s="1488"/>
      <c r="H45" s="1488"/>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87"/>
      <c r="G46" s="1488"/>
      <c r="H46" s="1488"/>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87"/>
      <c r="G47" s="1488"/>
      <c r="H47" s="1488"/>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87"/>
      <c r="G48" s="1488"/>
      <c r="H48" s="1488"/>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87"/>
      <c r="G49" s="1488"/>
      <c r="H49" s="1488"/>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87"/>
      <c r="G50" s="1488"/>
      <c r="H50" s="1488"/>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87"/>
      <c r="G51" s="1488"/>
      <c r="H51" s="1488"/>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87"/>
      <c r="G52" s="1488"/>
      <c r="H52" s="1488"/>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2" t="s">
        <v>514</v>
      </c>
      <c r="G53" s="1493"/>
      <c r="H53" s="1493"/>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87" t="s">
        <v>1067</v>
      </c>
      <c r="G54" s="1488"/>
      <c r="H54" s="1488"/>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87" t="s">
        <v>515</v>
      </c>
      <c r="G55" s="1488"/>
      <c r="H55" s="1488"/>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489" t="s">
        <v>140</v>
      </c>
      <c r="G56" s="1490"/>
      <c r="H56" s="1490"/>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321.6276646888191</v>
      </c>
      <c r="J57" s="175">
        <f>SUM(J7:J56)</f>
        <v>321.6276646888191</v>
      </c>
      <c r="K57" s="43"/>
      <c r="L57" s="22"/>
      <c r="M57" s="171">
        <f t="shared" ref="M57:V57" si="0">SUM(M7:M56)</f>
        <v>3.3761323594417614</v>
      </c>
      <c r="N57" s="175">
        <f t="shared" si="0"/>
        <v>3.3761323594417614</v>
      </c>
      <c r="O57" s="175">
        <f t="shared" si="0"/>
        <v>7.0704147621636491</v>
      </c>
      <c r="P57" s="175">
        <f t="shared" si="0"/>
        <v>7.0704147621636491</v>
      </c>
      <c r="Q57" s="175">
        <f t="shared" si="0"/>
        <v>0</v>
      </c>
      <c r="R57" s="175">
        <f t="shared" si="0"/>
        <v>0</v>
      </c>
      <c r="S57" s="175">
        <f t="shared" si="0"/>
        <v>0</v>
      </c>
      <c r="T57" s="175">
        <f t="shared" si="0"/>
        <v>0</v>
      </c>
      <c r="U57" s="175">
        <f t="shared" si="0"/>
        <v>0</v>
      </c>
      <c r="V57" s="175">
        <f t="shared" si="0"/>
        <v>0</v>
      </c>
      <c r="W57" s="175">
        <f>SUM(W7:W56)</f>
        <v>61.758396381480075</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85" t="s">
        <v>133</v>
      </c>
      <c r="F59" s="1485"/>
      <c r="G59" s="1485"/>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2015-16</v>
      </c>
      <c r="H60" s="210" t="str">
        <f>Z7</f>
        <v>2016-17</v>
      </c>
      <c r="I60" s="210" t="str">
        <f>IF(LEN(H60)&gt;4,CONCATENATE(LEFT(H60,4)+1&amp;"-"&amp;IF(H60&gt;"2007-08",,"0")&amp;RIGHT(H60,2)+1),H60+1)</f>
        <v>2017-18</v>
      </c>
      <c r="J60" s="210" t="str">
        <f t="shared" ref="J60:Q60" si="1">IF(LEN(I60)&gt;4,CONCATENATE(LEFT(I60,4)+1&amp;"-"&amp;IF(I60&gt;"2007-08",,"0")&amp;RIGHT(I60,2)+1),I60+1)</f>
        <v>2018-19</v>
      </c>
      <c r="K60" s="210" t="str">
        <f t="shared" si="1"/>
        <v>2019-20</v>
      </c>
      <c r="L60" s="210" t="str">
        <f t="shared" si="1"/>
        <v>2020-21</v>
      </c>
      <c r="M60" s="210" t="str">
        <f t="shared" si="1"/>
        <v>2021-22</v>
      </c>
      <c r="N60" s="210" t="str">
        <f t="shared" si="1"/>
        <v>2022-23</v>
      </c>
      <c r="O60" s="210" t="str">
        <f t="shared" si="1"/>
        <v>2023-24</v>
      </c>
      <c r="P60" s="210" t="str">
        <f t="shared" si="1"/>
        <v>2024-25</v>
      </c>
      <c r="Q60" s="210" t="str">
        <f t="shared" si="1"/>
        <v>2025-26</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0.27849824000000001</v>
      </c>
      <c r="H61" s="1264">
        <v>0</v>
      </c>
      <c r="I61" s="1264">
        <v>0</v>
      </c>
      <c r="J61" s="1264">
        <v>1.7027990000000003E-2</v>
      </c>
      <c r="K61" s="1264">
        <v>1.3283121499999999</v>
      </c>
      <c r="L61" s="1264">
        <v>0.61771703</v>
      </c>
      <c r="M61" s="1264">
        <v>0</v>
      </c>
      <c r="N61" s="1264"/>
      <c r="O61" s="1264"/>
      <c r="P61" s="1264"/>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1.2188519999999998E-2</v>
      </c>
      <c r="H62" s="1261">
        <v>0.58380155999999994</v>
      </c>
      <c r="I62" s="1261">
        <v>8.1422299999999951E-3</v>
      </c>
      <c r="J62" s="1261">
        <v>0.29607051000000001</v>
      </c>
      <c r="K62" s="1261">
        <v>0.21128007000000001</v>
      </c>
      <c r="L62" s="1261">
        <v>0.60571891999999994</v>
      </c>
      <c r="M62" s="1261">
        <v>2.9103830456733702E-17</v>
      </c>
      <c r="N62" s="1261"/>
      <c r="O62" s="1261"/>
      <c r="P62" s="1261"/>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8.9470000000000001E-3</v>
      </c>
      <c r="H63" s="1261">
        <v>0</v>
      </c>
      <c r="I63" s="1261">
        <v>0</v>
      </c>
      <c r="J63" s="1261">
        <v>0</v>
      </c>
      <c r="K63" s="1261">
        <v>0</v>
      </c>
      <c r="L63" s="1261">
        <v>0</v>
      </c>
      <c r="M63" s="1261">
        <v>0</v>
      </c>
      <c r="N63" s="1261"/>
      <c r="O63" s="1261"/>
      <c r="P63" s="1261"/>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0</v>
      </c>
      <c r="H64" s="1261">
        <v>0</v>
      </c>
      <c r="I64" s="1261">
        <v>0</v>
      </c>
      <c r="J64" s="1261">
        <v>0</v>
      </c>
      <c r="K64" s="1261">
        <v>0</v>
      </c>
      <c r="L64" s="1261">
        <v>0</v>
      </c>
      <c r="M64" s="1261">
        <v>0.41405203000000002</v>
      </c>
      <c r="N64" s="1261"/>
      <c r="O64" s="1261"/>
      <c r="P64" s="1261"/>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v>0</v>
      </c>
      <c r="K65" s="1261">
        <v>0</v>
      </c>
      <c r="L65" s="1261">
        <v>0</v>
      </c>
      <c r="M65" s="1261">
        <v>0</v>
      </c>
      <c r="N65" s="1261"/>
      <c r="O65" s="1261"/>
      <c r="P65" s="1261"/>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1.0316786499999999</v>
      </c>
      <c r="H66" s="1261">
        <v>3.9570500000000002E-3</v>
      </c>
      <c r="I66" s="1261">
        <v>7.9947080000000004E-2</v>
      </c>
      <c r="J66" s="1261">
        <v>0.35065796000000005</v>
      </c>
      <c r="K66" s="1261">
        <v>0.23417114999999999</v>
      </c>
      <c r="L66" s="1261">
        <v>0</v>
      </c>
      <c r="M66" s="1261">
        <v>0</v>
      </c>
      <c r="N66" s="1261"/>
      <c r="O66" s="1261"/>
      <c r="P66" s="1261"/>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0</v>
      </c>
      <c r="I67" s="1261">
        <v>0</v>
      </c>
      <c r="J67" s="1261">
        <v>0</v>
      </c>
      <c r="K67" s="1261">
        <v>0</v>
      </c>
      <c r="L67" s="1261">
        <v>0</v>
      </c>
      <c r="M67" s="1261">
        <v>0</v>
      </c>
      <c r="N67" s="1261"/>
      <c r="O67" s="1261"/>
      <c r="P67" s="1261"/>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v>0</v>
      </c>
      <c r="K68" s="1261">
        <v>0</v>
      </c>
      <c r="L68" s="1261">
        <v>0</v>
      </c>
      <c r="M68" s="1261">
        <v>0</v>
      </c>
      <c r="N68" s="1261"/>
      <c r="O68" s="1261"/>
      <c r="P68" s="1261"/>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0.10409128999999999</v>
      </c>
      <c r="H69" s="1261">
        <v>1.3332419999999999E-2</v>
      </c>
      <c r="I69" s="1261">
        <v>0.5433448500000001</v>
      </c>
      <c r="J69" s="1261">
        <v>0.20177433000000003</v>
      </c>
      <c r="K69" s="1261">
        <v>0.24845663999999998</v>
      </c>
      <c r="L69" s="1261">
        <v>8.1807199999999997E-2</v>
      </c>
      <c r="M69" s="1261">
        <v>1.0000000009313225E-8</v>
      </c>
      <c r="N69" s="1261"/>
      <c r="O69" s="1261"/>
      <c r="P69" s="1261"/>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1.7294760000000003E-2</v>
      </c>
      <c r="H70" s="1261">
        <v>0</v>
      </c>
      <c r="I70" s="1261">
        <v>1.735E-3</v>
      </c>
      <c r="J70" s="1261">
        <v>0</v>
      </c>
      <c r="K70" s="1261">
        <v>1.0376900438679246</v>
      </c>
      <c r="L70" s="1261">
        <v>6.1320754239204693E-9</v>
      </c>
      <c r="M70" s="1261">
        <v>0</v>
      </c>
      <c r="N70" s="1261"/>
      <c r="O70" s="1261"/>
      <c r="P70" s="1261"/>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v>0</v>
      </c>
      <c r="K71" s="1261">
        <v>0</v>
      </c>
      <c r="L71" s="1261">
        <v>0</v>
      </c>
      <c r="M71" s="1261">
        <v>0</v>
      </c>
      <c r="N71" s="1261"/>
      <c r="O71" s="1261"/>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1.8430682583653728</v>
      </c>
      <c r="H72" s="1261">
        <v>0.60808711405252336</v>
      </c>
      <c r="I72" s="1261">
        <v>0.99798309049338474</v>
      </c>
      <c r="J72" s="1261">
        <v>1.5844927116776946</v>
      </c>
      <c r="K72" s="1261">
        <v>1.0840752395245035</v>
      </c>
      <c r="L72" s="1261">
        <v>0.63720247638534466</v>
      </c>
      <c r="M72" s="1261">
        <v>3.0556403392157261</v>
      </c>
      <c r="N72" s="1261"/>
      <c r="O72" s="1261"/>
      <c r="P72" s="1261"/>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0</v>
      </c>
      <c r="H73" s="1261">
        <v>0</v>
      </c>
      <c r="I73" s="1261">
        <v>0</v>
      </c>
      <c r="J73" s="1261">
        <v>0</v>
      </c>
      <c r="K73" s="1261">
        <v>0.8789407222009713</v>
      </c>
      <c r="L73" s="1261">
        <v>0.20130235316493469</v>
      </c>
      <c r="M73" s="1261">
        <v>0.23104586098364646</v>
      </c>
      <c r="N73" s="1261"/>
      <c r="O73" s="1261"/>
      <c r="P73" s="1261"/>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261">
        <v>0</v>
      </c>
      <c r="K74" s="1261">
        <v>0</v>
      </c>
      <c r="L74" s="1261">
        <v>0</v>
      </c>
      <c r="M74" s="1261">
        <v>0</v>
      </c>
      <c r="N74" s="1261"/>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2"/>
      <c r="G75" s="1267"/>
      <c r="H75" s="1261"/>
      <c r="I75" s="1261"/>
      <c r="J75" s="1261"/>
      <c r="K75" s="1261"/>
      <c r="L75" s="1261"/>
      <c r="M75" s="1261"/>
      <c r="N75" s="1261"/>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3.2957667183653725</v>
      </c>
      <c r="H111" s="171">
        <f t="shared" ref="H111:Q111" si="2">SUM(H61:H110)</f>
        <v>1.2091781440525233</v>
      </c>
      <c r="I111" s="171">
        <f t="shared" si="2"/>
        <v>1.6311522504933849</v>
      </c>
      <c r="J111" s="171">
        <f t="shared" si="2"/>
        <v>2.4500235016776948</v>
      </c>
      <c r="K111" s="171">
        <f t="shared" si="2"/>
        <v>5.0229260155933995</v>
      </c>
      <c r="L111" s="171">
        <f t="shared" si="2"/>
        <v>2.1437479856823547</v>
      </c>
      <c r="M111" s="171">
        <f t="shared" si="2"/>
        <v>3.7007382401993727</v>
      </c>
      <c r="N111" s="171">
        <f t="shared" si="2"/>
        <v>0</v>
      </c>
      <c r="O111" s="171">
        <f t="shared" si="2"/>
        <v>0</v>
      </c>
      <c r="P111" s="171">
        <f t="shared" si="2"/>
        <v>0</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70"/>
      <c r="I112" s="1271"/>
      <c r="J112" s="1269"/>
      <c r="K112" s="1269"/>
      <c r="L112" s="1269"/>
      <c r="M112" s="1269"/>
      <c r="N112" s="1269"/>
      <c r="O112" s="1269"/>
      <c r="P112" s="1269"/>
      <c r="Q112" s="1269"/>
      <c r="R112" s="1272">
        <f>SUM(G111:Q111)</f>
        <v>19.453532856064101</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85" t="s">
        <v>44</v>
      </c>
      <c r="F113" s="1485"/>
      <c r="G113" s="1485"/>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2015-16</v>
      </c>
      <c r="H114" s="140" t="str">
        <f t="shared" ref="H114:Q114" si="3">H$60</f>
        <v>2016-17</v>
      </c>
      <c r="I114" s="140" t="str">
        <f t="shared" si="3"/>
        <v>2017-18</v>
      </c>
      <c r="J114" s="140" t="str">
        <f t="shared" si="3"/>
        <v>2018-19</v>
      </c>
      <c r="K114" s="140" t="str">
        <f t="shared" si="3"/>
        <v>2019-20</v>
      </c>
      <c r="L114" s="140" t="str">
        <f t="shared" si="3"/>
        <v>2020-21</v>
      </c>
      <c r="M114" s="140" t="str">
        <f t="shared" si="3"/>
        <v>2021-22</v>
      </c>
      <c r="N114" s="140" t="str">
        <f t="shared" si="3"/>
        <v>2022-23</v>
      </c>
      <c r="O114" s="140" t="str">
        <f t="shared" si="3"/>
        <v>2023-24</v>
      </c>
      <c r="P114" s="140" t="str">
        <f t="shared" si="3"/>
        <v>2024-25</v>
      </c>
      <c r="Q114" s="140" t="str">
        <f t="shared" si="3"/>
        <v>2025-26</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v>0</v>
      </c>
      <c r="H115" s="1264">
        <v>0</v>
      </c>
      <c r="I115" s="1264">
        <v>0</v>
      </c>
      <c r="J115" s="1264">
        <v>0</v>
      </c>
      <c r="K115" s="1264">
        <v>0</v>
      </c>
      <c r="L115" s="1264">
        <v>0</v>
      </c>
      <c r="M115" s="1264">
        <v>0</v>
      </c>
      <c r="N115" s="1264"/>
      <c r="O115" s="1264"/>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v>0</v>
      </c>
      <c r="H116" s="1261">
        <v>0</v>
      </c>
      <c r="I116" s="1261">
        <v>0</v>
      </c>
      <c r="J116" s="1261">
        <v>0</v>
      </c>
      <c r="K116" s="1261">
        <v>0</v>
      </c>
      <c r="L116" s="1261">
        <v>0</v>
      </c>
      <c r="M116" s="1261">
        <v>0</v>
      </c>
      <c r="N116" s="1261"/>
      <c r="O116" s="1261"/>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v>0</v>
      </c>
      <c r="H117" s="1261">
        <v>0</v>
      </c>
      <c r="I117" s="1261">
        <v>0</v>
      </c>
      <c r="J117" s="1261">
        <v>0</v>
      </c>
      <c r="K117" s="1261">
        <v>0</v>
      </c>
      <c r="L117" s="1261">
        <v>0</v>
      </c>
      <c r="M117" s="1261">
        <v>0</v>
      </c>
      <c r="N117" s="1261"/>
      <c r="O117" s="1261"/>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6">
        <v>0</v>
      </c>
      <c r="H118" s="1261">
        <v>0</v>
      </c>
      <c r="I118" s="1261">
        <v>0</v>
      </c>
      <c r="J118" s="1261">
        <v>0</v>
      </c>
      <c r="K118" s="1261">
        <v>0</v>
      </c>
      <c r="L118" s="1261">
        <v>0</v>
      </c>
      <c r="M118" s="1261">
        <v>0</v>
      </c>
      <c r="N118" s="1261"/>
      <c r="O118" s="1261"/>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6">
        <v>0</v>
      </c>
      <c r="H119" s="1261">
        <v>0</v>
      </c>
      <c r="I119" s="1261">
        <v>0</v>
      </c>
      <c r="J119" s="1261">
        <v>0</v>
      </c>
      <c r="K119" s="1261">
        <v>0</v>
      </c>
      <c r="L119" s="1261">
        <v>0</v>
      </c>
      <c r="M119" s="1261">
        <v>0</v>
      </c>
      <c r="N119" s="1261"/>
      <c r="O119" s="1261"/>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6">
        <v>0</v>
      </c>
      <c r="H120" s="1261">
        <v>0</v>
      </c>
      <c r="I120" s="1261">
        <v>0</v>
      </c>
      <c r="J120" s="1261">
        <v>0</v>
      </c>
      <c r="K120" s="1261">
        <v>0</v>
      </c>
      <c r="L120" s="1261">
        <v>0</v>
      </c>
      <c r="M120" s="1261">
        <v>0</v>
      </c>
      <c r="N120" s="1261"/>
      <c r="O120" s="1261"/>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6">
        <v>0</v>
      </c>
      <c r="H121" s="1261">
        <v>0</v>
      </c>
      <c r="I121" s="1261">
        <v>0</v>
      </c>
      <c r="J121" s="1261">
        <v>0</v>
      </c>
      <c r="K121" s="1261">
        <v>0</v>
      </c>
      <c r="L121" s="1261">
        <v>0</v>
      </c>
      <c r="M121" s="1261">
        <v>0</v>
      </c>
      <c r="N121" s="1261"/>
      <c r="O121" s="1261"/>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6">
        <v>0</v>
      </c>
      <c r="H122" s="1261">
        <v>0</v>
      </c>
      <c r="I122" s="1261">
        <v>0</v>
      </c>
      <c r="J122" s="1261">
        <v>0</v>
      </c>
      <c r="K122" s="1261">
        <v>0</v>
      </c>
      <c r="L122" s="1261">
        <v>0</v>
      </c>
      <c r="M122" s="1261">
        <v>0</v>
      </c>
      <c r="N122" s="1261"/>
      <c r="O122" s="1261"/>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6">
        <v>0</v>
      </c>
      <c r="H123" s="1261">
        <v>0</v>
      </c>
      <c r="I123" s="1261">
        <v>0.19642925</v>
      </c>
      <c r="J123" s="1261">
        <v>0</v>
      </c>
      <c r="K123" s="1261">
        <v>0.15260458999999998</v>
      </c>
      <c r="L123" s="1261">
        <v>0</v>
      </c>
      <c r="M123" s="1261">
        <v>0.11106859000000001</v>
      </c>
      <c r="N123" s="1261"/>
      <c r="O123" s="1261"/>
      <c r="P123" s="1261"/>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6">
        <v>0</v>
      </c>
      <c r="H124" s="1261">
        <v>0</v>
      </c>
      <c r="I124" s="1261">
        <v>0</v>
      </c>
      <c r="J124" s="1261">
        <v>0</v>
      </c>
      <c r="K124" s="1261">
        <v>0</v>
      </c>
      <c r="L124" s="1261">
        <v>0</v>
      </c>
      <c r="M124" s="1261">
        <v>0</v>
      </c>
      <c r="N124" s="1261"/>
      <c r="O124" s="1261"/>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6">
        <v>0</v>
      </c>
      <c r="H125" s="1261">
        <v>0</v>
      </c>
      <c r="I125" s="1261">
        <v>0</v>
      </c>
      <c r="J125" s="1261">
        <v>0</v>
      </c>
      <c r="K125" s="1261">
        <v>0</v>
      </c>
      <c r="L125" s="1261">
        <v>0</v>
      </c>
      <c r="M125" s="1261">
        <v>0</v>
      </c>
      <c r="N125" s="1261"/>
      <c r="O125" s="1261"/>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6">
        <v>7.9795991923399621E-3</v>
      </c>
      <c r="H126" s="1261">
        <v>1.1997512144686797E-2</v>
      </c>
      <c r="I126" s="1261">
        <v>1.679958608142714E-3</v>
      </c>
      <c r="J126" s="1261">
        <v>6.9005419803008661E-3</v>
      </c>
      <c r="K126" s="1261">
        <v>5.927653921804955E-3</v>
      </c>
      <c r="L126" s="1261">
        <v>1.216581513905231E-2</v>
      </c>
      <c r="M126" s="1261">
        <v>8.0710298942944546E-4</v>
      </c>
      <c r="N126" s="1261"/>
      <c r="O126" s="1261"/>
      <c r="P126" s="1261"/>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6">
        <v>0</v>
      </c>
      <c r="H127" s="1261">
        <v>0</v>
      </c>
      <c r="I127" s="1261">
        <v>0</v>
      </c>
      <c r="J127" s="1261">
        <v>0</v>
      </c>
      <c r="K127" s="1261">
        <v>0</v>
      </c>
      <c r="L127" s="1261">
        <v>0</v>
      </c>
      <c r="M127" s="1261">
        <v>0</v>
      </c>
      <c r="N127" s="1261"/>
      <c r="O127" s="1261"/>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6">
        <v>0</v>
      </c>
      <c r="H128" s="1261">
        <v>0</v>
      </c>
      <c r="I128" s="1261">
        <v>0</v>
      </c>
      <c r="J128" s="1261">
        <v>0</v>
      </c>
      <c r="K128" s="1261">
        <v>0</v>
      </c>
      <c r="L128" s="1261">
        <v>0</v>
      </c>
      <c r="M128" s="1261">
        <v>0</v>
      </c>
      <c r="N128" s="1261"/>
      <c r="O128" s="1261"/>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2"/>
      <c r="G129" s="1267"/>
      <c r="H129" s="1261"/>
      <c r="I129" s="1261"/>
      <c r="J129" s="1261"/>
      <c r="K129" s="1261"/>
      <c r="L129" s="1261"/>
      <c r="M129" s="1261"/>
      <c r="N129" s="1261"/>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7.9795991923399621E-3</v>
      </c>
      <c r="H165" s="171">
        <f t="shared" ref="H165:Q165" si="4">SUM(H115:H164)</f>
        <v>1.1997512144686797E-2</v>
      </c>
      <c r="I165" s="171">
        <f t="shared" si="4"/>
        <v>0.19810920860814271</v>
      </c>
      <c r="J165" s="171">
        <f t="shared" si="4"/>
        <v>6.9005419803008661E-3</v>
      </c>
      <c r="K165" s="171">
        <f t="shared" si="4"/>
        <v>0.15853224392180493</v>
      </c>
      <c r="L165" s="171">
        <f t="shared" si="4"/>
        <v>1.216581513905231E-2</v>
      </c>
      <c r="M165" s="171">
        <f t="shared" si="4"/>
        <v>0.11187569298942945</v>
      </c>
      <c r="N165" s="171">
        <f t="shared" si="4"/>
        <v>0</v>
      </c>
      <c r="O165" s="171">
        <f t="shared" si="4"/>
        <v>0</v>
      </c>
      <c r="P165" s="171">
        <f t="shared" si="4"/>
        <v>0</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70"/>
      <c r="I166" s="1271"/>
      <c r="J166" s="1269"/>
      <c r="K166" s="1269"/>
      <c r="L166" s="1269"/>
      <c r="M166" s="1269"/>
      <c r="N166" s="1269"/>
      <c r="O166" s="1269"/>
      <c r="P166" s="1269"/>
      <c r="Q166" s="1269"/>
      <c r="R166" s="1272">
        <f>SUM(G165:Q165)</f>
        <v>0.50756061397575702</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85" t="str">
        <f>"Actual Net Capital Expenditure – As Incurred ($m Real "&amp;IF(LEN($Z$7)&gt;4,CONCATENATE(LEFT($Z$7, 4)-1 &amp;"-" &amp;IF($Z$7&gt;"2009-10",,"0") &amp;RIGHT($Z$7,2)-1),$Z$7-1)&amp;")"</f>
        <v>Actual Net Capital Expenditure – As Incurred ($m Real 2015-16)</v>
      </c>
      <c r="F167" s="1485"/>
      <c r="G167" s="1485"/>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2015-16</v>
      </c>
      <c r="H168" s="140" t="str">
        <f t="shared" ref="H168:Q168" si="5">H$60</f>
        <v>2016-17</v>
      </c>
      <c r="I168" s="140" t="str">
        <f t="shared" si="5"/>
        <v>2017-18</v>
      </c>
      <c r="J168" s="140" t="str">
        <f t="shared" si="5"/>
        <v>2018-19</v>
      </c>
      <c r="K168" s="140" t="str">
        <f t="shared" si="5"/>
        <v>2019-20</v>
      </c>
      <c r="L168" s="140" t="str">
        <f t="shared" si="5"/>
        <v>2020-21</v>
      </c>
      <c r="M168" s="140" t="str">
        <f t="shared" si="5"/>
        <v>2021-22</v>
      </c>
      <c r="N168" s="140" t="str">
        <f t="shared" si="5"/>
        <v>2022-23</v>
      </c>
      <c r="O168" s="140" t="str">
        <f t="shared" si="5"/>
        <v>2023-24</v>
      </c>
      <c r="P168" s="140" t="str">
        <f t="shared" si="5"/>
        <v>2024-25</v>
      </c>
      <c r="Q168" s="140" t="str">
        <f t="shared" si="5"/>
        <v>2025-26</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0.27849824000000001</v>
      </c>
      <c r="H169" s="1274">
        <f t="shared" si="6"/>
        <v>0</v>
      </c>
      <c r="I169" s="1274">
        <f t="shared" si="6"/>
        <v>0</v>
      </c>
      <c r="J169" s="1274">
        <f t="shared" si="6"/>
        <v>1.6199194026548677E-2</v>
      </c>
      <c r="K169" s="1274">
        <f t="shared" si="6"/>
        <v>1.2438463077090591</v>
      </c>
      <c r="L169" s="1274">
        <f t="shared" si="6"/>
        <v>0.58045962172202792</v>
      </c>
      <c r="M169" s="1274">
        <f t="shared" si="6"/>
        <v>0</v>
      </c>
      <c r="N169" s="1274">
        <f t="shared" si="6"/>
        <v>0</v>
      </c>
      <c r="O169" s="1274">
        <f t="shared" si="6"/>
        <v>0</v>
      </c>
      <c r="P169" s="1274">
        <f t="shared" si="6"/>
        <v>0</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1.2188519999999998E-2</v>
      </c>
      <c r="H170" s="1276">
        <f t="shared" si="7"/>
        <v>0.57788828453038676</v>
      </c>
      <c r="I170" s="1276">
        <f t="shared" si="7"/>
        <v>7.9068629177958417E-3</v>
      </c>
      <c r="J170" s="1276">
        <f t="shared" si="7"/>
        <v>0.28165999845132744</v>
      </c>
      <c r="K170" s="1276">
        <f t="shared" si="7"/>
        <v>0.19784501328397214</v>
      </c>
      <c r="L170" s="1276">
        <f t="shared" si="7"/>
        <v>0.56918517395104884</v>
      </c>
      <c r="M170" s="1276">
        <f t="shared" si="7"/>
        <v>2.6335536819014085E-17</v>
      </c>
      <c r="N170" s="1276">
        <f t="shared" si="7"/>
        <v>0</v>
      </c>
      <c r="O170" s="1276">
        <f t="shared" si="7"/>
        <v>0</v>
      </c>
      <c r="P170" s="1276">
        <f t="shared" si="7"/>
        <v>0</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8.9470000000000001E-3</v>
      </c>
      <c r="H171" s="1276">
        <f t="shared" si="8"/>
        <v>0</v>
      </c>
      <c r="I171" s="1276">
        <f t="shared" si="8"/>
        <v>0</v>
      </c>
      <c r="J171" s="1276">
        <f t="shared" si="8"/>
        <v>0</v>
      </c>
      <c r="K171" s="1276">
        <f t="shared" si="8"/>
        <v>0</v>
      </c>
      <c r="L171" s="1276">
        <f t="shared" si="8"/>
        <v>0</v>
      </c>
      <c r="M171" s="1276">
        <f t="shared" si="8"/>
        <v>0</v>
      </c>
      <c r="N171" s="1276">
        <f t="shared" si="8"/>
        <v>0</v>
      </c>
      <c r="O171" s="1276">
        <f t="shared" si="8"/>
        <v>0</v>
      </c>
      <c r="P171" s="1276">
        <f t="shared" si="8"/>
        <v>0</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0</v>
      </c>
      <c r="H172" s="1276">
        <f t="shared" si="9"/>
        <v>0</v>
      </c>
      <c r="I172" s="1276">
        <f t="shared" si="9"/>
        <v>0</v>
      </c>
      <c r="J172" s="1276">
        <f t="shared" si="9"/>
        <v>0</v>
      </c>
      <c r="K172" s="1276">
        <f t="shared" si="9"/>
        <v>0</v>
      </c>
      <c r="L172" s="1276">
        <f t="shared" si="9"/>
        <v>0</v>
      </c>
      <c r="M172" s="1276">
        <f t="shared" si="9"/>
        <v>0.37466829313973071</v>
      </c>
      <c r="N172" s="1276">
        <f t="shared" si="9"/>
        <v>0</v>
      </c>
      <c r="O172" s="1276">
        <f t="shared" si="9"/>
        <v>0</v>
      </c>
      <c r="P172" s="1276">
        <f t="shared" si="9"/>
        <v>0</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0</v>
      </c>
      <c r="K173" s="1276">
        <f t="shared" si="10"/>
        <v>0</v>
      </c>
      <c r="L173" s="1276">
        <f t="shared" si="10"/>
        <v>0</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1.0316786499999999</v>
      </c>
      <c r="H174" s="1276">
        <f t="shared" si="11"/>
        <v>3.9169693830570906E-3</v>
      </c>
      <c r="I174" s="1276">
        <f t="shared" si="11"/>
        <v>7.763605329719965E-2</v>
      </c>
      <c r="J174" s="1276">
        <f t="shared" si="11"/>
        <v>0.33359053716814163</v>
      </c>
      <c r="K174" s="1276">
        <f t="shared" si="11"/>
        <v>0.21928047582752613</v>
      </c>
      <c r="L174" s="1276">
        <f t="shared" si="11"/>
        <v>0</v>
      </c>
      <c r="M174" s="1276">
        <f t="shared" si="11"/>
        <v>0</v>
      </c>
      <c r="N174" s="1276">
        <f t="shared" si="11"/>
        <v>0</v>
      </c>
      <c r="O174" s="1276">
        <f t="shared" si="11"/>
        <v>0</v>
      </c>
      <c r="P174" s="1276">
        <f t="shared" si="11"/>
        <v>0</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0</v>
      </c>
      <c r="I175" s="1276">
        <f t="shared" si="12"/>
        <v>0</v>
      </c>
      <c r="J175" s="1276">
        <f t="shared" si="12"/>
        <v>0</v>
      </c>
      <c r="K175" s="1276">
        <f t="shared" si="12"/>
        <v>0</v>
      </c>
      <c r="L175" s="1276">
        <f t="shared" si="12"/>
        <v>0</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v>
      </c>
      <c r="M176" s="1276">
        <f t="shared" si="13"/>
        <v>0</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0.10409128999999999</v>
      </c>
      <c r="H177" s="1276">
        <f t="shared" si="14"/>
        <v>1.3197377071823205E-2</v>
      </c>
      <c r="I177" s="1276">
        <f t="shared" si="14"/>
        <v>0.33688732610659455</v>
      </c>
      <c r="J177" s="1276">
        <f t="shared" si="14"/>
        <v>0.19195345553097348</v>
      </c>
      <c r="K177" s="1276">
        <f t="shared" si="14"/>
        <v>8.9756928353658533E-2</v>
      </c>
      <c r="L177" s="1276">
        <f t="shared" si="14"/>
        <v>7.6873024475524465E-2</v>
      </c>
      <c r="M177" s="1276">
        <f t="shared" si="14"/>
        <v>-0.10050397601010103</v>
      </c>
      <c r="N177" s="1276">
        <f t="shared" si="14"/>
        <v>0</v>
      </c>
      <c r="O177" s="1276">
        <f t="shared" si="14"/>
        <v>0</v>
      </c>
      <c r="P177" s="1276">
        <f t="shared" si="14"/>
        <v>0</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1.7294760000000003E-2</v>
      </c>
      <c r="H178" s="1276">
        <f t="shared" si="15"/>
        <v>0</v>
      </c>
      <c r="I178" s="1276">
        <f t="shared" si="15"/>
        <v>1.6848464317976515E-3</v>
      </c>
      <c r="J178" s="1276">
        <f t="shared" si="15"/>
        <v>0</v>
      </c>
      <c r="K178" s="1276">
        <f t="shared" si="15"/>
        <v>0.97170452714113154</v>
      </c>
      <c r="L178" s="1276">
        <f t="shared" si="15"/>
        <v>5.7622212244007907E-9</v>
      </c>
      <c r="M178" s="1276">
        <f t="shared" si="15"/>
        <v>0</v>
      </c>
      <c r="N178" s="1276">
        <f t="shared" si="15"/>
        <v>0</v>
      </c>
      <c r="O178" s="1276">
        <f t="shared" si="15"/>
        <v>0</v>
      </c>
      <c r="P178" s="1276">
        <f t="shared" si="15"/>
        <v>0</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1.8350886591730329</v>
      </c>
      <c r="H180" s="1276">
        <f t="shared" si="17"/>
        <v>0.59005186192534465</v>
      </c>
      <c r="I180" s="1276">
        <f t="shared" si="17"/>
        <v>0.96750304135197407</v>
      </c>
      <c r="J180" s="1276">
        <f t="shared" si="17"/>
        <v>1.5008067101103526</v>
      </c>
      <c r="K180" s="1276">
        <f t="shared" si="17"/>
        <v>1.0095894203161158</v>
      </c>
      <c r="L180" s="1276">
        <f t="shared" si="17"/>
        <v>0.58733777171308055</v>
      </c>
      <c r="M180" s="1276">
        <f t="shared" si="17"/>
        <v>2.7642640816020787</v>
      </c>
      <c r="N180" s="1276">
        <f t="shared" si="17"/>
        <v>0</v>
      </c>
      <c r="O180" s="1276">
        <f t="shared" si="17"/>
        <v>0</v>
      </c>
      <c r="P180" s="1276">
        <f t="shared" si="17"/>
        <v>0</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0</v>
      </c>
      <c r="H181" s="1276">
        <f t="shared" si="18"/>
        <v>0</v>
      </c>
      <c r="I181" s="1276">
        <f t="shared" si="18"/>
        <v>0</v>
      </c>
      <c r="J181" s="1276">
        <f t="shared" si="18"/>
        <v>0</v>
      </c>
      <c r="K181" s="1276">
        <f t="shared" si="18"/>
        <v>0.82304989230491654</v>
      </c>
      <c r="L181" s="1276">
        <f t="shared" si="18"/>
        <v>0.189160865080686</v>
      </c>
      <c r="M181" s="1276">
        <f t="shared" si="18"/>
        <v>0.20906927656348484</v>
      </c>
      <c r="N181" s="1276">
        <f t="shared" si="18"/>
        <v>0</v>
      </c>
      <c r="O181" s="1276">
        <f t="shared" si="18"/>
        <v>0</v>
      </c>
      <c r="P181" s="1276">
        <f t="shared" si="18"/>
        <v>0</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3.2877871191730326</v>
      </c>
      <c r="H219" s="171">
        <f t="shared" ref="H219:Q219" si="56">SUM(H169:H218)</f>
        <v>1.1850544929106117</v>
      </c>
      <c r="I219" s="171">
        <f t="shared" si="56"/>
        <v>1.3916181301053618</v>
      </c>
      <c r="J219" s="171">
        <f t="shared" si="56"/>
        <v>2.3242098952873436</v>
      </c>
      <c r="K219" s="171">
        <f t="shared" si="56"/>
        <v>4.5550725649363804</v>
      </c>
      <c r="L219" s="171">
        <f t="shared" si="56"/>
        <v>2.003016462704589</v>
      </c>
      <c r="M219" s="171">
        <f t="shared" si="56"/>
        <v>3.2474976752951932</v>
      </c>
      <c r="N219" s="171">
        <f t="shared" si="56"/>
        <v>0</v>
      </c>
      <c r="O219" s="171">
        <f t="shared" si="56"/>
        <v>0</v>
      </c>
      <c r="P219" s="171">
        <f t="shared" si="56"/>
        <v>0</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17.994256340412512</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85" t="s">
        <v>34</v>
      </c>
      <c r="F221" s="1485"/>
      <c r="G221" s="1485"/>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2015-16</v>
      </c>
      <c r="H222" s="140" t="str">
        <f t="shared" ref="H222:Q222" si="57">H$60</f>
        <v>2016-17</v>
      </c>
      <c r="I222" s="140" t="str">
        <f t="shared" si="57"/>
        <v>2017-18</v>
      </c>
      <c r="J222" s="140" t="str">
        <f t="shared" si="57"/>
        <v>2018-19</v>
      </c>
      <c r="K222" s="140" t="str">
        <f t="shared" si="57"/>
        <v>2019-20</v>
      </c>
      <c r="L222" s="140" t="str">
        <f t="shared" si="57"/>
        <v>2020-21</v>
      </c>
      <c r="M222" s="140" t="str">
        <f t="shared" si="57"/>
        <v>2021-22</v>
      </c>
      <c r="N222" s="140" t="str">
        <f t="shared" si="57"/>
        <v>2022-23</v>
      </c>
      <c r="O222" s="140" t="str">
        <f t="shared" si="57"/>
        <v>2023-24</v>
      </c>
      <c r="P222" s="140" t="str">
        <f t="shared" si="57"/>
        <v>2024-25</v>
      </c>
      <c r="Q222" s="140" t="str">
        <f t="shared" si="57"/>
        <v>2025-26</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379">
        <f t="shared" ref="G223:M236" si="58">G61</f>
        <v>0.27849824000000001</v>
      </c>
      <c r="H223" s="1380">
        <f t="shared" si="58"/>
        <v>0</v>
      </c>
      <c r="I223" s="1380">
        <f t="shared" si="58"/>
        <v>0</v>
      </c>
      <c r="J223" s="1380">
        <f t="shared" si="58"/>
        <v>1.7027990000000003E-2</v>
      </c>
      <c r="K223" s="1380">
        <f t="shared" si="58"/>
        <v>1.3283121499999999</v>
      </c>
      <c r="L223" s="1380">
        <f>L61</f>
        <v>0.61771703</v>
      </c>
      <c r="M223" s="1380">
        <f>M61</f>
        <v>0</v>
      </c>
      <c r="N223" s="1264"/>
      <c r="O223" s="1264"/>
      <c r="P223" s="1264"/>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381">
        <f t="shared" si="58"/>
        <v>1.2188519999999998E-2</v>
      </c>
      <c r="H224" s="1289">
        <f t="shared" si="58"/>
        <v>0.58380155999999994</v>
      </c>
      <c r="I224" s="1289">
        <f t="shared" si="58"/>
        <v>8.1422299999999951E-3</v>
      </c>
      <c r="J224" s="1289">
        <f t="shared" si="58"/>
        <v>0.29607051000000001</v>
      </c>
      <c r="K224" s="1289">
        <f t="shared" si="58"/>
        <v>0.21128007000000001</v>
      </c>
      <c r="L224" s="1289">
        <f t="shared" si="58"/>
        <v>0.60571891999999994</v>
      </c>
      <c r="M224" s="1289">
        <f t="shared" si="58"/>
        <v>2.9103830456733702E-17</v>
      </c>
      <c r="N224" s="1261"/>
      <c r="O224" s="1261"/>
      <c r="P224" s="1261"/>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381">
        <f t="shared" si="58"/>
        <v>8.9470000000000001E-3</v>
      </c>
      <c r="H225" s="1289">
        <f t="shared" si="58"/>
        <v>0</v>
      </c>
      <c r="I225" s="1289">
        <f t="shared" si="58"/>
        <v>0</v>
      </c>
      <c r="J225" s="1289">
        <f t="shared" si="58"/>
        <v>0</v>
      </c>
      <c r="K225" s="1289">
        <f t="shared" si="58"/>
        <v>0</v>
      </c>
      <c r="L225" s="1289">
        <f t="shared" si="58"/>
        <v>0</v>
      </c>
      <c r="M225" s="1289">
        <f t="shared" si="58"/>
        <v>0</v>
      </c>
      <c r="N225" s="1261"/>
      <c r="O225" s="1261"/>
      <c r="P225" s="1261"/>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381">
        <f t="shared" si="58"/>
        <v>0</v>
      </c>
      <c r="H226" s="1289">
        <f t="shared" si="58"/>
        <v>0</v>
      </c>
      <c r="I226" s="1289">
        <f t="shared" si="58"/>
        <v>0</v>
      </c>
      <c r="J226" s="1289">
        <f t="shared" si="58"/>
        <v>0</v>
      </c>
      <c r="K226" s="1289">
        <f t="shared" si="58"/>
        <v>0</v>
      </c>
      <c r="L226" s="1289">
        <f t="shared" si="58"/>
        <v>0</v>
      </c>
      <c r="M226" s="1289">
        <f t="shared" si="58"/>
        <v>0.41405203000000002</v>
      </c>
      <c r="N226" s="1261"/>
      <c r="O226" s="1261"/>
      <c r="P226" s="1261"/>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381">
        <f t="shared" si="58"/>
        <v>0</v>
      </c>
      <c r="H227" s="1289">
        <f t="shared" si="58"/>
        <v>0</v>
      </c>
      <c r="I227" s="1289">
        <f t="shared" si="58"/>
        <v>0</v>
      </c>
      <c r="J227" s="1289">
        <f t="shared" si="58"/>
        <v>0</v>
      </c>
      <c r="K227" s="1289">
        <f t="shared" si="58"/>
        <v>0</v>
      </c>
      <c r="L227" s="1289">
        <f t="shared" si="58"/>
        <v>0</v>
      </c>
      <c r="M227" s="1289">
        <f t="shared" si="58"/>
        <v>0</v>
      </c>
      <c r="N227" s="1261"/>
      <c r="O227" s="1261"/>
      <c r="P227" s="1261"/>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381">
        <f t="shared" si="58"/>
        <v>1.0316786499999999</v>
      </c>
      <c r="H228" s="1289">
        <f t="shared" si="58"/>
        <v>3.9570500000000002E-3</v>
      </c>
      <c r="I228" s="1289">
        <f t="shared" si="58"/>
        <v>7.9947080000000004E-2</v>
      </c>
      <c r="J228" s="1289">
        <f t="shared" si="58"/>
        <v>0.35065796000000005</v>
      </c>
      <c r="K228" s="1289">
        <f t="shared" si="58"/>
        <v>0.23417114999999999</v>
      </c>
      <c r="L228" s="1289">
        <f t="shared" si="58"/>
        <v>0</v>
      </c>
      <c r="M228" s="1289">
        <f t="shared" si="58"/>
        <v>0</v>
      </c>
      <c r="N228" s="1261"/>
      <c r="O228" s="1261"/>
      <c r="P228" s="1261"/>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381">
        <f t="shared" si="58"/>
        <v>0</v>
      </c>
      <c r="H229" s="1289">
        <f t="shared" si="58"/>
        <v>0</v>
      </c>
      <c r="I229" s="1289">
        <f t="shared" si="58"/>
        <v>0</v>
      </c>
      <c r="J229" s="1289">
        <f t="shared" si="58"/>
        <v>0</v>
      </c>
      <c r="K229" s="1289">
        <f t="shared" si="58"/>
        <v>0</v>
      </c>
      <c r="L229" s="1289">
        <f t="shared" si="58"/>
        <v>0</v>
      </c>
      <c r="M229" s="1289">
        <f t="shared" si="58"/>
        <v>0</v>
      </c>
      <c r="N229" s="1261"/>
      <c r="O229" s="1261"/>
      <c r="P229" s="1261"/>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381">
        <f t="shared" si="58"/>
        <v>0</v>
      </c>
      <c r="H230" s="1289">
        <f t="shared" si="58"/>
        <v>0</v>
      </c>
      <c r="I230" s="1289">
        <f t="shared" si="58"/>
        <v>0</v>
      </c>
      <c r="J230" s="1289">
        <f t="shared" si="58"/>
        <v>0</v>
      </c>
      <c r="K230" s="1289">
        <f t="shared" si="58"/>
        <v>0</v>
      </c>
      <c r="L230" s="1289">
        <f t="shared" si="58"/>
        <v>0</v>
      </c>
      <c r="M230" s="1289">
        <f t="shared" si="58"/>
        <v>0</v>
      </c>
      <c r="N230" s="1261"/>
      <c r="O230" s="1261"/>
      <c r="P230" s="1261"/>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381">
        <f t="shared" si="58"/>
        <v>0.10409128999999999</v>
      </c>
      <c r="H231" s="1289">
        <f t="shared" si="58"/>
        <v>1.3332419999999999E-2</v>
      </c>
      <c r="I231" s="1289">
        <f t="shared" si="58"/>
        <v>0.5433448500000001</v>
      </c>
      <c r="J231" s="1289">
        <f t="shared" si="58"/>
        <v>0.20177433000000003</v>
      </c>
      <c r="K231" s="1289">
        <f t="shared" si="58"/>
        <v>0.24845663999999998</v>
      </c>
      <c r="L231" s="1289">
        <f t="shared" si="58"/>
        <v>8.1807199999999997E-2</v>
      </c>
      <c r="M231" s="1289">
        <f t="shared" si="58"/>
        <v>1.0000000009313225E-8</v>
      </c>
      <c r="N231" s="1261"/>
      <c r="O231" s="1261"/>
      <c r="P231" s="1261"/>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381">
        <f t="shared" si="58"/>
        <v>1.7294760000000003E-2</v>
      </c>
      <c r="H232" s="1289">
        <f t="shared" si="58"/>
        <v>0</v>
      </c>
      <c r="I232" s="1289">
        <f t="shared" si="58"/>
        <v>1.735E-3</v>
      </c>
      <c r="J232" s="1289">
        <f t="shared" si="58"/>
        <v>0</v>
      </c>
      <c r="K232" s="1289">
        <f t="shared" si="58"/>
        <v>1.0376900438679246</v>
      </c>
      <c r="L232" s="1289">
        <f t="shared" si="58"/>
        <v>6.1320754239204693E-9</v>
      </c>
      <c r="M232" s="1289">
        <f t="shared" si="58"/>
        <v>0</v>
      </c>
      <c r="N232" s="1261"/>
      <c r="O232" s="1261"/>
      <c r="P232" s="1261"/>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381">
        <f t="shared" si="58"/>
        <v>0</v>
      </c>
      <c r="H233" s="1289">
        <f t="shared" si="58"/>
        <v>0</v>
      </c>
      <c r="I233" s="1289">
        <f t="shared" si="58"/>
        <v>0</v>
      </c>
      <c r="J233" s="1289">
        <f t="shared" si="58"/>
        <v>0</v>
      </c>
      <c r="K233" s="1289">
        <f t="shared" si="58"/>
        <v>0</v>
      </c>
      <c r="L233" s="1289">
        <f t="shared" si="58"/>
        <v>0</v>
      </c>
      <c r="M233" s="1289">
        <f t="shared" si="58"/>
        <v>0</v>
      </c>
      <c r="N233" s="1261"/>
      <c r="O233" s="1261"/>
      <c r="P233" s="1261"/>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381">
        <f t="shared" si="58"/>
        <v>1.8430682583653728</v>
      </c>
      <c r="H234" s="1289">
        <f t="shared" si="58"/>
        <v>0.60808711405252336</v>
      </c>
      <c r="I234" s="1289">
        <f t="shared" si="58"/>
        <v>0.99798309049338474</v>
      </c>
      <c r="J234" s="1289">
        <f t="shared" si="58"/>
        <v>1.5844927116776946</v>
      </c>
      <c r="K234" s="1289">
        <f t="shared" si="58"/>
        <v>1.0840752395245035</v>
      </c>
      <c r="L234" s="1289">
        <f t="shared" si="58"/>
        <v>0.63720247638534466</v>
      </c>
      <c r="M234" s="1289">
        <f t="shared" si="58"/>
        <v>3.0556403392157261</v>
      </c>
      <c r="N234" s="1261"/>
      <c r="O234" s="1261"/>
      <c r="P234" s="1261"/>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381">
        <f t="shared" si="58"/>
        <v>0</v>
      </c>
      <c r="H235" s="1289">
        <f t="shared" si="58"/>
        <v>0</v>
      </c>
      <c r="I235" s="1289">
        <f t="shared" si="58"/>
        <v>0</v>
      </c>
      <c r="J235" s="1289">
        <f t="shared" si="58"/>
        <v>0</v>
      </c>
      <c r="K235" s="1289">
        <f t="shared" si="58"/>
        <v>0.8789407222009713</v>
      </c>
      <c r="L235" s="1289">
        <f t="shared" si="58"/>
        <v>0.20130235316493469</v>
      </c>
      <c r="M235" s="1289">
        <f t="shared" si="58"/>
        <v>0.23104586098364646</v>
      </c>
      <c r="N235" s="1261"/>
      <c r="O235" s="1261"/>
      <c r="P235" s="1261"/>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381">
        <f t="shared" si="58"/>
        <v>0</v>
      </c>
      <c r="H236" s="1289">
        <f t="shared" si="58"/>
        <v>0</v>
      </c>
      <c r="I236" s="1289">
        <f t="shared" si="58"/>
        <v>0</v>
      </c>
      <c r="J236" s="1289">
        <f t="shared" si="58"/>
        <v>0</v>
      </c>
      <c r="K236" s="1289">
        <f t="shared" si="58"/>
        <v>0</v>
      </c>
      <c r="L236" s="1289">
        <f t="shared" si="58"/>
        <v>0</v>
      </c>
      <c r="M236" s="1289">
        <f t="shared" si="58"/>
        <v>0</v>
      </c>
      <c r="N236" s="1261"/>
      <c r="O236" s="1261"/>
      <c r="P236" s="1261"/>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2"/>
      <c r="G237" s="1267"/>
      <c r="H237" s="1261"/>
      <c r="I237" s="1261"/>
      <c r="J237" s="1261"/>
      <c r="K237" s="1261"/>
      <c r="L237" s="1261"/>
      <c r="M237" s="1261"/>
      <c r="N237" s="1261"/>
      <c r="O237" s="1261"/>
      <c r="P237" s="1261"/>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3.2957667183653725</v>
      </c>
      <c r="H273" s="171">
        <f t="shared" ref="H273:Q273" si="59">SUM(H223:H272)</f>
        <v>1.2091781440525233</v>
      </c>
      <c r="I273" s="171">
        <f t="shared" si="59"/>
        <v>1.6311522504933849</v>
      </c>
      <c r="J273" s="171">
        <f t="shared" si="59"/>
        <v>2.4500235016776948</v>
      </c>
      <c r="K273" s="171">
        <f t="shared" si="59"/>
        <v>5.0229260155933995</v>
      </c>
      <c r="L273" s="171">
        <f t="shared" si="59"/>
        <v>2.1437479856823547</v>
      </c>
      <c r="M273" s="171">
        <f t="shared" si="59"/>
        <v>3.7007382401993727</v>
      </c>
      <c r="N273" s="171">
        <f t="shared" si="59"/>
        <v>0</v>
      </c>
      <c r="O273" s="171">
        <f t="shared" si="59"/>
        <v>0</v>
      </c>
      <c r="P273" s="171">
        <f t="shared" si="59"/>
        <v>0</v>
      </c>
      <c r="Q273" s="171">
        <f t="shared" si="59"/>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19.453532856064101</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85" t="s">
        <v>36</v>
      </c>
      <c r="F275" s="1485"/>
      <c r="G275" s="1485"/>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2015-16</v>
      </c>
      <c r="H276" s="140" t="str">
        <f t="shared" ref="H276:Q276" si="60">H$60</f>
        <v>2016-17</v>
      </c>
      <c r="I276" s="140" t="str">
        <f t="shared" si="60"/>
        <v>2017-18</v>
      </c>
      <c r="J276" s="140" t="str">
        <f t="shared" si="60"/>
        <v>2018-19</v>
      </c>
      <c r="K276" s="140" t="str">
        <f t="shared" si="60"/>
        <v>2019-20</v>
      </c>
      <c r="L276" s="140" t="str">
        <f t="shared" si="60"/>
        <v>2020-21</v>
      </c>
      <c r="M276" s="140" t="str">
        <f t="shared" si="60"/>
        <v>2021-22</v>
      </c>
      <c r="N276" s="140" t="str">
        <f t="shared" si="60"/>
        <v>2022-23</v>
      </c>
      <c r="O276" s="140" t="str">
        <f t="shared" si="60"/>
        <v>2023-24</v>
      </c>
      <c r="P276" s="140" t="str">
        <f t="shared" si="60"/>
        <v>2024-25</v>
      </c>
      <c r="Q276" s="140" t="str">
        <f t="shared" si="60"/>
        <v>2025-26</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379">
        <f t="shared" ref="G277:M290" si="61">G115</f>
        <v>0</v>
      </c>
      <c r="H277" s="1380">
        <f t="shared" si="61"/>
        <v>0</v>
      </c>
      <c r="I277" s="1380">
        <f t="shared" si="61"/>
        <v>0</v>
      </c>
      <c r="J277" s="1380">
        <f t="shared" si="61"/>
        <v>0</v>
      </c>
      <c r="K277" s="1380">
        <f t="shared" si="61"/>
        <v>0</v>
      </c>
      <c r="L277" s="1380">
        <f>L115</f>
        <v>0</v>
      </c>
      <c r="M277" s="1380">
        <f>M115</f>
        <v>0</v>
      </c>
      <c r="N277" s="1264"/>
      <c r="O277" s="1264"/>
      <c r="P277" s="1264"/>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381">
        <f t="shared" si="61"/>
        <v>0</v>
      </c>
      <c r="H278" s="1289">
        <f t="shared" si="61"/>
        <v>0</v>
      </c>
      <c r="I278" s="1289">
        <f t="shared" si="61"/>
        <v>0</v>
      </c>
      <c r="J278" s="1289">
        <f t="shared" si="61"/>
        <v>0</v>
      </c>
      <c r="K278" s="1289">
        <f t="shared" si="61"/>
        <v>0</v>
      </c>
      <c r="L278" s="1289">
        <f t="shared" si="61"/>
        <v>0</v>
      </c>
      <c r="M278" s="1289">
        <f t="shared" si="61"/>
        <v>0</v>
      </c>
      <c r="N278" s="1261"/>
      <c r="O278" s="1261"/>
      <c r="P278" s="1261"/>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381">
        <f t="shared" si="61"/>
        <v>0</v>
      </c>
      <c r="H279" s="1289">
        <f t="shared" si="61"/>
        <v>0</v>
      </c>
      <c r="I279" s="1289">
        <f t="shared" si="61"/>
        <v>0</v>
      </c>
      <c r="J279" s="1289">
        <f t="shared" si="61"/>
        <v>0</v>
      </c>
      <c r="K279" s="1289">
        <f t="shared" si="61"/>
        <v>0</v>
      </c>
      <c r="L279" s="1289">
        <f t="shared" si="61"/>
        <v>0</v>
      </c>
      <c r="M279" s="1289">
        <f t="shared" si="61"/>
        <v>0</v>
      </c>
      <c r="N279" s="1261"/>
      <c r="O279" s="1261"/>
      <c r="P279" s="1261"/>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381">
        <f t="shared" si="61"/>
        <v>0</v>
      </c>
      <c r="H280" s="1289">
        <f t="shared" si="61"/>
        <v>0</v>
      </c>
      <c r="I280" s="1289">
        <f t="shared" si="61"/>
        <v>0</v>
      </c>
      <c r="J280" s="1289">
        <f t="shared" si="61"/>
        <v>0</v>
      </c>
      <c r="K280" s="1289">
        <f t="shared" si="61"/>
        <v>0</v>
      </c>
      <c r="L280" s="1289">
        <f t="shared" si="61"/>
        <v>0</v>
      </c>
      <c r="M280" s="1289">
        <f t="shared" si="61"/>
        <v>0</v>
      </c>
      <c r="N280" s="1261"/>
      <c r="O280" s="1261"/>
      <c r="P280" s="1261"/>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381">
        <f t="shared" si="61"/>
        <v>0</v>
      </c>
      <c r="H281" s="1289">
        <f t="shared" si="61"/>
        <v>0</v>
      </c>
      <c r="I281" s="1289">
        <f t="shared" si="61"/>
        <v>0</v>
      </c>
      <c r="J281" s="1289">
        <f t="shared" si="61"/>
        <v>0</v>
      </c>
      <c r="K281" s="1289">
        <f t="shared" si="61"/>
        <v>0</v>
      </c>
      <c r="L281" s="1289">
        <f t="shared" si="61"/>
        <v>0</v>
      </c>
      <c r="M281" s="1289">
        <f t="shared" si="61"/>
        <v>0</v>
      </c>
      <c r="N281" s="1261"/>
      <c r="O281" s="1261"/>
      <c r="P281" s="1261"/>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381">
        <f t="shared" si="61"/>
        <v>0</v>
      </c>
      <c r="H282" s="1289">
        <f t="shared" si="61"/>
        <v>0</v>
      </c>
      <c r="I282" s="1289">
        <f t="shared" si="61"/>
        <v>0</v>
      </c>
      <c r="J282" s="1289">
        <f t="shared" si="61"/>
        <v>0</v>
      </c>
      <c r="K282" s="1289">
        <f t="shared" si="61"/>
        <v>0</v>
      </c>
      <c r="L282" s="1289">
        <f t="shared" si="61"/>
        <v>0</v>
      </c>
      <c r="M282" s="1289">
        <f t="shared" si="61"/>
        <v>0</v>
      </c>
      <c r="N282" s="1261"/>
      <c r="O282" s="1261"/>
      <c r="P282" s="1261"/>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381">
        <f t="shared" si="61"/>
        <v>0</v>
      </c>
      <c r="H283" s="1289">
        <f t="shared" si="61"/>
        <v>0</v>
      </c>
      <c r="I283" s="1289">
        <f t="shared" si="61"/>
        <v>0</v>
      </c>
      <c r="J283" s="1289">
        <f t="shared" si="61"/>
        <v>0</v>
      </c>
      <c r="K283" s="1289">
        <f t="shared" si="61"/>
        <v>0</v>
      </c>
      <c r="L283" s="1289">
        <f t="shared" si="61"/>
        <v>0</v>
      </c>
      <c r="M283" s="1289">
        <f t="shared" si="61"/>
        <v>0</v>
      </c>
      <c r="N283" s="1261"/>
      <c r="O283" s="1261"/>
      <c r="P283" s="1261"/>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381">
        <f t="shared" si="61"/>
        <v>0</v>
      </c>
      <c r="H284" s="1289">
        <f t="shared" si="61"/>
        <v>0</v>
      </c>
      <c r="I284" s="1289">
        <f t="shared" si="61"/>
        <v>0</v>
      </c>
      <c r="J284" s="1289">
        <f t="shared" si="61"/>
        <v>0</v>
      </c>
      <c r="K284" s="1289">
        <f t="shared" si="61"/>
        <v>0</v>
      </c>
      <c r="L284" s="1289">
        <f t="shared" si="61"/>
        <v>0</v>
      </c>
      <c r="M284" s="1289">
        <f t="shared" si="61"/>
        <v>0</v>
      </c>
      <c r="N284" s="1261"/>
      <c r="O284" s="1261"/>
      <c r="P284" s="1261"/>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381">
        <f t="shared" si="61"/>
        <v>0</v>
      </c>
      <c r="H285" s="1289">
        <f t="shared" si="61"/>
        <v>0</v>
      </c>
      <c r="I285" s="1289">
        <f t="shared" si="61"/>
        <v>0.19642925</v>
      </c>
      <c r="J285" s="1289">
        <f t="shared" si="61"/>
        <v>0</v>
      </c>
      <c r="K285" s="1289">
        <f t="shared" si="61"/>
        <v>0.15260458999999998</v>
      </c>
      <c r="L285" s="1289">
        <f t="shared" si="61"/>
        <v>0</v>
      </c>
      <c r="M285" s="1289">
        <f t="shared" si="61"/>
        <v>0.11106859000000001</v>
      </c>
      <c r="N285" s="1261"/>
      <c r="O285" s="1261"/>
      <c r="P285" s="1261"/>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381">
        <f t="shared" si="61"/>
        <v>0</v>
      </c>
      <c r="H286" s="1289">
        <f t="shared" si="61"/>
        <v>0</v>
      </c>
      <c r="I286" s="1289">
        <f t="shared" si="61"/>
        <v>0</v>
      </c>
      <c r="J286" s="1289">
        <f t="shared" si="61"/>
        <v>0</v>
      </c>
      <c r="K286" s="1289">
        <f t="shared" si="61"/>
        <v>0</v>
      </c>
      <c r="L286" s="1289">
        <f t="shared" si="61"/>
        <v>0</v>
      </c>
      <c r="M286" s="1289">
        <f t="shared" si="61"/>
        <v>0</v>
      </c>
      <c r="N286" s="1261"/>
      <c r="O286" s="1261"/>
      <c r="P286" s="1261"/>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381">
        <f t="shared" si="61"/>
        <v>0</v>
      </c>
      <c r="H287" s="1289">
        <f t="shared" si="61"/>
        <v>0</v>
      </c>
      <c r="I287" s="1289">
        <f t="shared" si="61"/>
        <v>0</v>
      </c>
      <c r="J287" s="1289">
        <f t="shared" si="61"/>
        <v>0</v>
      </c>
      <c r="K287" s="1289">
        <f t="shared" si="61"/>
        <v>0</v>
      </c>
      <c r="L287" s="1289">
        <f t="shared" si="61"/>
        <v>0</v>
      </c>
      <c r="M287" s="1289">
        <f t="shared" si="61"/>
        <v>0</v>
      </c>
      <c r="N287" s="1261"/>
      <c r="O287" s="1261"/>
      <c r="P287" s="1261"/>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381">
        <f t="shared" si="61"/>
        <v>7.9795991923399621E-3</v>
      </c>
      <c r="H288" s="1289">
        <f t="shared" si="61"/>
        <v>1.1997512144686797E-2</v>
      </c>
      <c r="I288" s="1289">
        <f t="shared" si="61"/>
        <v>1.679958608142714E-3</v>
      </c>
      <c r="J288" s="1289">
        <f t="shared" si="61"/>
        <v>6.9005419803008661E-3</v>
      </c>
      <c r="K288" s="1289">
        <f t="shared" si="61"/>
        <v>5.927653921804955E-3</v>
      </c>
      <c r="L288" s="1289">
        <f t="shared" si="61"/>
        <v>1.216581513905231E-2</v>
      </c>
      <c r="M288" s="1289">
        <f t="shared" si="61"/>
        <v>8.0710298942944546E-4</v>
      </c>
      <c r="N288" s="1261"/>
      <c r="O288" s="1261"/>
      <c r="P288" s="1261"/>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381">
        <f t="shared" si="61"/>
        <v>0</v>
      </c>
      <c r="H289" s="1289">
        <f t="shared" si="61"/>
        <v>0</v>
      </c>
      <c r="I289" s="1289">
        <f t="shared" si="61"/>
        <v>0</v>
      </c>
      <c r="J289" s="1289">
        <f t="shared" si="61"/>
        <v>0</v>
      </c>
      <c r="K289" s="1289">
        <f t="shared" si="61"/>
        <v>0</v>
      </c>
      <c r="L289" s="1289">
        <f t="shared" si="61"/>
        <v>0</v>
      </c>
      <c r="M289" s="1289">
        <f t="shared" si="61"/>
        <v>0</v>
      </c>
      <c r="N289" s="1261"/>
      <c r="O289" s="1261"/>
      <c r="P289" s="1261"/>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381">
        <f t="shared" si="61"/>
        <v>0</v>
      </c>
      <c r="H290" s="1289">
        <f t="shared" si="61"/>
        <v>0</v>
      </c>
      <c r="I290" s="1289">
        <f t="shared" si="61"/>
        <v>0</v>
      </c>
      <c r="J290" s="1289">
        <f t="shared" si="61"/>
        <v>0</v>
      </c>
      <c r="K290" s="1289">
        <f t="shared" si="61"/>
        <v>0</v>
      </c>
      <c r="L290" s="1289">
        <f t="shared" si="61"/>
        <v>0</v>
      </c>
      <c r="M290" s="1289">
        <f t="shared" si="61"/>
        <v>0</v>
      </c>
      <c r="N290" s="1261"/>
      <c r="O290" s="1261"/>
      <c r="P290" s="1261"/>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2"/>
      <c r="G291" s="1267"/>
      <c r="H291" s="1261"/>
      <c r="I291" s="1261"/>
      <c r="J291" s="1261"/>
      <c r="K291" s="1261"/>
      <c r="L291" s="1261"/>
      <c r="M291" s="1261"/>
      <c r="N291" s="1261"/>
      <c r="O291" s="1261"/>
      <c r="P291" s="1261"/>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7.9795991923399621E-3</v>
      </c>
      <c r="H327" s="171">
        <f t="shared" ref="H327:Q327" si="62">SUM(H277:H326)</f>
        <v>1.1997512144686797E-2</v>
      </c>
      <c r="I327" s="171">
        <f t="shared" si="62"/>
        <v>0.19810920860814271</v>
      </c>
      <c r="J327" s="171">
        <f t="shared" si="62"/>
        <v>6.9005419803008661E-3</v>
      </c>
      <c r="K327" s="171">
        <f t="shared" si="62"/>
        <v>0.15853224392180493</v>
      </c>
      <c r="L327" s="171">
        <f t="shared" si="62"/>
        <v>1.216581513905231E-2</v>
      </c>
      <c r="M327" s="171">
        <f t="shared" si="62"/>
        <v>0.11187569298942945</v>
      </c>
      <c r="N327" s="171">
        <f t="shared" si="62"/>
        <v>0</v>
      </c>
      <c r="O327" s="171">
        <f t="shared" si="62"/>
        <v>0</v>
      </c>
      <c r="P327" s="171">
        <f t="shared" si="62"/>
        <v>0</v>
      </c>
      <c r="Q327" s="171">
        <f t="shared" si="62"/>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0.50756061397575702</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85" t="str">
        <f>"Actual Net Capital Expenditure – As Commissioned ($m Real "&amp;IF(LEN($Z$7)&gt;4,CONCATENATE(LEFT($Z$7, 4)-1 &amp;"-" &amp;IF($Z$7&gt;"2009-10",,"0") &amp;RIGHT($Z$7,2)-1),$Z$7-1)&amp;")"</f>
        <v>Actual Net Capital Expenditure – As Commissioned ($m Real 2015-16)</v>
      </c>
      <c r="F329" s="1485"/>
      <c r="G329" s="1485"/>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2015-16</v>
      </c>
      <c r="H330" s="140" t="str">
        <f t="shared" ref="H330:Q330" si="63">H$60</f>
        <v>2016-17</v>
      </c>
      <c r="I330" s="140" t="str">
        <f t="shared" si="63"/>
        <v>2017-18</v>
      </c>
      <c r="J330" s="140" t="str">
        <f t="shared" si="63"/>
        <v>2018-19</v>
      </c>
      <c r="K330" s="140" t="str">
        <f t="shared" si="63"/>
        <v>2019-20</v>
      </c>
      <c r="L330" s="140" t="str">
        <f t="shared" si="63"/>
        <v>2020-21</v>
      </c>
      <c r="M330" s="140" t="str">
        <f t="shared" si="63"/>
        <v>2021-22</v>
      </c>
      <c r="N330" s="140" t="str">
        <f t="shared" si="63"/>
        <v>2022-23</v>
      </c>
      <c r="O330" s="140" t="str">
        <f t="shared" si="63"/>
        <v>2023-24</v>
      </c>
      <c r="P330" s="140" t="str">
        <f t="shared" si="63"/>
        <v>2024-25</v>
      </c>
      <c r="Q330" s="140" t="str">
        <f t="shared" si="63"/>
        <v>2025-26</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64">(G223-G277)/G$386</f>
        <v>0.27849824000000001</v>
      </c>
      <c r="H331" s="1279">
        <f t="shared" si="64"/>
        <v>0</v>
      </c>
      <c r="I331" s="1279">
        <f t="shared" si="64"/>
        <v>0</v>
      </c>
      <c r="J331" s="1279">
        <f t="shared" si="64"/>
        <v>1.6199194026548677E-2</v>
      </c>
      <c r="K331" s="1279">
        <f t="shared" si="64"/>
        <v>1.2438463077090591</v>
      </c>
      <c r="L331" s="1279">
        <f t="shared" si="64"/>
        <v>0.58045962172202792</v>
      </c>
      <c r="M331" s="1279">
        <f t="shared" si="64"/>
        <v>0</v>
      </c>
      <c r="N331" s="1279">
        <f t="shared" si="64"/>
        <v>0</v>
      </c>
      <c r="O331" s="1279">
        <f t="shared" si="64"/>
        <v>0</v>
      </c>
      <c r="P331" s="1279">
        <f t="shared" si="64"/>
        <v>0</v>
      </c>
      <c r="Q331" s="1279">
        <f t="shared" si="64"/>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65">(G224-G278)/G$386</f>
        <v>1.2188519999999998E-2</v>
      </c>
      <c r="H332" s="1281">
        <f t="shared" si="65"/>
        <v>0.57788828453038676</v>
      </c>
      <c r="I332" s="1281">
        <f t="shared" si="65"/>
        <v>7.9068629177958417E-3</v>
      </c>
      <c r="J332" s="1281">
        <f t="shared" si="65"/>
        <v>0.28165999845132744</v>
      </c>
      <c r="K332" s="1281">
        <f t="shared" si="65"/>
        <v>0.19784501328397214</v>
      </c>
      <c r="L332" s="1281">
        <f t="shared" si="65"/>
        <v>0.56918517395104884</v>
      </c>
      <c r="M332" s="1281">
        <f t="shared" si="65"/>
        <v>2.6335536819014085E-17</v>
      </c>
      <c r="N332" s="1281">
        <f t="shared" si="65"/>
        <v>0</v>
      </c>
      <c r="O332" s="1281">
        <f t="shared" si="65"/>
        <v>0</v>
      </c>
      <c r="P332" s="1281">
        <f t="shared" si="65"/>
        <v>0</v>
      </c>
      <c r="Q332" s="1281">
        <f t="shared" si="65"/>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66">(G225-G279)/G$386</f>
        <v>8.9470000000000001E-3</v>
      </c>
      <c r="H333" s="1281">
        <f t="shared" si="66"/>
        <v>0</v>
      </c>
      <c r="I333" s="1281">
        <f t="shared" si="66"/>
        <v>0</v>
      </c>
      <c r="J333" s="1281">
        <f t="shared" si="66"/>
        <v>0</v>
      </c>
      <c r="K333" s="1281">
        <f t="shared" si="66"/>
        <v>0</v>
      </c>
      <c r="L333" s="1281">
        <f t="shared" si="66"/>
        <v>0</v>
      </c>
      <c r="M333" s="1281">
        <f t="shared" si="66"/>
        <v>0</v>
      </c>
      <c r="N333" s="1281">
        <f t="shared" si="66"/>
        <v>0</v>
      </c>
      <c r="O333" s="1281">
        <f t="shared" si="66"/>
        <v>0</v>
      </c>
      <c r="P333" s="1281">
        <f t="shared" si="66"/>
        <v>0</v>
      </c>
      <c r="Q333" s="1281">
        <f t="shared" si="66"/>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67">(G226-G280)/G$386</f>
        <v>0</v>
      </c>
      <c r="H334" s="1281">
        <f t="shared" si="67"/>
        <v>0</v>
      </c>
      <c r="I334" s="1281">
        <f t="shared" si="67"/>
        <v>0</v>
      </c>
      <c r="J334" s="1281">
        <f t="shared" si="67"/>
        <v>0</v>
      </c>
      <c r="K334" s="1281">
        <f t="shared" si="67"/>
        <v>0</v>
      </c>
      <c r="L334" s="1281">
        <f t="shared" si="67"/>
        <v>0</v>
      </c>
      <c r="M334" s="1281">
        <f t="shared" si="67"/>
        <v>0.37466829313973071</v>
      </c>
      <c r="N334" s="1281">
        <f t="shared" si="67"/>
        <v>0</v>
      </c>
      <c r="O334" s="1281">
        <f t="shared" si="67"/>
        <v>0</v>
      </c>
      <c r="P334" s="1281">
        <f t="shared" si="67"/>
        <v>0</v>
      </c>
      <c r="Q334" s="1281">
        <f t="shared" si="67"/>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68">(G227-G281)/G$386</f>
        <v>0</v>
      </c>
      <c r="H335" s="1281">
        <f t="shared" si="68"/>
        <v>0</v>
      </c>
      <c r="I335" s="1281">
        <f t="shared" si="68"/>
        <v>0</v>
      </c>
      <c r="J335" s="1281">
        <f t="shared" si="68"/>
        <v>0</v>
      </c>
      <c r="K335" s="1281">
        <f t="shared" si="68"/>
        <v>0</v>
      </c>
      <c r="L335" s="1281">
        <f t="shared" si="68"/>
        <v>0</v>
      </c>
      <c r="M335" s="1281">
        <f t="shared" si="68"/>
        <v>0</v>
      </c>
      <c r="N335" s="1281">
        <f t="shared" si="68"/>
        <v>0</v>
      </c>
      <c r="O335" s="1281">
        <f t="shared" si="68"/>
        <v>0</v>
      </c>
      <c r="P335" s="1281">
        <f t="shared" si="68"/>
        <v>0</v>
      </c>
      <c r="Q335" s="1281">
        <f t="shared" si="68"/>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69">(G228-G282)/G$386</f>
        <v>1.0316786499999999</v>
      </c>
      <c r="H336" s="1281">
        <f t="shared" si="69"/>
        <v>3.9169693830570906E-3</v>
      </c>
      <c r="I336" s="1281">
        <f t="shared" si="69"/>
        <v>7.763605329719965E-2</v>
      </c>
      <c r="J336" s="1281">
        <f t="shared" si="69"/>
        <v>0.33359053716814163</v>
      </c>
      <c r="K336" s="1281">
        <f t="shared" si="69"/>
        <v>0.21928047582752613</v>
      </c>
      <c r="L336" s="1281">
        <f t="shared" si="69"/>
        <v>0</v>
      </c>
      <c r="M336" s="1281">
        <f t="shared" si="69"/>
        <v>0</v>
      </c>
      <c r="N336" s="1281">
        <f t="shared" si="69"/>
        <v>0</v>
      </c>
      <c r="O336" s="1281">
        <f t="shared" si="69"/>
        <v>0</v>
      </c>
      <c r="P336" s="1281">
        <f t="shared" si="69"/>
        <v>0</v>
      </c>
      <c r="Q336" s="1281">
        <f t="shared" si="69"/>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70">(G229-G283)/G$386</f>
        <v>0</v>
      </c>
      <c r="H337" s="1281">
        <f t="shared" si="70"/>
        <v>0</v>
      </c>
      <c r="I337" s="1281">
        <f t="shared" si="70"/>
        <v>0</v>
      </c>
      <c r="J337" s="1281">
        <f t="shared" si="70"/>
        <v>0</v>
      </c>
      <c r="K337" s="1281">
        <f t="shared" si="70"/>
        <v>0</v>
      </c>
      <c r="L337" s="1281">
        <f t="shared" si="70"/>
        <v>0</v>
      </c>
      <c r="M337" s="1281">
        <f t="shared" si="70"/>
        <v>0</v>
      </c>
      <c r="N337" s="1281">
        <f t="shared" si="70"/>
        <v>0</v>
      </c>
      <c r="O337" s="1281">
        <f t="shared" si="70"/>
        <v>0</v>
      </c>
      <c r="P337" s="1281">
        <f t="shared" si="70"/>
        <v>0</v>
      </c>
      <c r="Q337" s="1281">
        <f t="shared" si="70"/>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71">(G230-G284)/G$386</f>
        <v>0</v>
      </c>
      <c r="H338" s="1281">
        <f t="shared" si="71"/>
        <v>0</v>
      </c>
      <c r="I338" s="1281">
        <f t="shared" si="71"/>
        <v>0</v>
      </c>
      <c r="J338" s="1281">
        <f t="shared" si="71"/>
        <v>0</v>
      </c>
      <c r="K338" s="1281">
        <f t="shared" si="71"/>
        <v>0</v>
      </c>
      <c r="L338" s="1281">
        <f t="shared" si="71"/>
        <v>0</v>
      </c>
      <c r="M338" s="1281">
        <f t="shared" si="71"/>
        <v>0</v>
      </c>
      <c r="N338" s="1281">
        <f t="shared" si="71"/>
        <v>0</v>
      </c>
      <c r="O338" s="1281">
        <f t="shared" si="71"/>
        <v>0</v>
      </c>
      <c r="P338" s="1281">
        <f t="shared" si="71"/>
        <v>0</v>
      </c>
      <c r="Q338" s="1281">
        <f t="shared" si="71"/>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72">(G231-G285)/G$386</f>
        <v>0.10409128999999999</v>
      </c>
      <c r="H339" s="1281">
        <f t="shared" si="72"/>
        <v>1.3197377071823205E-2</v>
      </c>
      <c r="I339" s="1281">
        <f t="shared" si="72"/>
        <v>0.33688732610659455</v>
      </c>
      <c r="J339" s="1281">
        <f t="shared" si="72"/>
        <v>0.19195345553097348</v>
      </c>
      <c r="K339" s="1281">
        <f t="shared" si="72"/>
        <v>8.9756928353658533E-2</v>
      </c>
      <c r="L339" s="1281">
        <f t="shared" si="72"/>
        <v>7.6873024475524465E-2</v>
      </c>
      <c r="M339" s="1281">
        <f t="shared" si="72"/>
        <v>-0.10050397601010103</v>
      </c>
      <c r="N339" s="1281">
        <f t="shared" si="72"/>
        <v>0</v>
      </c>
      <c r="O339" s="1281">
        <f t="shared" si="72"/>
        <v>0</v>
      </c>
      <c r="P339" s="1281">
        <f t="shared" si="72"/>
        <v>0</v>
      </c>
      <c r="Q339" s="1281">
        <f t="shared" si="72"/>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73">(G232-G286)/G$386</f>
        <v>1.7294760000000003E-2</v>
      </c>
      <c r="H340" s="1281">
        <f t="shared" si="73"/>
        <v>0</v>
      </c>
      <c r="I340" s="1281">
        <f t="shared" si="73"/>
        <v>1.6848464317976515E-3</v>
      </c>
      <c r="J340" s="1281">
        <f t="shared" si="73"/>
        <v>0</v>
      </c>
      <c r="K340" s="1281">
        <f t="shared" si="73"/>
        <v>0.97170452714113154</v>
      </c>
      <c r="L340" s="1281">
        <f t="shared" si="73"/>
        <v>5.7622212244007907E-9</v>
      </c>
      <c r="M340" s="1281">
        <f t="shared" si="73"/>
        <v>0</v>
      </c>
      <c r="N340" s="1281">
        <f t="shared" si="73"/>
        <v>0</v>
      </c>
      <c r="O340" s="1281">
        <f t="shared" si="73"/>
        <v>0</v>
      </c>
      <c r="P340" s="1281">
        <f t="shared" si="73"/>
        <v>0</v>
      </c>
      <c r="Q340" s="1281">
        <f t="shared" si="73"/>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74">(G233-G287)/G$386</f>
        <v>0</v>
      </c>
      <c r="H341" s="1281">
        <f t="shared" si="74"/>
        <v>0</v>
      </c>
      <c r="I341" s="1281">
        <f t="shared" si="74"/>
        <v>0</v>
      </c>
      <c r="J341" s="1281">
        <f t="shared" si="74"/>
        <v>0</v>
      </c>
      <c r="K341" s="1281">
        <f t="shared" si="74"/>
        <v>0</v>
      </c>
      <c r="L341" s="1281">
        <f t="shared" si="74"/>
        <v>0</v>
      </c>
      <c r="M341" s="1281">
        <f t="shared" si="74"/>
        <v>0</v>
      </c>
      <c r="N341" s="1281">
        <f t="shared" si="74"/>
        <v>0</v>
      </c>
      <c r="O341" s="1281">
        <f t="shared" si="74"/>
        <v>0</v>
      </c>
      <c r="P341" s="1281">
        <f t="shared" si="74"/>
        <v>0</v>
      </c>
      <c r="Q341" s="1281">
        <f t="shared" si="74"/>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75">(G234-G288)/G$386</f>
        <v>1.8350886591730329</v>
      </c>
      <c r="H342" s="1281">
        <f t="shared" si="75"/>
        <v>0.59005186192534465</v>
      </c>
      <c r="I342" s="1281">
        <f t="shared" si="75"/>
        <v>0.96750304135197407</v>
      </c>
      <c r="J342" s="1281">
        <f t="shared" si="75"/>
        <v>1.5008067101103526</v>
      </c>
      <c r="K342" s="1281">
        <f t="shared" si="75"/>
        <v>1.0095894203161158</v>
      </c>
      <c r="L342" s="1281">
        <f t="shared" si="75"/>
        <v>0.58733777171308055</v>
      </c>
      <c r="M342" s="1281">
        <f t="shared" si="75"/>
        <v>2.7642640816020787</v>
      </c>
      <c r="N342" s="1281">
        <f t="shared" si="75"/>
        <v>0</v>
      </c>
      <c r="O342" s="1281">
        <f t="shared" si="75"/>
        <v>0</v>
      </c>
      <c r="P342" s="1281">
        <f t="shared" si="75"/>
        <v>0</v>
      </c>
      <c r="Q342" s="1281">
        <f t="shared" si="75"/>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76">(G235-G289)/G$386</f>
        <v>0</v>
      </c>
      <c r="H343" s="1281">
        <f t="shared" si="76"/>
        <v>0</v>
      </c>
      <c r="I343" s="1281">
        <f t="shared" si="76"/>
        <v>0</v>
      </c>
      <c r="J343" s="1281">
        <f t="shared" si="76"/>
        <v>0</v>
      </c>
      <c r="K343" s="1281">
        <f t="shared" si="76"/>
        <v>0.82304989230491654</v>
      </c>
      <c r="L343" s="1281">
        <f t="shared" si="76"/>
        <v>0.189160865080686</v>
      </c>
      <c r="M343" s="1281">
        <f t="shared" si="76"/>
        <v>0.20906927656348484</v>
      </c>
      <c r="N343" s="1281">
        <f t="shared" si="76"/>
        <v>0</v>
      </c>
      <c r="O343" s="1281">
        <f t="shared" si="76"/>
        <v>0</v>
      </c>
      <c r="P343" s="1281">
        <f t="shared" si="76"/>
        <v>0</v>
      </c>
      <c r="Q343" s="1281">
        <f t="shared" si="76"/>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77">(G236-G290)/G$386</f>
        <v>0</v>
      </c>
      <c r="H344" s="1281">
        <f t="shared" si="77"/>
        <v>0</v>
      </c>
      <c r="I344" s="1281">
        <f t="shared" si="77"/>
        <v>0</v>
      </c>
      <c r="J344" s="1281">
        <f t="shared" si="77"/>
        <v>0</v>
      </c>
      <c r="K344" s="1281">
        <f t="shared" si="77"/>
        <v>0</v>
      </c>
      <c r="L344" s="1281">
        <f t="shared" si="77"/>
        <v>0</v>
      </c>
      <c r="M344" s="1281">
        <f t="shared" si="77"/>
        <v>0</v>
      </c>
      <c r="N344" s="1281">
        <f t="shared" si="77"/>
        <v>0</v>
      </c>
      <c r="O344" s="1281">
        <f t="shared" si="77"/>
        <v>0</v>
      </c>
      <c r="P344" s="1281">
        <f t="shared" si="77"/>
        <v>0</v>
      </c>
      <c r="Q344" s="1281">
        <f t="shared" si="77"/>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2"/>
      <c r="G345" s="1280">
        <f t="shared" ref="G345:Q345" si="78">(G237-G291)/G$386</f>
        <v>0</v>
      </c>
      <c r="H345" s="1281">
        <f t="shared" si="78"/>
        <v>0</v>
      </c>
      <c r="I345" s="1281">
        <f t="shared" si="78"/>
        <v>0</v>
      </c>
      <c r="J345" s="1281">
        <f t="shared" si="78"/>
        <v>0</v>
      </c>
      <c r="K345" s="1281">
        <f t="shared" si="78"/>
        <v>0</v>
      </c>
      <c r="L345" s="1281">
        <f t="shared" si="78"/>
        <v>0</v>
      </c>
      <c r="M345" s="1281">
        <f t="shared" si="78"/>
        <v>0</v>
      </c>
      <c r="N345" s="1281">
        <f t="shared" si="78"/>
        <v>0</v>
      </c>
      <c r="O345" s="1281">
        <f t="shared" si="78"/>
        <v>0</v>
      </c>
      <c r="P345" s="1281">
        <f t="shared" si="78"/>
        <v>0</v>
      </c>
      <c r="Q345" s="1281">
        <f t="shared" si="78"/>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79">(G238-G292)/G$386</f>
        <v>0</v>
      </c>
      <c r="H346" s="1281">
        <f t="shared" si="79"/>
        <v>0</v>
      </c>
      <c r="I346" s="1281">
        <f t="shared" si="79"/>
        <v>0</v>
      </c>
      <c r="J346" s="1281">
        <f t="shared" si="79"/>
        <v>0</v>
      </c>
      <c r="K346" s="1281">
        <f t="shared" si="79"/>
        <v>0</v>
      </c>
      <c r="L346" s="1281">
        <f t="shared" si="79"/>
        <v>0</v>
      </c>
      <c r="M346" s="1281">
        <f t="shared" si="79"/>
        <v>0</v>
      </c>
      <c r="N346" s="1281">
        <f t="shared" si="79"/>
        <v>0</v>
      </c>
      <c r="O346" s="1281">
        <f t="shared" si="79"/>
        <v>0</v>
      </c>
      <c r="P346" s="1281">
        <f t="shared" si="79"/>
        <v>0</v>
      </c>
      <c r="Q346" s="1281">
        <f t="shared" si="79"/>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80">(G239-G293)/G$386</f>
        <v>0</v>
      </c>
      <c r="H347" s="1281">
        <f t="shared" si="80"/>
        <v>0</v>
      </c>
      <c r="I347" s="1281">
        <f t="shared" si="80"/>
        <v>0</v>
      </c>
      <c r="J347" s="1281">
        <f t="shared" si="80"/>
        <v>0</v>
      </c>
      <c r="K347" s="1281">
        <f t="shared" si="80"/>
        <v>0</v>
      </c>
      <c r="L347" s="1281">
        <f t="shared" si="80"/>
        <v>0</v>
      </c>
      <c r="M347" s="1281">
        <f t="shared" si="80"/>
        <v>0</v>
      </c>
      <c r="N347" s="1281">
        <f t="shared" si="80"/>
        <v>0</v>
      </c>
      <c r="O347" s="1281">
        <f t="shared" si="80"/>
        <v>0</v>
      </c>
      <c r="P347" s="1281">
        <f t="shared" si="80"/>
        <v>0</v>
      </c>
      <c r="Q347" s="1281">
        <f t="shared" si="80"/>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81">(G240-G294)/G$386</f>
        <v>0</v>
      </c>
      <c r="H348" s="1281">
        <f t="shared" si="81"/>
        <v>0</v>
      </c>
      <c r="I348" s="1281">
        <f t="shared" si="81"/>
        <v>0</v>
      </c>
      <c r="J348" s="1281">
        <f t="shared" si="81"/>
        <v>0</v>
      </c>
      <c r="K348" s="1281">
        <f t="shared" si="81"/>
        <v>0</v>
      </c>
      <c r="L348" s="1281">
        <f t="shared" si="81"/>
        <v>0</v>
      </c>
      <c r="M348" s="1281">
        <f t="shared" si="81"/>
        <v>0</v>
      </c>
      <c r="N348" s="1281">
        <f t="shared" si="81"/>
        <v>0</v>
      </c>
      <c r="O348" s="1281">
        <f t="shared" si="81"/>
        <v>0</v>
      </c>
      <c r="P348" s="1281">
        <f t="shared" si="81"/>
        <v>0</v>
      </c>
      <c r="Q348" s="1281">
        <f t="shared" si="81"/>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82">(G241-G295)/G$386</f>
        <v>0</v>
      </c>
      <c r="H349" s="1281">
        <f t="shared" si="82"/>
        <v>0</v>
      </c>
      <c r="I349" s="1281">
        <f t="shared" si="82"/>
        <v>0</v>
      </c>
      <c r="J349" s="1281">
        <f t="shared" si="82"/>
        <v>0</v>
      </c>
      <c r="K349" s="1281">
        <f t="shared" si="82"/>
        <v>0</v>
      </c>
      <c r="L349" s="1281">
        <f t="shared" si="82"/>
        <v>0</v>
      </c>
      <c r="M349" s="1281">
        <f t="shared" si="82"/>
        <v>0</v>
      </c>
      <c r="N349" s="1281">
        <f t="shared" si="82"/>
        <v>0</v>
      </c>
      <c r="O349" s="1281">
        <f t="shared" si="82"/>
        <v>0</v>
      </c>
      <c r="P349" s="1281">
        <f t="shared" si="82"/>
        <v>0</v>
      </c>
      <c r="Q349" s="1281">
        <f t="shared" si="82"/>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83">(G242-G296)/G$386</f>
        <v>0</v>
      </c>
      <c r="H350" s="1281">
        <f t="shared" si="83"/>
        <v>0</v>
      </c>
      <c r="I350" s="1281">
        <f t="shared" si="83"/>
        <v>0</v>
      </c>
      <c r="J350" s="1281">
        <f t="shared" si="83"/>
        <v>0</v>
      </c>
      <c r="K350" s="1281">
        <f t="shared" si="83"/>
        <v>0</v>
      </c>
      <c r="L350" s="1281">
        <f t="shared" si="83"/>
        <v>0</v>
      </c>
      <c r="M350" s="1281">
        <f t="shared" si="83"/>
        <v>0</v>
      </c>
      <c r="N350" s="1281">
        <f t="shared" si="83"/>
        <v>0</v>
      </c>
      <c r="O350" s="1281">
        <f t="shared" si="83"/>
        <v>0</v>
      </c>
      <c r="P350" s="1281">
        <f t="shared" si="83"/>
        <v>0</v>
      </c>
      <c r="Q350" s="1281">
        <f t="shared" si="83"/>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84">(G243-G297)/G$386</f>
        <v>0</v>
      </c>
      <c r="H351" s="1281">
        <f t="shared" si="84"/>
        <v>0</v>
      </c>
      <c r="I351" s="1281">
        <f t="shared" si="84"/>
        <v>0</v>
      </c>
      <c r="J351" s="1281">
        <f t="shared" si="84"/>
        <v>0</v>
      </c>
      <c r="K351" s="1281">
        <f t="shared" si="84"/>
        <v>0</v>
      </c>
      <c r="L351" s="1281">
        <f t="shared" si="84"/>
        <v>0</v>
      </c>
      <c r="M351" s="1281">
        <f t="shared" si="84"/>
        <v>0</v>
      </c>
      <c r="N351" s="1281">
        <f t="shared" si="84"/>
        <v>0</v>
      </c>
      <c r="O351" s="1281">
        <f t="shared" si="84"/>
        <v>0</v>
      </c>
      <c r="P351" s="1281">
        <f t="shared" si="84"/>
        <v>0</v>
      </c>
      <c r="Q351" s="1281">
        <f t="shared" si="84"/>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85">(G244-G298)/G$386</f>
        <v>0</v>
      </c>
      <c r="H352" s="1281">
        <f t="shared" si="85"/>
        <v>0</v>
      </c>
      <c r="I352" s="1281">
        <f t="shared" si="85"/>
        <v>0</v>
      </c>
      <c r="J352" s="1281">
        <f t="shared" si="85"/>
        <v>0</v>
      </c>
      <c r="K352" s="1281">
        <f t="shared" si="85"/>
        <v>0</v>
      </c>
      <c r="L352" s="1281">
        <f t="shared" si="85"/>
        <v>0</v>
      </c>
      <c r="M352" s="1281">
        <f t="shared" si="85"/>
        <v>0</v>
      </c>
      <c r="N352" s="1281">
        <f t="shared" si="85"/>
        <v>0</v>
      </c>
      <c r="O352" s="1281">
        <f t="shared" si="85"/>
        <v>0</v>
      </c>
      <c r="P352" s="1281">
        <f t="shared" si="85"/>
        <v>0</v>
      </c>
      <c r="Q352" s="1281">
        <f t="shared" si="85"/>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86">(G245-G299)/G$386</f>
        <v>0</v>
      </c>
      <c r="H353" s="1281">
        <f t="shared" si="86"/>
        <v>0</v>
      </c>
      <c r="I353" s="1281">
        <f t="shared" si="86"/>
        <v>0</v>
      </c>
      <c r="J353" s="1281">
        <f t="shared" si="86"/>
        <v>0</v>
      </c>
      <c r="K353" s="1281">
        <f t="shared" si="86"/>
        <v>0</v>
      </c>
      <c r="L353" s="1281">
        <f t="shared" si="86"/>
        <v>0</v>
      </c>
      <c r="M353" s="1281">
        <f t="shared" si="86"/>
        <v>0</v>
      </c>
      <c r="N353" s="1281">
        <f t="shared" si="86"/>
        <v>0</v>
      </c>
      <c r="O353" s="1281">
        <f t="shared" si="86"/>
        <v>0</v>
      </c>
      <c r="P353" s="1281">
        <f t="shared" si="86"/>
        <v>0</v>
      </c>
      <c r="Q353" s="1281">
        <f t="shared" si="86"/>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87">(G246-G300)/G$386</f>
        <v>0</v>
      </c>
      <c r="H354" s="1281">
        <f t="shared" si="87"/>
        <v>0</v>
      </c>
      <c r="I354" s="1281">
        <f t="shared" si="87"/>
        <v>0</v>
      </c>
      <c r="J354" s="1281">
        <f t="shared" si="87"/>
        <v>0</v>
      </c>
      <c r="K354" s="1281">
        <f t="shared" si="87"/>
        <v>0</v>
      </c>
      <c r="L354" s="1281">
        <f t="shared" si="87"/>
        <v>0</v>
      </c>
      <c r="M354" s="1281">
        <f t="shared" si="87"/>
        <v>0</v>
      </c>
      <c r="N354" s="1281">
        <f t="shared" si="87"/>
        <v>0</v>
      </c>
      <c r="O354" s="1281">
        <f t="shared" si="87"/>
        <v>0</v>
      </c>
      <c r="P354" s="1281">
        <f t="shared" si="87"/>
        <v>0</v>
      </c>
      <c r="Q354" s="1281">
        <f t="shared" si="87"/>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88">(G247-G301)/G$386</f>
        <v>0</v>
      </c>
      <c r="H355" s="1281">
        <f t="shared" si="88"/>
        <v>0</v>
      </c>
      <c r="I355" s="1281">
        <f t="shared" si="88"/>
        <v>0</v>
      </c>
      <c r="J355" s="1281">
        <f t="shared" si="88"/>
        <v>0</v>
      </c>
      <c r="K355" s="1281">
        <f t="shared" si="88"/>
        <v>0</v>
      </c>
      <c r="L355" s="1281">
        <f t="shared" si="88"/>
        <v>0</v>
      </c>
      <c r="M355" s="1281">
        <f t="shared" si="88"/>
        <v>0</v>
      </c>
      <c r="N355" s="1281">
        <f t="shared" si="88"/>
        <v>0</v>
      </c>
      <c r="O355" s="1281">
        <f t="shared" si="88"/>
        <v>0</v>
      </c>
      <c r="P355" s="1281">
        <f t="shared" si="88"/>
        <v>0</v>
      </c>
      <c r="Q355" s="1281">
        <f t="shared" si="88"/>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89">(G248-G302)/G$386</f>
        <v>0</v>
      </c>
      <c r="H356" s="1281">
        <f t="shared" si="89"/>
        <v>0</v>
      </c>
      <c r="I356" s="1281">
        <f t="shared" si="89"/>
        <v>0</v>
      </c>
      <c r="J356" s="1281">
        <f t="shared" si="89"/>
        <v>0</v>
      </c>
      <c r="K356" s="1281">
        <f t="shared" si="89"/>
        <v>0</v>
      </c>
      <c r="L356" s="1281">
        <f t="shared" si="89"/>
        <v>0</v>
      </c>
      <c r="M356" s="1281">
        <f t="shared" si="89"/>
        <v>0</v>
      </c>
      <c r="N356" s="1281">
        <f t="shared" si="89"/>
        <v>0</v>
      </c>
      <c r="O356" s="1281">
        <f t="shared" si="89"/>
        <v>0</v>
      </c>
      <c r="P356" s="1281">
        <f t="shared" si="89"/>
        <v>0</v>
      </c>
      <c r="Q356" s="1281">
        <f t="shared" si="89"/>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90">(G249-G303)/G$386</f>
        <v>0</v>
      </c>
      <c r="H357" s="1281">
        <f t="shared" si="90"/>
        <v>0</v>
      </c>
      <c r="I357" s="1281">
        <f t="shared" si="90"/>
        <v>0</v>
      </c>
      <c r="J357" s="1281">
        <f t="shared" si="90"/>
        <v>0</v>
      </c>
      <c r="K357" s="1281">
        <f t="shared" si="90"/>
        <v>0</v>
      </c>
      <c r="L357" s="1281">
        <f t="shared" si="90"/>
        <v>0</v>
      </c>
      <c r="M357" s="1281">
        <f t="shared" si="90"/>
        <v>0</v>
      </c>
      <c r="N357" s="1281">
        <f t="shared" si="90"/>
        <v>0</v>
      </c>
      <c r="O357" s="1281">
        <f t="shared" si="90"/>
        <v>0</v>
      </c>
      <c r="P357" s="1281">
        <f t="shared" si="90"/>
        <v>0</v>
      </c>
      <c r="Q357" s="1281">
        <f t="shared" si="90"/>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91">(G250-G304)/G$386</f>
        <v>0</v>
      </c>
      <c r="H358" s="1281">
        <f t="shared" si="91"/>
        <v>0</v>
      </c>
      <c r="I358" s="1281">
        <f t="shared" si="91"/>
        <v>0</v>
      </c>
      <c r="J358" s="1281">
        <f t="shared" si="91"/>
        <v>0</v>
      </c>
      <c r="K358" s="1281">
        <f t="shared" si="91"/>
        <v>0</v>
      </c>
      <c r="L358" s="1281">
        <f t="shared" si="91"/>
        <v>0</v>
      </c>
      <c r="M358" s="1281">
        <f t="shared" si="91"/>
        <v>0</v>
      </c>
      <c r="N358" s="1281">
        <f t="shared" si="91"/>
        <v>0</v>
      </c>
      <c r="O358" s="1281">
        <f t="shared" si="91"/>
        <v>0</v>
      </c>
      <c r="P358" s="1281">
        <f t="shared" si="91"/>
        <v>0</v>
      </c>
      <c r="Q358" s="1281">
        <f t="shared" si="91"/>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92">(G251-G305)/G$386</f>
        <v>0</v>
      </c>
      <c r="H359" s="1281">
        <f t="shared" si="92"/>
        <v>0</v>
      </c>
      <c r="I359" s="1281">
        <f t="shared" si="92"/>
        <v>0</v>
      </c>
      <c r="J359" s="1281">
        <f t="shared" si="92"/>
        <v>0</v>
      </c>
      <c r="K359" s="1281">
        <f t="shared" si="92"/>
        <v>0</v>
      </c>
      <c r="L359" s="1281">
        <f t="shared" si="92"/>
        <v>0</v>
      </c>
      <c r="M359" s="1281">
        <f t="shared" si="92"/>
        <v>0</v>
      </c>
      <c r="N359" s="1281">
        <f t="shared" si="92"/>
        <v>0</v>
      </c>
      <c r="O359" s="1281">
        <f t="shared" si="92"/>
        <v>0</v>
      </c>
      <c r="P359" s="1281">
        <f t="shared" si="92"/>
        <v>0</v>
      </c>
      <c r="Q359" s="1281">
        <f t="shared" si="92"/>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93">(G252-G306)/G$386</f>
        <v>0</v>
      </c>
      <c r="H360" s="1281">
        <f t="shared" si="93"/>
        <v>0</v>
      </c>
      <c r="I360" s="1281">
        <f t="shared" si="93"/>
        <v>0</v>
      </c>
      <c r="J360" s="1281">
        <f t="shared" si="93"/>
        <v>0</v>
      </c>
      <c r="K360" s="1281">
        <f t="shared" si="93"/>
        <v>0</v>
      </c>
      <c r="L360" s="1281">
        <f t="shared" si="93"/>
        <v>0</v>
      </c>
      <c r="M360" s="1281">
        <f t="shared" si="93"/>
        <v>0</v>
      </c>
      <c r="N360" s="1281">
        <f t="shared" si="93"/>
        <v>0</v>
      </c>
      <c r="O360" s="1281">
        <f t="shared" si="93"/>
        <v>0</v>
      </c>
      <c r="P360" s="1281">
        <f t="shared" si="93"/>
        <v>0</v>
      </c>
      <c r="Q360" s="1281">
        <f t="shared" si="93"/>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94">(G253-G307)/G$386</f>
        <v>0</v>
      </c>
      <c r="H361" s="1281">
        <f t="shared" si="94"/>
        <v>0</v>
      </c>
      <c r="I361" s="1281">
        <f t="shared" si="94"/>
        <v>0</v>
      </c>
      <c r="J361" s="1281">
        <f t="shared" si="94"/>
        <v>0</v>
      </c>
      <c r="K361" s="1281">
        <f t="shared" si="94"/>
        <v>0</v>
      </c>
      <c r="L361" s="1281">
        <f t="shared" si="94"/>
        <v>0</v>
      </c>
      <c r="M361" s="1281">
        <f t="shared" si="94"/>
        <v>0</v>
      </c>
      <c r="N361" s="1281">
        <f t="shared" si="94"/>
        <v>0</v>
      </c>
      <c r="O361" s="1281">
        <f t="shared" si="94"/>
        <v>0</v>
      </c>
      <c r="P361" s="1281">
        <f t="shared" si="94"/>
        <v>0</v>
      </c>
      <c r="Q361" s="1281">
        <f t="shared" si="94"/>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95">(G254-G308)/G$386</f>
        <v>0</v>
      </c>
      <c r="H362" s="1281">
        <f t="shared" si="95"/>
        <v>0</v>
      </c>
      <c r="I362" s="1281">
        <f t="shared" si="95"/>
        <v>0</v>
      </c>
      <c r="J362" s="1281">
        <f t="shared" si="95"/>
        <v>0</v>
      </c>
      <c r="K362" s="1281">
        <f t="shared" si="95"/>
        <v>0</v>
      </c>
      <c r="L362" s="1281">
        <f t="shared" si="95"/>
        <v>0</v>
      </c>
      <c r="M362" s="1281">
        <f t="shared" si="95"/>
        <v>0</v>
      </c>
      <c r="N362" s="1281">
        <f t="shared" si="95"/>
        <v>0</v>
      </c>
      <c r="O362" s="1281">
        <f t="shared" si="95"/>
        <v>0</v>
      </c>
      <c r="P362" s="1281">
        <f t="shared" si="95"/>
        <v>0</v>
      </c>
      <c r="Q362" s="1281">
        <f t="shared" si="95"/>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96">(G255-G309)/G$386</f>
        <v>0</v>
      </c>
      <c r="H363" s="1281">
        <f t="shared" si="96"/>
        <v>0</v>
      </c>
      <c r="I363" s="1281">
        <f t="shared" si="96"/>
        <v>0</v>
      </c>
      <c r="J363" s="1281">
        <f t="shared" si="96"/>
        <v>0</v>
      </c>
      <c r="K363" s="1281">
        <f t="shared" si="96"/>
        <v>0</v>
      </c>
      <c r="L363" s="1281">
        <f t="shared" si="96"/>
        <v>0</v>
      </c>
      <c r="M363" s="1281">
        <f t="shared" si="96"/>
        <v>0</v>
      </c>
      <c r="N363" s="1281">
        <f t="shared" si="96"/>
        <v>0</v>
      </c>
      <c r="O363" s="1281">
        <f t="shared" si="96"/>
        <v>0</v>
      </c>
      <c r="P363" s="1281">
        <f t="shared" si="96"/>
        <v>0</v>
      </c>
      <c r="Q363" s="1281">
        <f t="shared" si="96"/>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97">(G256-G310)/G$386</f>
        <v>0</v>
      </c>
      <c r="H364" s="1281">
        <f t="shared" si="97"/>
        <v>0</v>
      </c>
      <c r="I364" s="1281">
        <f t="shared" si="97"/>
        <v>0</v>
      </c>
      <c r="J364" s="1281">
        <f t="shared" si="97"/>
        <v>0</v>
      </c>
      <c r="K364" s="1281">
        <f t="shared" si="97"/>
        <v>0</v>
      </c>
      <c r="L364" s="1281">
        <f t="shared" si="97"/>
        <v>0</v>
      </c>
      <c r="M364" s="1281">
        <f t="shared" si="97"/>
        <v>0</v>
      </c>
      <c r="N364" s="1281">
        <f t="shared" si="97"/>
        <v>0</v>
      </c>
      <c r="O364" s="1281">
        <f t="shared" si="97"/>
        <v>0</v>
      </c>
      <c r="P364" s="1281">
        <f t="shared" si="97"/>
        <v>0</v>
      </c>
      <c r="Q364" s="1281">
        <f t="shared" si="97"/>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98">(G257-G311)/G$386</f>
        <v>0</v>
      </c>
      <c r="H365" s="1281">
        <f t="shared" si="98"/>
        <v>0</v>
      </c>
      <c r="I365" s="1281">
        <f t="shared" si="98"/>
        <v>0</v>
      </c>
      <c r="J365" s="1281">
        <f t="shared" si="98"/>
        <v>0</v>
      </c>
      <c r="K365" s="1281">
        <f t="shared" si="98"/>
        <v>0</v>
      </c>
      <c r="L365" s="1281">
        <f t="shared" si="98"/>
        <v>0</v>
      </c>
      <c r="M365" s="1281">
        <f t="shared" si="98"/>
        <v>0</v>
      </c>
      <c r="N365" s="1281">
        <f t="shared" si="98"/>
        <v>0</v>
      </c>
      <c r="O365" s="1281">
        <f t="shared" si="98"/>
        <v>0</v>
      </c>
      <c r="P365" s="1281">
        <f t="shared" si="98"/>
        <v>0</v>
      </c>
      <c r="Q365" s="1281">
        <f t="shared" si="98"/>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99">(G258-G312)/G$386</f>
        <v>0</v>
      </c>
      <c r="H366" s="1281">
        <f t="shared" si="99"/>
        <v>0</v>
      </c>
      <c r="I366" s="1281">
        <f t="shared" si="99"/>
        <v>0</v>
      </c>
      <c r="J366" s="1281">
        <f t="shared" si="99"/>
        <v>0</v>
      </c>
      <c r="K366" s="1281">
        <f t="shared" si="99"/>
        <v>0</v>
      </c>
      <c r="L366" s="1281">
        <f t="shared" si="99"/>
        <v>0</v>
      </c>
      <c r="M366" s="1281">
        <f t="shared" si="99"/>
        <v>0</v>
      </c>
      <c r="N366" s="1281">
        <f t="shared" si="99"/>
        <v>0</v>
      </c>
      <c r="O366" s="1281">
        <f t="shared" si="99"/>
        <v>0</v>
      </c>
      <c r="P366" s="1281">
        <f t="shared" si="99"/>
        <v>0</v>
      </c>
      <c r="Q366" s="1281">
        <f t="shared" si="99"/>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00">(G259-G313)/G$386</f>
        <v>0</v>
      </c>
      <c r="H367" s="1281">
        <f t="shared" si="100"/>
        <v>0</v>
      </c>
      <c r="I367" s="1281">
        <f t="shared" si="100"/>
        <v>0</v>
      </c>
      <c r="J367" s="1281">
        <f t="shared" si="100"/>
        <v>0</v>
      </c>
      <c r="K367" s="1281">
        <f t="shared" si="100"/>
        <v>0</v>
      </c>
      <c r="L367" s="1281">
        <f t="shared" si="100"/>
        <v>0</v>
      </c>
      <c r="M367" s="1281">
        <f t="shared" si="100"/>
        <v>0</v>
      </c>
      <c r="N367" s="1281">
        <f t="shared" si="100"/>
        <v>0</v>
      </c>
      <c r="O367" s="1281">
        <f t="shared" si="100"/>
        <v>0</v>
      </c>
      <c r="P367" s="1281">
        <f t="shared" si="100"/>
        <v>0</v>
      </c>
      <c r="Q367" s="1281">
        <f t="shared" si="100"/>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01">(G260-G314)/G$386</f>
        <v>0</v>
      </c>
      <c r="H368" s="1281">
        <f t="shared" si="101"/>
        <v>0</v>
      </c>
      <c r="I368" s="1281">
        <f t="shared" si="101"/>
        <v>0</v>
      </c>
      <c r="J368" s="1281">
        <f t="shared" si="101"/>
        <v>0</v>
      </c>
      <c r="K368" s="1281">
        <f t="shared" si="101"/>
        <v>0</v>
      </c>
      <c r="L368" s="1281">
        <f t="shared" si="101"/>
        <v>0</v>
      </c>
      <c r="M368" s="1281">
        <f t="shared" si="101"/>
        <v>0</v>
      </c>
      <c r="N368" s="1281">
        <f t="shared" si="101"/>
        <v>0</v>
      </c>
      <c r="O368" s="1281">
        <f t="shared" si="101"/>
        <v>0</v>
      </c>
      <c r="P368" s="1281">
        <f t="shared" si="101"/>
        <v>0</v>
      </c>
      <c r="Q368" s="1281">
        <f t="shared" si="101"/>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02">(G261-G315)/G$386</f>
        <v>0</v>
      </c>
      <c r="H369" s="1281">
        <f t="shared" si="102"/>
        <v>0</v>
      </c>
      <c r="I369" s="1281">
        <f t="shared" si="102"/>
        <v>0</v>
      </c>
      <c r="J369" s="1281">
        <f t="shared" si="102"/>
        <v>0</v>
      </c>
      <c r="K369" s="1281">
        <f t="shared" si="102"/>
        <v>0</v>
      </c>
      <c r="L369" s="1281">
        <f t="shared" si="102"/>
        <v>0</v>
      </c>
      <c r="M369" s="1281">
        <f t="shared" si="102"/>
        <v>0</v>
      </c>
      <c r="N369" s="1281">
        <f t="shared" si="102"/>
        <v>0</v>
      </c>
      <c r="O369" s="1281">
        <f t="shared" si="102"/>
        <v>0</v>
      </c>
      <c r="P369" s="1281">
        <f t="shared" si="102"/>
        <v>0</v>
      </c>
      <c r="Q369" s="1281">
        <f t="shared" si="102"/>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03">(G262-G316)/G$386</f>
        <v>0</v>
      </c>
      <c r="H370" s="1281">
        <f t="shared" si="103"/>
        <v>0</v>
      </c>
      <c r="I370" s="1281">
        <f t="shared" si="103"/>
        <v>0</v>
      </c>
      <c r="J370" s="1281">
        <f t="shared" si="103"/>
        <v>0</v>
      </c>
      <c r="K370" s="1281">
        <f t="shared" si="103"/>
        <v>0</v>
      </c>
      <c r="L370" s="1281">
        <f t="shared" si="103"/>
        <v>0</v>
      </c>
      <c r="M370" s="1281">
        <f t="shared" si="103"/>
        <v>0</v>
      </c>
      <c r="N370" s="1281">
        <f t="shared" si="103"/>
        <v>0</v>
      </c>
      <c r="O370" s="1281">
        <f t="shared" si="103"/>
        <v>0</v>
      </c>
      <c r="P370" s="1281">
        <f t="shared" si="103"/>
        <v>0</v>
      </c>
      <c r="Q370" s="1281">
        <f t="shared" si="103"/>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04">(G263-G317)/G$386</f>
        <v>0</v>
      </c>
      <c r="H371" s="1281">
        <f t="shared" si="104"/>
        <v>0</v>
      </c>
      <c r="I371" s="1281">
        <f t="shared" si="104"/>
        <v>0</v>
      </c>
      <c r="J371" s="1281">
        <f t="shared" si="104"/>
        <v>0</v>
      </c>
      <c r="K371" s="1281">
        <f t="shared" si="104"/>
        <v>0</v>
      </c>
      <c r="L371" s="1281">
        <f t="shared" si="104"/>
        <v>0</v>
      </c>
      <c r="M371" s="1281">
        <f t="shared" si="104"/>
        <v>0</v>
      </c>
      <c r="N371" s="1281">
        <f t="shared" si="104"/>
        <v>0</v>
      </c>
      <c r="O371" s="1281">
        <f t="shared" si="104"/>
        <v>0</v>
      </c>
      <c r="P371" s="1281">
        <f t="shared" si="104"/>
        <v>0</v>
      </c>
      <c r="Q371" s="1281">
        <f t="shared" si="104"/>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05">(G264-G318)/G$386</f>
        <v>0</v>
      </c>
      <c r="H372" s="1281">
        <f t="shared" si="105"/>
        <v>0</v>
      </c>
      <c r="I372" s="1281">
        <f t="shared" si="105"/>
        <v>0</v>
      </c>
      <c r="J372" s="1281">
        <f t="shared" si="105"/>
        <v>0</v>
      </c>
      <c r="K372" s="1281">
        <f t="shared" si="105"/>
        <v>0</v>
      </c>
      <c r="L372" s="1281">
        <f t="shared" si="105"/>
        <v>0</v>
      </c>
      <c r="M372" s="1281">
        <f t="shared" si="105"/>
        <v>0</v>
      </c>
      <c r="N372" s="1281">
        <f t="shared" si="105"/>
        <v>0</v>
      </c>
      <c r="O372" s="1281">
        <f t="shared" si="105"/>
        <v>0</v>
      </c>
      <c r="P372" s="1281">
        <f t="shared" si="105"/>
        <v>0</v>
      </c>
      <c r="Q372" s="1281">
        <f t="shared" si="105"/>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06">(G265-G319)/G$386</f>
        <v>0</v>
      </c>
      <c r="H373" s="1281">
        <f t="shared" si="106"/>
        <v>0</v>
      </c>
      <c r="I373" s="1281">
        <f t="shared" si="106"/>
        <v>0</v>
      </c>
      <c r="J373" s="1281">
        <f t="shared" si="106"/>
        <v>0</v>
      </c>
      <c r="K373" s="1281">
        <f t="shared" si="106"/>
        <v>0</v>
      </c>
      <c r="L373" s="1281">
        <f t="shared" si="106"/>
        <v>0</v>
      </c>
      <c r="M373" s="1281">
        <f t="shared" si="106"/>
        <v>0</v>
      </c>
      <c r="N373" s="1281">
        <f t="shared" si="106"/>
        <v>0</v>
      </c>
      <c r="O373" s="1281">
        <f t="shared" si="106"/>
        <v>0</v>
      </c>
      <c r="P373" s="1281">
        <f t="shared" si="106"/>
        <v>0</v>
      </c>
      <c r="Q373" s="1281">
        <f t="shared" si="106"/>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07">(G266-G320)/G$386</f>
        <v>0</v>
      </c>
      <c r="H374" s="1281">
        <f t="shared" si="107"/>
        <v>0</v>
      </c>
      <c r="I374" s="1281">
        <f t="shared" si="107"/>
        <v>0</v>
      </c>
      <c r="J374" s="1281">
        <f t="shared" si="107"/>
        <v>0</v>
      </c>
      <c r="K374" s="1281">
        <f t="shared" si="107"/>
        <v>0</v>
      </c>
      <c r="L374" s="1281">
        <f t="shared" si="107"/>
        <v>0</v>
      </c>
      <c r="M374" s="1281">
        <f t="shared" si="107"/>
        <v>0</v>
      </c>
      <c r="N374" s="1281">
        <f t="shared" si="107"/>
        <v>0</v>
      </c>
      <c r="O374" s="1281">
        <f t="shared" si="107"/>
        <v>0</v>
      </c>
      <c r="P374" s="1281">
        <f t="shared" si="107"/>
        <v>0</v>
      </c>
      <c r="Q374" s="1281">
        <f t="shared" si="107"/>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08">(G267-G321)/G$386</f>
        <v>0</v>
      </c>
      <c r="H375" s="1281">
        <f t="shared" si="108"/>
        <v>0</v>
      </c>
      <c r="I375" s="1281">
        <f t="shared" si="108"/>
        <v>0</v>
      </c>
      <c r="J375" s="1281">
        <f t="shared" si="108"/>
        <v>0</v>
      </c>
      <c r="K375" s="1281">
        <f t="shared" si="108"/>
        <v>0</v>
      </c>
      <c r="L375" s="1281">
        <f t="shared" si="108"/>
        <v>0</v>
      </c>
      <c r="M375" s="1281">
        <f t="shared" si="108"/>
        <v>0</v>
      </c>
      <c r="N375" s="1281">
        <f t="shared" si="108"/>
        <v>0</v>
      </c>
      <c r="O375" s="1281">
        <f t="shared" si="108"/>
        <v>0</v>
      </c>
      <c r="P375" s="1281">
        <f t="shared" si="108"/>
        <v>0</v>
      </c>
      <c r="Q375" s="1281">
        <f t="shared" si="108"/>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09">(G268-G322)/G$386</f>
        <v>0</v>
      </c>
      <c r="H376" s="1281">
        <f t="shared" si="109"/>
        <v>0</v>
      </c>
      <c r="I376" s="1281">
        <f t="shared" si="109"/>
        <v>0</v>
      </c>
      <c r="J376" s="1281">
        <f t="shared" si="109"/>
        <v>0</v>
      </c>
      <c r="K376" s="1281">
        <f t="shared" si="109"/>
        <v>0</v>
      </c>
      <c r="L376" s="1281">
        <f t="shared" si="109"/>
        <v>0</v>
      </c>
      <c r="M376" s="1281">
        <f t="shared" si="109"/>
        <v>0</v>
      </c>
      <c r="N376" s="1281">
        <f t="shared" si="109"/>
        <v>0</v>
      </c>
      <c r="O376" s="1281">
        <f t="shared" si="109"/>
        <v>0</v>
      </c>
      <c r="P376" s="1281">
        <f t="shared" si="109"/>
        <v>0</v>
      </c>
      <c r="Q376" s="1281">
        <f t="shared" si="109"/>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10">(G269-G323)/G$386</f>
        <v>0</v>
      </c>
      <c r="H377" s="1281">
        <f t="shared" si="110"/>
        <v>0</v>
      </c>
      <c r="I377" s="1281">
        <f t="shared" si="110"/>
        <v>0</v>
      </c>
      <c r="J377" s="1281">
        <f t="shared" si="110"/>
        <v>0</v>
      </c>
      <c r="K377" s="1281">
        <f t="shared" si="110"/>
        <v>0</v>
      </c>
      <c r="L377" s="1281">
        <f t="shared" si="110"/>
        <v>0</v>
      </c>
      <c r="M377" s="1281">
        <f t="shared" si="110"/>
        <v>0</v>
      </c>
      <c r="N377" s="1281">
        <f t="shared" si="110"/>
        <v>0</v>
      </c>
      <c r="O377" s="1281">
        <f t="shared" si="110"/>
        <v>0</v>
      </c>
      <c r="P377" s="1281">
        <f t="shared" si="110"/>
        <v>0</v>
      </c>
      <c r="Q377" s="1281">
        <f t="shared" si="110"/>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11">(G270-G324)/G$386</f>
        <v>0</v>
      </c>
      <c r="H378" s="1281">
        <f t="shared" si="111"/>
        <v>0</v>
      </c>
      <c r="I378" s="1281">
        <f t="shared" si="111"/>
        <v>0</v>
      </c>
      <c r="J378" s="1281">
        <f t="shared" si="111"/>
        <v>0</v>
      </c>
      <c r="K378" s="1281">
        <f t="shared" si="111"/>
        <v>0</v>
      </c>
      <c r="L378" s="1281">
        <f t="shared" si="111"/>
        <v>0</v>
      </c>
      <c r="M378" s="1281">
        <f t="shared" si="111"/>
        <v>0</v>
      </c>
      <c r="N378" s="1281">
        <f t="shared" si="111"/>
        <v>0</v>
      </c>
      <c r="O378" s="1281">
        <f t="shared" si="111"/>
        <v>0</v>
      </c>
      <c r="P378" s="1281">
        <f t="shared" si="111"/>
        <v>0</v>
      </c>
      <c r="Q378" s="1281">
        <f t="shared" si="111"/>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12">(G271-G325)/G$386</f>
        <v>0</v>
      </c>
      <c r="H379" s="1281">
        <f t="shared" si="112"/>
        <v>0</v>
      </c>
      <c r="I379" s="1281">
        <f t="shared" si="112"/>
        <v>0</v>
      </c>
      <c r="J379" s="1281">
        <f t="shared" si="112"/>
        <v>0</v>
      </c>
      <c r="K379" s="1281">
        <f t="shared" si="112"/>
        <v>0</v>
      </c>
      <c r="L379" s="1281">
        <f t="shared" si="112"/>
        <v>0</v>
      </c>
      <c r="M379" s="1281">
        <f t="shared" si="112"/>
        <v>0</v>
      </c>
      <c r="N379" s="1281">
        <f t="shared" si="112"/>
        <v>0</v>
      </c>
      <c r="O379" s="1281">
        <f t="shared" si="112"/>
        <v>0</v>
      </c>
      <c r="P379" s="1281">
        <f t="shared" si="112"/>
        <v>0</v>
      </c>
      <c r="Q379" s="1281">
        <f t="shared" si="112"/>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13">(G272-G326)/G$386</f>
        <v>0</v>
      </c>
      <c r="H380" s="1281">
        <f t="shared" si="113"/>
        <v>0</v>
      </c>
      <c r="I380" s="1281">
        <f t="shared" si="113"/>
        <v>0</v>
      </c>
      <c r="J380" s="1281">
        <f t="shared" si="113"/>
        <v>0</v>
      </c>
      <c r="K380" s="1281">
        <f t="shared" si="113"/>
        <v>0</v>
      </c>
      <c r="L380" s="1281">
        <f t="shared" si="113"/>
        <v>0</v>
      </c>
      <c r="M380" s="1281">
        <f t="shared" si="113"/>
        <v>0</v>
      </c>
      <c r="N380" s="1281">
        <f t="shared" si="113"/>
        <v>0</v>
      </c>
      <c r="O380" s="1281">
        <f t="shared" si="113"/>
        <v>0</v>
      </c>
      <c r="P380" s="1281">
        <f t="shared" si="113"/>
        <v>0</v>
      </c>
      <c r="Q380" s="1281">
        <f t="shared" si="113"/>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3.2877871191730326</v>
      </c>
      <c r="H381" s="171">
        <f t="shared" ref="H381:Q381" si="114">SUM(H331:H380)</f>
        <v>1.1850544929106117</v>
      </c>
      <c r="I381" s="171">
        <f t="shared" si="114"/>
        <v>1.3916181301053618</v>
      </c>
      <c r="J381" s="171">
        <f t="shared" si="114"/>
        <v>2.3242098952873436</v>
      </c>
      <c r="K381" s="171">
        <f t="shared" si="114"/>
        <v>4.5550725649363804</v>
      </c>
      <c r="L381" s="171">
        <f t="shared" si="114"/>
        <v>2.003016462704589</v>
      </c>
      <c r="M381" s="171">
        <f t="shared" si="114"/>
        <v>3.2474976752951932</v>
      </c>
      <c r="N381" s="171">
        <f t="shared" si="114"/>
        <v>0</v>
      </c>
      <c r="O381" s="171">
        <f t="shared" si="114"/>
        <v>0</v>
      </c>
      <c r="P381" s="171">
        <f t="shared" si="114"/>
        <v>0</v>
      </c>
      <c r="Q381" s="171">
        <f t="shared" si="114"/>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17.994256340412512</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491" t="s">
        <v>22</v>
      </c>
      <c r="F383" s="1491"/>
      <c r="G383" s="1491"/>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2015-16</v>
      </c>
      <c r="H384" s="104" t="str">
        <f t="shared" ref="H384:Q384" si="115">H$60</f>
        <v>2016-17</v>
      </c>
      <c r="I384" s="104" t="str">
        <f t="shared" si="115"/>
        <v>2017-18</v>
      </c>
      <c r="J384" s="104" t="str">
        <f t="shared" si="115"/>
        <v>2018-19</v>
      </c>
      <c r="K384" s="104" t="str">
        <f t="shared" si="115"/>
        <v>2019-20</v>
      </c>
      <c r="L384" s="104" t="str">
        <f t="shared" si="115"/>
        <v>2020-21</v>
      </c>
      <c r="M384" s="104" t="str">
        <f t="shared" si="115"/>
        <v>2021-22</v>
      </c>
      <c r="N384" s="104" t="str">
        <f t="shared" si="115"/>
        <v>2022-23</v>
      </c>
      <c r="O384" s="104" t="str">
        <f t="shared" si="115"/>
        <v>2023-24</v>
      </c>
      <c r="P384" s="104" t="str">
        <f t="shared" si="115"/>
        <v>2024-25</v>
      </c>
      <c r="Q384" s="104" t="str">
        <f t="shared" si="115"/>
        <v>2025-26</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G576/100</f>
        <v>1.0232558139534831E-2</v>
      </c>
      <c r="H385" s="82">
        <f>H582/100</f>
        <v>1.9337016574585641E-2</v>
      </c>
      <c r="I385" s="82">
        <f>I588/100</f>
        <v>2.0776874435411097E-2</v>
      </c>
      <c r="J385" s="82">
        <f>J594/100</f>
        <v>1.5929203539823078E-2</v>
      </c>
      <c r="K385" s="82">
        <f>K600/100</f>
        <v>-3.4843205574912606E-3</v>
      </c>
      <c r="L385" s="82">
        <f>L606/100</f>
        <v>3.8461538461538325E-2</v>
      </c>
      <c r="M385" s="131">
        <f>M612/100</f>
        <v>6.1447811447811418E-2</v>
      </c>
      <c r="N385" s="132"/>
      <c r="O385" s="132"/>
      <c r="P385" s="132"/>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1.0102325581395348</v>
      </c>
      <c r="I386" s="68">
        <f t="shared" ref="I386:Q386" si="116">H386*(1+H385)</f>
        <v>1.029767441860465</v>
      </c>
      <c r="J386" s="68">
        <f t="shared" si="116"/>
        <v>1.0511627906976744</v>
      </c>
      <c r="K386" s="68">
        <f t="shared" si="116"/>
        <v>1.067906976744186</v>
      </c>
      <c r="L386" s="68">
        <f t="shared" si="116"/>
        <v>1.064186046511628</v>
      </c>
      <c r="M386" s="68">
        <f t="shared" si="116"/>
        <v>1.1051162790697673</v>
      </c>
      <c r="N386" s="68">
        <f t="shared" si="116"/>
        <v>1.1730232558139533</v>
      </c>
      <c r="O386" s="68">
        <f>N386*(1+N385)</f>
        <v>1.1730232558139533</v>
      </c>
      <c r="P386" s="68">
        <f t="shared" si="116"/>
        <v>1.1730232558139533</v>
      </c>
      <c r="Q386" s="68">
        <f t="shared" si="116"/>
        <v>1.1730232558139533</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2.5000000000000001E-2</v>
      </c>
      <c r="H387" s="113">
        <v>2.4E-2</v>
      </c>
      <c r="I387" s="113">
        <v>2.4199999999999999E-2</v>
      </c>
      <c r="J387" s="113">
        <v>2.44995114800401E-2</v>
      </c>
      <c r="K387" s="113">
        <v>2.2739900899011001E-2</v>
      </c>
      <c r="L387" s="113">
        <v>0.02</v>
      </c>
      <c r="M387" s="113">
        <v>0.02</v>
      </c>
      <c r="N387" s="33">
        <f t="shared" ref="N387:Q387" si="117">M387</f>
        <v>0.02</v>
      </c>
      <c r="O387" s="33">
        <f>N387</f>
        <v>0.02</v>
      </c>
      <c r="P387" s="33">
        <f t="shared" si="117"/>
        <v>0.02</v>
      </c>
      <c r="Q387" s="33">
        <f t="shared" si="117"/>
        <v>0.02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1.024</v>
      </c>
      <c r="I388" s="68">
        <f t="shared" ref="I388:Q388" si="118">H388*(1+I387)</f>
        <v>1.0487808000000001</v>
      </c>
      <c r="J388" s="68">
        <f t="shared" si="118"/>
        <v>1.0744754172496458</v>
      </c>
      <c r="K388" s="68">
        <f t="shared" si="118"/>
        <v>1.0989088817563262</v>
      </c>
      <c r="L388" s="68">
        <f t="shared" si="118"/>
        <v>1.1208870593914526</v>
      </c>
      <c r="M388" s="68">
        <f t="shared" si="118"/>
        <v>1.1433048005792816</v>
      </c>
      <c r="N388" s="68">
        <f t="shared" si="118"/>
        <v>1.1661708965908673</v>
      </c>
      <c r="O388" s="68">
        <f>N388*(1+O387)</f>
        <v>1.1894943145226846</v>
      </c>
      <c r="P388" s="68">
        <f t="shared" si="118"/>
        <v>1.2132842008131384</v>
      </c>
      <c r="Q388" s="68">
        <f t="shared" si="118"/>
        <v>1.2375498848294011</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6.9877500000000009E-2</v>
      </c>
      <c r="H390" s="82">
        <v>5.7187499999999995E-2</v>
      </c>
      <c r="I390" s="82">
        <v>5.5494415609722993E-2</v>
      </c>
      <c r="J390" s="82">
        <v>5.7169949621930977E-2</v>
      </c>
      <c r="K390" s="82">
        <v>4.5769999999999998E-2</v>
      </c>
      <c r="L390" s="82">
        <v>3.5444000000000003E-2</v>
      </c>
      <c r="M390" s="82">
        <v>4.7310773823327712E-2</v>
      </c>
      <c r="N390" s="82"/>
      <c r="O390" s="82"/>
      <c r="P390" s="82"/>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19">(1+G390)/(1+G387)-1</f>
        <v>4.3782926829268431E-2</v>
      </c>
      <c r="H391" s="25">
        <f t="shared" si="119"/>
        <v>3.240966796875E-2</v>
      </c>
      <c r="I391" s="245">
        <f t="shared" si="119"/>
        <v>3.0554984973367505E-2</v>
      </c>
      <c r="J391" s="245">
        <f t="shared" si="119"/>
        <v>3.1889169077975899E-2</v>
      </c>
      <c r="K391" s="245">
        <f t="shared" si="119"/>
        <v>2.251804107842581E-2</v>
      </c>
      <c r="L391" s="245">
        <f t="shared" si="119"/>
        <v>1.5141176470588213E-2</v>
      </c>
      <c r="M391" s="245">
        <f t="shared" si="119"/>
        <v>2.6775268454242829E-2</v>
      </c>
      <c r="N391" s="245">
        <f t="shared" si="119"/>
        <v>-1.9607843137254943E-2</v>
      </c>
      <c r="O391" s="245">
        <f t="shared" si="119"/>
        <v>-1.9607843137254943E-2</v>
      </c>
      <c r="P391" s="245">
        <f t="shared" si="119"/>
        <v>-1.9607843137254943E-2</v>
      </c>
      <c r="Q391" s="245">
        <f t="shared" si="119"/>
        <v>-1.9607843137254943E-2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20">(1+G391)*(1+G385)-1</f>
        <v>5.4463496313102766E-2</v>
      </c>
      <c r="H392" s="25">
        <f t="shared" si="120"/>
        <v>5.2373390830024125E-2</v>
      </c>
      <c r="I392" s="245">
        <f t="shared" si="120"/>
        <v>5.1966696494946119E-2</v>
      </c>
      <c r="J392" s="245">
        <f t="shared" si="120"/>
        <v>4.8326341682757956E-2</v>
      </c>
      <c r="K392" s="245">
        <f t="shared" si="120"/>
        <v>1.8955260447490518E-2</v>
      </c>
      <c r="L392" s="245">
        <f t="shared" si="120"/>
        <v>5.4185067873302906E-2</v>
      </c>
      <c r="M392" s="245">
        <f t="shared" si="120"/>
        <v>8.9868361549495068E-2</v>
      </c>
      <c r="N392" s="245">
        <f t="shared" si="120"/>
        <v>-1.9607843137254943E-2</v>
      </c>
      <c r="O392" s="245">
        <f t="shared" si="120"/>
        <v>-1.9607843137254943E-2</v>
      </c>
      <c r="P392" s="245">
        <f t="shared" si="120"/>
        <v>-1.9607843137254943E-2</v>
      </c>
      <c r="Q392" s="245">
        <f t="shared" si="120"/>
        <v>-1.9607843137254943E-2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86" t="s">
        <v>503</v>
      </c>
      <c r="F394" s="1486"/>
      <c r="G394" s="1486"/>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86"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6"/>
      <c r="G400" s="1486"/>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21">H$60</f>
        <v>2016-17</v>
      </c>
      <c r="I401" s="140" t="str">
        <f t="shared" si="121"/>
        <v>2017-18</v>
      </c>
      <c r="J401" s="140" t="str">
        <f t="shared" si="121"/>
        <v>2018-19</v>
      </c>
      <c r="K401" s="140" t="str">
        <f t="shared" si="121"/>
        <v>2019-20</v>
      </c>
      <c r="L401" s="140" t="str">
        <f t="shared" si="121"/>
        <v>2020-21</v>
      </c>
      <c r="M401" s="140" t="str">
        <f t="shared" si="121"/>
        <v>2021-22</v>
      </c>
      <c r="N401" s="140" t="str">
        <f t="shared" si="121"/>
        <v>2022-23</v>
      </c>
      <c r="O401" s="140" t="str">
        <f t="shared" si="121"/>
        <v>2023-24</v>
      </c>
      <c r="P401" s="140" t="str">
        <f t="shared" si="121"/>
        <v>2024-25</v>
      </c>
      <c r="Q401" s="140" t="str">
        <f t="shared" si="121"/>
        <v>2025-26</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22">SUM(I402:I451)</f>
        <v>0</v>
      </c>
      <c r="J452" s="171">
        <f t="shared" si="122"/>
        <v>0</v>
      </c>
      <c r="K452" s="171">
        <f t="shared" si="122"/>
        <v>0</v>
      </c>
      <c r="L452" s="171">
        <f t="shared" si="122"/>
        <v>0</v>
      </c>
      <c r="M452" s="171">
        <f t="shared" si="122"/>
        <v>0</v>
      </c>
      <c r="N452" s="171">
        <f t="shared" si="122"/>
        <v>0</v>
      </c>
      <c r="O452" s="171">
        <f t="shared" si="122"/>
        <v>0</v>
      </c>
      <c r="P452" s="171">
        <f t="shared" si="122"/>
        <v>0</v>
      </c>
      <c r="Q452" s="171">
        <f t="shared" si="122"/>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484" t="s">
        <v>519</v>
      </c>
      <c r="F454" s="1484"/>
      <c r="G454" s="1484"/>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484" t="s">
        <v>524</v>
      </c>
      <c r="F459" s="1484"/>
      <c r="G459" s="1484"/>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23">H$60</f>
        <v>2016-17</v>
      </c>
      <c r="I460" s="288" t="str">
        <f t="shared" si="123"/>
        <v>2017-18</v>
      </c>
      <c r="J460" s="288" t="str">
        <f t="shared" si="123"/>
        <v>2018-19</v>
      </c>
      <c r="K460" s="288" t="str">
        <f t="shared" si="123"/>
        <v>2019-20</v>
      </c>
      <c r="L460" s="288" t="str">
        <f t="shared" si="123"/>
        <v>2020-21</v>
      </c>
      <c r="M460" s="288" t="str">
        <f t="shared" si="123"/>
        <v>2021-22</v>
      </c>
      <c r="N460" s="288" t="str">
        <f t="shared" si="123"/>
        <v>2022-23</v>
      </c>
      <c r="O460" s="288" t="str">
        <f t="shared" si="123"/>
        <v>2023-24</v>
      </c>
      <c r="P460" s="288" t="str">
        <f t="shared" si="123"/>
        <v>2024-25</v>
      </c>
      <c r="Q460" s="288" t="str">
        <f t="shared" si="123"/>
        <v>2025-26</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f>Asset15</f>
        <v>0</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24">SUM(I461:I510)</f>
        <v>0</v>
      </c>
      <c r="J511" s="171">
        <f t="shared" si="124"/>
        <v>0</v>
      </c>
      <c r="K511" s="171">
        <f t="shared" si="124"/>
        <v>0</v>
      </c>
      <c r="L511" s="171">
        <f t="shared" si="124"/>
        <v>0</v>
      </c>
      <c r="M511" s="171">
        <f t="shared" si="124"/>
        <v>0</v>
      </c>
      <c r="N511" s="171">
        <f t="shared" si="124"/>
        <v>0</v>
      </c>
      <c r="O511" s="171">
        <f t="shared" si="124"/>
        <v>0</v>
      </c>
      <c r="P511" s="171">
        <f t="shared" si="124"/>
        <v>0</v>
      </c>
      <c r="Q511" s="171">
        <f t="shared" si="124"/>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86" t="str">
        <f>"Forecast Final Year ("&amp;IF(LEN($Z$7)&gt;4,CONCATENATE(LEFT($Z$7,4)+($AA$7-1)&amp;"-"&amp;RIGHT($Z$7,2)+($AA$7-1)),$Z$7+($AA$7-1))&amp;") Asset Adjustments ($m Nominal)"</f>
        <v>Forecast Final Year (2025-26) Asset Adjustments ($m Nominal)</v>
      </c>
      <c r="F513" s="1486"/>
      <c r="G513" s="1486"/>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2"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3" t="s">
        <v>1084</v>
      </c>
      <c r="F568" s="172"/>
      <c r="G568" s="1394"/>
      <c r="H568" s="342"/>
      <c r="I568" s="172"/>
      <c r="J568" s="172"/>
      <c r="K568" s="172"/>
      <c r="L568" s="172"/>
      <c r="M568" s="172"/>
    </row>
    <row r="569" spans="1:36">
      <c r="E569" s="1393"/>
      <c r="F569" s="172"/>
      <c r="G569" s="1394"/>
      <c r="H569" s="342"/>
      <c r="I569" s="172"/>
      <c r="J569" s="172"/>
      <c r="K569" s="172"/>
      <c r="L569" s="172"/>
      <c r="M569" s="172"/>
    </row>
    <row r="570" spans="1:36">
      <c r="E570" s="1395" t="s">
        <v>26</v>
      </c>
      <c r="F570" s="172"/>
      <c r="G570" s="1394"/>
      <c r="H570" s="342"/>
      <c r="I570" s="172"/>
      <c r="J570" s="172"/>
      <c r="K570" s="172"/>
      <c r="L570" s="172"/>
      <c r="M570" s="172"/>
    </row>
    <row r="571" spans="1:36">
      <c r="E571" s="1393"/>
      <c r="F571" s="172"/>
      <c r="G571" s="1394"/>
      <c r="H571" s="342"/>
      <c r="I571" s="172"/>
      <c r="J571" s="172"/>
      <c r="K571" s="172"/>
      <c r="L571" s="172"/>
      <c r="M571" s="172"/>
    </row>
    <row r="572" spans="1:36">
      <c r="E572" s="1393" t="s">
        <v>1082</v>
      </c>
      <c r="F572" s="172"/>
      <c r="G572" s="1394"/>
      <c r="H572" s="342"/>
      <c r="I572" s="172"/>
      <c r="J572" s="172"/>
      <c r="K572" s="172"/>
      <c r="L572" s="172"/>
      <c r="M572" s="172"/>
    </row>
    <row r="573" spans="1:36">
      <c r="E573" s="1392">
        <v>42156</v>
      </c>
      <c r="F573" s="172"/>
      <c r="G573" s="172">
        <v>107.5</v>
      </c>
      <c r="H573" s="172"/>
      <c r="I573" s="172"/>
      <c r="J573" s="172"/>
      <c r="K573" s="172"/>
      <c r="L573" s="172"/>
      <c r="M573" s="172"/>
    </row>
    <row r="574" spans="1:36">
      <c r="E574" s="1392">
        <v>42522</v>
      </c>
      <c r="F574" s="172"/>
      <c r="G574" s="172">
        <v>108.6</v>
      </c>
      <c r="H574" s="172"/>
      <c r="I574" s="172"/>
      <c r="J574" s="172"/>
      <c r="K574" s="172"/>
      <c r="L574" s="172"/>
      <c r="M574" s="172"/>
    </row>
    <row r="575" spans="1:36">
      <c r="E575" s="1393"/>
      <c r="F575" s="172"/>
      <c r="G575" s="172"/>
      <c r="H575" s="172"/>
      <c r="I575" s="172"/>
      <c r="J575" s="172"/>
      <c r="K575" s="172"/>
      <c r="L575" s="172"/>
      <c r="M575" s="172"/>
    </row>
    <row r="576" spans="1:36" ht="13.8" thickBot="1">
      <c r="E576" s="1393" t="s">
        <v>1083</v>
      </c>
      <c r="F576" s="172"/>
      <c r="G576" s="1391">
        <f>((G574/G573)-1)*100</f>
        <v>1.0232558139534831</v>
      </c>
      <c r="H576" s="172"/>
      <c r="I576" s="172"/>
      <c r="J576" s="172"/>
      <c r="K576" s="172"/>
      <c r="L576" s="172"/>
      <c r="M576" s="172"/>
    </row>
    <row r="577" spans="5:13" ht="13.8" thickTop="1">
      <c r="E577" s="1393"/>
      <c r="F577" s="172"/>
      <c r="G577" s="1394"/>
      <c r="H577" s="342"/>
      <c r="I577" s="172"/>
      <c r="J577" s="172"/>
      <c r="K577" s="172"/>
      <c r="L577" s="172"/>
      <c r="M577" s="172"/>
    </row>
    <row r="578" spans="5:13">
      <c r="E578" s="1393" t="s">
        <v>1082</v>
      </c>
      <c r="F578" s="172"/>
      <c r="G578" s="1394"/>
      <c r="H578" s="342"/>
      <c r="I578" s="172"/>
      <c r="J578" s="172"/>
      <c r="K578" s="172"/>
      <c r="L578" s="172"/>
      <c r="M578" s="172"/>
    </row>
    <row r="579" spans="5:13">
      <c r="E579" s="1392">
        <f>E574</f>
        <v>42522</v>
      </c>
      <c r="F579" s="172"/>
      <c r="G579" s="172"/>
      <c r="H579" s="172">
        <f>G574</f>
        <v>108.6</v>
      </c>
      <c r="I579" s="172"/>
      <c r="J579" s="172"/>
      <c r="K579" s="172"/>
      <c r="L579" s="172"/>
      <c r="M579" s="172"/>
    </row>
    <row r="580" spans="5:13">
      <c r="E580" s="1392">
        <v>42887</v>
      </c>
      <c r="F580" s="172"/>
      <c r="G580" s="172"/>
      <c r="H580" s="172">
        <v>110.7</v>
      </c>
      <c r="I580" s="172"/>
      <c r="J580" s="172"/>
      <c r="K580" s="172"/>
      <c r="L580" s="172"/>
      <c r="M580" s="172"/>
    </row>
    <row r="581" spans="5:13">
      <c r="E581" s="1393"/>
      <c r="F581" s="172"/>
      <c r="G581" s="172"/>
      <c r="H581" s="172"/>
      <c r="I581" s="172"/>
      <c r="J581" s="172"/>
      <c r="K581" s="172"/>
      <c r="L581" s="172"/>
      <c r="M581" s="172"/>
    </row>
    <row r="582" spans="5:13" ht="13.8" thickBot="1">
      <c r="E582" s="1393" t="s">
        <v>1083</v>
      </c>
      <c r="F582" s="172"/>
      <c r="G582" s="172"/>
      <c r="H582" s="1391">
        <f>((H580/H579)-1)*100</f>
        <v>1.9337016574585641</v>
      </c>
      <c r="I582" s="172"/>
      <c r="J582" s="172"/>
      <c r="K582" s="172"/>
      <c r="L582" s="172"/>
      <c r="M582" s="172"/>
    </row>
    <row r="583" spans="5:13" ht="13.8" thickTop="1">
      <c r="E583" s="1393"/>
      <c r="F583" s="172"/>
      <c r="G583" s="172"/>
      <c r="H583" s="1394"/>
      <c r="I583" s="172"/>
      <c r="J583" s="172"/>
      <c r="K583" s="172"/>
      <c r="L583" s="172"/>
      <c r="M583" s="172"/>
    </row>
    <row r="584" spans="5:13">
      <c r="E584" s="1393" t="s">
        <v>1082</v>
      </c>
      <c r="F584" s="172"/>
      <c r="G584" s="1394"/>
      <c r="H584" s="342"/>
      <c r="I584" s="172"/>
      <c r="J584" s="172"/>
      <c r="K584" s="172"/>
      <c r="L584" s="172"/>
      <c r="M584" s="172"/>
    </row>
    <row r="585" spans="5:13">
      <c r="E585" s="1392">
        <f>E580</f>
        <v>42887</v>
      </c>
      <c r="F585" s="172"/>
      <c r="G585" s="172"/>
      <c r="H585" s="172"/>
      <c r="I585" s="172">
        <f>H580</f>
        <v>110.7</v>
      </c>
      <c r="J585" s="172"/>
      <c r="K585" s="172"/>
      <c r="L585" s="172"/>
      <c r="M585" s="172"/>
    </row>
    <row r="586" spans="5:13">
      <c r="E586" s="1392">
        <v>43252</v>
      </c>
      <c r="F586" s="172"/>
      <c r="G586" s="172"/>
      <c r="H586" s="172"/>
      <c r="I586" s="172">
        <v>113</v>
      </c>
      <c r="J586" s="172"/>
      <c r="K586" s="172"/>
      <c r="L586" s="172"/>
      <c r="M586" s="172"/>
    </row>
    <row r="587" spans="5:13">
      <c r="E587" s="1393"/>
      <c r="F587" s="172"/>
      <c r="G587" s="172"/>
      <c r="H587" s="172"/>
      <c r="I587" s="172"/>
      <c r="J587" s="172"/>
      <c r="K587" s="172"/>
      <c r="L587" s="172"/>
      <c r="M587" s="172"/>
    </row>
    <row r="588" spans="5:13" ht="13.8" thickBot="1">
      <c r="E588" s="1393" t="s">
        <v>1083</v>
      </c>
      <c r="F588" s="172"/>
      <c r="G588" s="172"/>
      <c r="H588" s="172"/>
      <c r="I588" s="1391">
        <f>((I586/I585)-1)*100</f>
        <v>2.0776874435411097</v>
      </c>
      <c r="J588" s="172"/>
      <c r="K588" s="172"/>
      <c r="L588" s="172"/>
      <c r="M588" s="172"/>
    </row>
    <row r="589" spans="5:13" ht="13.8" thickTop="1">
      <c r="E589" s="172"/>
      <c r="F589" s="172"/>
      <c r="G589" s="172"/>
      <c r="H589" s="172"/>
      <c r="I589" s="172"/>
      <c r="J589" s="172"/>
      <c r="K589" s="172"/>
      <c r="L589" s="172"/>
      <c r="M589" s="172"/>
    </row>
    <row r="590" spans="5:13">
      <c r="E590" s="1393" t="s">
        <v>1082</v>
      </c>
      <c r="F590" s="172"/>
      <c r="G590" s="1394"/>
      <c r="H590" s="342"/>
      <c r="I590" s="172"/>
      <c r="J590" s="172"/>
      <c r="K590" s="172"/>
      <c r="L590" s="172"/>
      <c r="M590" s="172"/>
    </row>
    <row r="591" spans="5:13">
      <c r="E591" s="1392">
        <f>E586</f>
        <v>43252</v>
      </c>
      <c r="F591" s="172"/>
      <c r="G591" s="172"/>
      <c r="H591" s="172"/>
      <c r="I591" s="172"/>
      <c r="J591" s="172">
        <f>I586</f>
        <v>113</v>
      </c>
      <c r="K591" s="172"/>
      <c r="L591" s="172"/>
      <c r="M591" s="172"/>
    </row>
    <row r="592" spans="5:13">
      <c r="E592" s="1392">
        <v>43617</v>
      </c>
      <c r="F592" s="172"/>
      <c r="G592" s="172"/>
      <c r="H592" s="172"/>
      <c r="I592" s="172"/>
      <c r="J592" s="172">
        <v>114.8</v>
      </c>
      <c r="K592" s="172"/>
      <c r="L592" s="172"/>
      <c r="M592" s="172"/>
    </row>
    <row r="593" spans="5:13">
      <c r="E593" s="1393"/>
      <c r="F593" s="172"/>
      <c r="G593" s="172"/>
      <c r="H593" s="172"/>
      <c r="I593" s="172"/>
      <c r="J593" s="172"/>
      <c r="K593" s="172"/>
      <c r="L593" s="172"/>
      <c r="M593" s="172"/>
    </row>
    <row r="594" spans="5:13" ht="13.8" thickBot="1">
      <c r="E594" s="1393" t="s">
        <v>1083</v>
      </c>
      <c r="F594" s="172"/>
      <c r="G594" s="172"/>
      <c r="H594" s="172"/>
      <c r="I594" s="172"/>
      <c r="J594" s="1391">
        <f>((J592/J591)-1)*100</f>
        <v>1.5929203539823078</v>
      </c>
      <c r="K594" s="172"/>
      <c r="L594" s="172"/>
      <c r="M594" s="172"/>
    </row>
    <row r="595" spans="5:13" ht="13.8" thickTop="1">
      <c r="E595" s="172"/>
      <c r="F595" s="172"/>
      <c r="G595" s="172"/>
      <c r="H595" s="172"/>
      <c r="I595" s="172"/>
      <c r="J595" s="172"/>
      <c r="K595" s="172"/>
      <c r="L595" s="172"/>
      <c r="M595" s="172"/>
    </row>
    <row r="596" spans="5:13">
      <c r="E596" s="1393" t="s">
        <v>1082</v>
      </c>
      <c r="F596" s="172"/>
      <c r="G596" s="1394"/>
      <c r="H596" s="342"/>
      <c r="I596" s="172"/>
      <c r="J596" s="172"/>
      <c r="K596" s="172"/>
      <c r="L596" s="172"/>
      <c r="M596" s="172"/>
    </row>
    <row r="597" spans="5:13">
      <c r="E597" s="1392">
        <f>E592</f>
        <v>43617</v>
      </c>
      <c r="F597" s="172"/>
      <c r="G597" s="172"/>
      <c r="H597" s="172"/>
      <c r="I597" s="172"/>
      <c r="J597" s="172"/>
      <c r="K597" s="172">
        <f>J592</f>
        <v>114.8</v>
      </c>
      <c r="L597" s="172"/>
      <c r="M597" s="172"/>
    </row>
    <row r="598" spans="5:13">
      <c r="E598" s="1392">
        <v>43983</v>
      </c>
      <c r="F598" s="172"/>
      <c r="G598" s="172"/>
      <c r="H598" s="172"/>
      <c r="I598" s="172"/>
      <c r="J598" s="172"/>
      <c r="K598" s="172">
        <v>114.4</v>
      </c>
      <c r="L598" s="172"/>
      <c r="M598" s="172"/>
    </row>
    <row r="599" spans="5:13">
      <c r="E599" s="1393"/>
      <c r="F599" s="172"/>
      <c r="G599" s="172"/>
      <c r="H599" s="172"/>
      <c r="I599" s="172"/>
      <c r="J599" s="172"/>
      <c r="K599" s="172"/>
      <c r="L599" s="172"/>
      <c r="M599" s="172"/>
    </row>
    <row r="600" spans="5:13" ht="13.8" thickBot="1">
      <c r="E600" s="1393" t="s">
        <v>1083</v>
      </c>
      <c r="F600" s="172"/>
      <c r="G600" s="172"/>
      <c r="H600" s="172"/>
      <c r="I600" s="172"/>
      <c r="J600" s="172"/>
      <c r="K600" s="1391">
        <f>((K598/K597)-1)*100</f>
        <v>-0.34843205574912606</v>
      </c>
      <c r="L600" s="172"/>
      <c r="M600" s="172"/>
    </row>
    <row r="601" spans="5:13" ht="13.8" thickTop="1">
      <c r="E601" s="172"/>
      <c r="F601" s="172"/>
      <c r="G601" s="172"/>
      <c r="H601" s="172"/>
      <c r="I601" s="172"/>
      <c r="J601" s="172"/>
      <c r="K601" s="172"/>
      <c r="L601" s="172"/>
      <c r="M601" s="172"/>
    </row>
    <row r="602" spans="5:13">
      <c r="E602" s="1393" t="s">
        <v>1082</v>
      </c>
      <c r="F602" s="172"/>
      <c r="G602" s="172"/>
      <c r="H602" s="172"/>
      <c r="I602" s="172"/>
      <c r="J602" s="172"/>
      <c r="K602" s="172"/>
      <c r="L602" s="172"/>
      <c r="M602" s="172"/>
    </row>
    <row r="603" spans="5:13">
      <c r="E603" s="1392">
        <f>E598</f>
        <v>43983</v>
      </c>
      <c r="F603" s="172"/>
      <c r="G603" s="172"/>
      <c r="H603" s="172"/>
      <c r="I603" s="172"/>
      <c r="J603" s="172"/>
      <c r="K603" s="172"/>
      <c r="L603" s="172">
        <f>K598</f>
        <v>114.4</v>
      </c>
      <c r="M603" s="172"/>
    </row>
    <row r="604" spans="5:13">
      <c r="E604" s="1392">
        <v>44348</v>
      </c>
      <c r="F604" s="172"/>
      <c r="G604" s="172"/>
      <c r="H604" s="172"/>
      <c r="I604" s="172"/>
      <c r="J604" s="172"/>
      <c r="K604" s="172"/>
      <c r="L604" s="172">
        <v>118.8</v>
      </c>
      <c r="M604" s="172"/>
    </row>
    <row r="605" spans="5:13">
      <c r="E605" s="1393"/>
      <c r="F605" s="172"/>
      <c r="G605" s="172"/>
      <c r="H605" s="172"/>
      <c r="I605" s="172"/>
      <c r="J605" s="172"/>
      <c r="K605" s="172"/>
      <c r="L605" s="172"/>
      <c r="M605" s="172"/>
    </row>
    <row r="606" spans="5:13" ht="13.8" thickBot="1">
      <c r="E606" s="1393" t="s">
        <v>1083</v>
      </c>
      <c r="F606" s="172"/>
      <c r="G606" s="172"/>
      <c r="H606" s="172"/>
      <c r="I606" s="172"/>
      <c r="J606" s="172"/>
      <c r="K606" s="172"/>
      <c r="L606" s="1391">
        <f>((L604/L603)-1)*100</f>
        <v>3.8461538461538325</v>
      </c>
      <c r="M606" s="172"/>
    </row>
    <row r="607" spans="5:13" ht="13.8" thickTop="1">
      <c r="E607" s="172"/>
      <c r="F607" s="172"/>
      <c r="G607" s="172"/>
      <c r="H607" s="172"/>
      <c r="I607" s="172"/>
      <c r="J607" s="172"/>
      <c r="K607" s="172"/>
      <c r="L607" s="172"/>
      <c r="M607" s="172"/>
    </row>
    <row r="608" spans="5:13">
      <c r="E608" s="1393" t="s">
        <v>1082</v>
      </c>
      <c r="F608" s="172"/>
      <c r="G608" s="172"/>
      <c r="H608" s="172"/>
      <c r="I608" s="172"/>
      <c r="J608" s="172"/>
      <c r="K608" s="172"/>
      <c r="L608" s="172"/>
      <c r="M608" s="172"/>
    </row>
    <row r="609" spans="5:13">
      <c r="E609" s="1392">
        <f>E604</f>
        <v>44348</v>
      </c>
      <c r="F609" s="172"/>
      <c r="G609" s="172"/>
      <c r="H609" s="172"/>
      <c r="I609" s="172"/>
      <c r="J609" s="172"/>
      <c r="K609" s="172"/>
      <c r="L609" s="172"/>
      <c r="M609" s="172">
        <f>L604</f>
        <v>118.8</v>
      </c>
    </row>
    <row r="610" spans="5:13">
      <c r="E610" s="1392">
        <v>44713</v>
      </c>
      <c r="F610" s="172"/>
      <c r="G610" s="172"/>
      <c r="H610" s="172"/>
      <c r="I610" s="172"/>
      <c r="J610" s="172"/>
      <c r="K610" s="172"/>
      <c r="L610" s="172"/>
      <c r="M610">
        <v>126.1</v>
      </c>
    </row>
    <row r="611" spans="5:13">
      <c r="E611" s="172"/>
      <c r="F611" s="172"/>
      <c r="G611" s="172"/>
      <c r="H611" s="172"/>
      <c r="I611" s="172"/>
      <c r="J611" s="172"/>
      <c r="K611" s="172"/>
      <c r="L611" s="172"/>
      <c r="M611" s="172"/>
    </row>
    <row r="612" spans="5:13" ht="13.8" thickBot="1">
      <c r="E612" s="172"/>
      <c r="F612" s="172"/>
      <c r="G612" s="172"/>
      <c r="H612" s="172"/>
      <c r="I612" s="172"/>
      <c r="J612" s="172"/>
      <c r="K612" s="172"/>
      <c r="L612" s="172"/>
      <c r="M612" s="1391">
        <f>((M610/M609)-1)*100</f>
        <v>6.1447811447811418</v>
      </c>
    </row>
    <row r="613" spans="5:13" ht="13.8" thickTop="1"/>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1:K56 Y7:Y56 L7:L56 X21:X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N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2" bestFit="1" customWidth="1"/>
    <col min="30" max="61" width="9.554687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6">
      <c r="A2" s="3"/>
      <c r="B2" s="203" t="str">
        <f>'DMS input'!$C$16&amp;" - Adjustment For Previous Period"&amp;" - TNSP RFM - version "&amp;Intro!$M$4</f>
        <v>Carpentaria Gas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6">
      <c r="A4" s="58"/>
      <c r="B4" s="59" t="s">
        <v>2</v>
      </c>
      <c r="C4" s="58"/>
      <c r="D4" s="58"/>
      <c r="E4" s="58"/>
      <c r="F4" s="105"/>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1.0232558139534831E-2</v>
      </c>
      <c r="H6" s="245">
        <f>'RFM input'!H$385</f>
        <v>1.9337016574585641E-2</v>
      </c>
      <c r="I6" s="252">
        <f>'RFM input'!I$385</f>
        <v>2.0776874435411097E-2</v>
      </c>
      <c r="J6" s="245">
        <f>'RFM input'!J$385</f>
        <v>1.5929203539823078E-2</v>
      </c>
      <c r="K6" s="245">
        <f>'RFM input'!K$385</f>
        <v>-3.4843205574912606E-3</v>
      </c>
      <c r="L6" s="245">
        <f>'RFM input'!L$385</f>
        <v>3.8461538461538325E-2</v>
      </c>
      <c r="M6" s="245">
        <f>'RFM input'!M$385</f>
        <v>6.1447811447811418E-2</v>
      </c>
      <c r="N6" s="245">
        <f>'RFM input'!N$385</f>
        <v>0</v>
      </c>
      <c r="O6" s="245">
        <f>'RFM input'!O$385</f>
        <v>0</v>
      </c>
      <c r="P6" s="245">
        <f>'RFM input'!P$385</f>
        <v>0</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1.0102325581395348</v>
      </c>
      <c r="I7" s="253">
        <f>'RFM input'!I$386</f>
        <v>1.029767441860465</v>
      </c>
      <c r="J7" s="253">
        <f>'RFM input'!J$386</f>
        <v>1.0511627906976744</v>
      </c>
      <c r="K7" s="253">
        <f>'RFM input'!K$386</f>
        <v>1.067906976744186</v>
      </c>
      <c r="L7" s="253">
        <f>'RFM input'!L$386</f>
        <v>1.064186046511628</v>
      </c>
      <c r="M7" s="253">
        <f>'RFM input'!M$386</f>
        <v>1.1051162790697673</v>
      </c>
      <c r="N7" s="253">
        <f>'RFM input'!N$386</f>
        <v>1.1730232558139533</v>
      </c>
      <c r="O7" s="253">
        <f>'RFM input'!O$386</f>
        <v>1.1730232558139533</v>
      </c>
      <c r="P7" s="253">
        <f>'RFM input'!P$386</f>
        <v>1.1730232558139533</v>
      </c>
      <c r="Q7" s="253">
        <f>'RFM input'!Q$386</f>
        <v>1.1730232558139533</v>
      </c>
      <c r="R7" s="25"/>
      <c r="S7" s="35"/>
      <c r="T7" s="25"/>
      <c r="U7" s="25"/>
      <c r="V7" s="25"/>
      <c r="W7" s="25"/>
      <c r="X7" s="25"/>
      <c r="Y7" s="25"/>
      <c r="Z7" s="25"/>
    </row>
    <row r="8" spans="1:26">
      <c r="A8" s="3"/>
      <c r="B8" s="71" t="s">
        <v>45</v>
      </c>
      <c r="C8" s="3"/>
      <c r="D8" s="3"/>
      <c r="E8" s="3"/>
      <c r="F8" s="254"/>
      <c r="G8" s="348"/>
      <c r="H8" s="254">
        <f>vanilla1</f>
        <v>5.2373390830024125E-2</v>
      </c>
      <c r="I8" s="255">
        <f>vanilla2</f>
        <v>5.1966696494946119E-2</v>
      </c>
      <c r="J8" s="255">
        <f>vanilla3</f>
        <v>4.8326341682757956E-2</v>
      </c>
      <c r="K8" s="255">
        <f>vanilla4</f>
        <v>1.8955260447490518E-2</v>
      </c>
      <c r="L8" s="255">
        <f>vanilla5</f>
        <v>5.4185067873302906E-2</v>
      </c>
      <c r="M8" s="255">
        <f>vanilla6</f>
        <v>8.9868361549495068E-2</v>
      </c>
      <c r="N8" s="255">
        <f>vanilla7</f>
        <v>-1.9607843137254943E-2</v>
      </c>
      <c r="O8" s="255">
        <f>vanilla8</f>
        <v>-1.9607843137254943E-2</v>
      </c>
      <c r="P8" s="255">
        <f>vanilla9</f>
        <v>-1.9607843137254943E-2</v>
      </c>
      <c r="Q8" s="255">
        <f>vanilla10</f>
        <v>-1.9607843137254943E-2</v>
      </c>
      <c r="R8" s="70"/>
      <c r="S8" s="35"/>
      <c r="T8" s="101"/>
      <c r="U8" s="101"/>
      <c r="V8" s="101"/>
      <c r="W8" s="101"/>
      <c r="X8" s="101"/>
      <c r="Y8" s="101"/>
      <c r="Z8" s="101"/>
    </row>
    <row r="9" spans="1:26">
      <c r="A9" s="3"/>
      <c r="B9" s="256" t="s">
        <v>28</v>
      </c>
      <c r="C9" s="172"/>
      <c r="D9" s="172"/>
      <c r="E9" s="172"/>
      <c r="F9" s="254"/>
      <c r="G9" s="348"/>
      <c r="H9" s="254">
        <f>'RFM input'!H$391</f>
        <v>3.240966796875E-2</v>
      </c>
      <c r="I9" s="254">
        <f>'RFM input'!I$391</f>
        <v>3.0554984973367505E-2</v>
      </c>
      <c r="J9" s="254">
        <f>'RFM input'!J$391</f>
        <v>3.1889169077975899E-2</v>
      </c>
      <c r="K9" s="254">
        <f>'RFM input'!K$391</f>
        <v>2.251804107842581E-2</v>
      </c>
      <c r="L9" s="254">
        <f>'RFM input'!L$391</f>
        <v>1.5141176470588213E-2</v>
      </c>
      <c r="M9" s="254">
        <f>'RFM input'!M$391</f>
        <v>2.6775268454242829E-2</v>
      </c>
      <c r="N9" s="254">
        <f>'RFM input'!N$391</f>
        <v>-1.9607843137254943E-2</v>
      </c>
      <c r="O9" s="254">
        <f>'RFM input'!O$391</f>
        <v>-1.9607843137254943E-2</v>
      </c>
      <c r="P9" s="254">
        <f>'RFM input'!P$391</f>
        <v>-1.9607843137254943E-2</v>
      </c>
      <c r="Q9" s="254">
        <f>'RFM input'!Q$391</f>
        <v>-1.9607843137254943E-2</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3.3761323594417614</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0.28598169103724558</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1.2516034431101927E-2</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9.187412422104484E-3</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0</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1.0594006085425263</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0.10688829895818489</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1.7759482827910556E-2</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1.8843988312226876</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0</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f>Asset15</f>
        <v>0</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3.3761323594417609</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0.28598169103724558</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1.2516034431101926E-2</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9.187412422104484E-3</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0</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1.0594006085425263</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0.10688829895818489</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1.775948282791056E-2</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1.8843988312226874</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0</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f>Asset15</f>
        <v>0</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0</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0</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f>Asset15</f>
        <v>0</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0</v>
      </c>
      <c r="I169" s="1269">
        <f t="shared" ref="I169:Q169" si="1">SUM(I170,I172,I174,I176,I178,I180,I182,I184,I186,I188,I190,I192,I194,I196,I198,I200,I202,I204,I206,I208,I210,I212,I214,I216,I218,I220,I222,I224,I226,I228,I230,I232,I234,I236,I238,I240,I242,I244,I246,I248,I250,I252,I254,I256,I258,I260,I262,I264,I266,I268)</f>
        <v>0</v>
      </c>
      <c r="J169" s="1269">
        <f t="shared" si="1"/>
        <v>0</v>
      </c>
      <c r="K169" s="1269">
        <f t="shared" si="1"/>
        <v>0</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0</v>
      </c>
      <c r="I192" s="1272">
        <f>($G129+(SUM($G192:H192)))*I$8</f>
        <v>0</v>
      </c>
      <c r="J192" s="1272">
        <f>IF(COUNT($H192:I192)&gt;='RFM input'!$AA$7,0,($G129+(SUM($G192:I192)))*J$8)</f>
        <v>0</v>
      </c>
      <c r="K192" s="1272">
        <f>IF(COUNT($H192:J192)&gt;='RFM input'!$AA$7,0,($G129+(SUM($G192:J192)))*K$8)</f>
        <v>0</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0</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f>Asset15</f>
        <v>0</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0</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3.3761323594417614</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0.28598169103724558</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1.2516034431101927E-2</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9.187412422104484E-3</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0</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1.0594006085425263</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0.10688829895818489</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1.7759482827910556E-2</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1.8843988312226876</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0</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f>Asset15</f>
        <v>0</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3.3761323594417609</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0.28598169103724558</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1.2516034431101926E-2</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9.187412422104484E-3</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0</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1.0594006085425263</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0.10688829895818489</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1.775948282791056E-2</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1.8843988312226874</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0</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f>Asset15</f>
        <v>0</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0</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0</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0</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0</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f>Asset15</f>
        <v>0</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0</v>
      </c>
      <c r="I430" s="1302">
        <f t="shared" ref="I430:Q430" si="4">SUM(I431,I433,I435,I437,I439,I441,I443,I445,I447,I449,I451,I453,I455,I457,I459,I461,I463,I465,I467,I469,I471,I473,I475,I477,I479,I481,I483,I485,I487,I489,I491,I493,I495,I497,I499,I501,I503,I505,I507,I509,I511,I513,I515,I517,I519,I521,I523,I525,I527,I529)</f>
        <v>0</v>
      </c>
      <c r="J430" s="1302">
        <f t="shared" si="4"/>
        <v>0</v>
      </c>
      <c r="K430" s="1302">
        <f t="shared" si="4"/>
        <v>0</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0</v>
      </c>
      <c r="I453" s="1272">
        <f>($G129+(SUM($G453:H453)))*I$9</f>
        <v>0</v>
      </c>
      <c r="J453" s="1272">
        <f>IF(COUNT($H453:I453)&gt;='RFM input'!$AA$7,0,($G129+(SUM($G453:I453)))*J$9)</f>
        <v>0</v>
      </c>
      <c r="K453" s="1272">
        <f>IF(COUNT($H453:J453)&gt;='RFM input'!$AA$7,0,($G129+(SUM($G453:J453)))*K$9)</f>
        <v>0</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0</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f>Asset15</f>
        <v>0</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0</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election activeCell="U115" sqref="U115"/>
    </sheetView>
  </sheetViews>
  <sheetFormatPr defaultColWidth="9.109375" defaultRowHeight="13.2" outlineLevelRow="2"/>
  <cols>
    <col min="1" max="1" width="2" style="172" customWidth="1"/>
    <col min="2" max="2" width="2.33203125" style="172" customWidth="1"/>
    <col min="3" max="3" width="25.33203125" style="172" customWidth="1"/>
    <col min="4" max="4" width="13.33203125" style="172" customWidth="1"/>
    <col min="5" max="5" width="20.88671875" style="172" bestFit="1" customWidth="1"/>
    <col min="6" max="6" width="3.5546875" style="172" customWidth="1"/>
    <col min="7" max="7" width="12.6640625" style="172" bestFit="1" customWidth="1"/>
    <col min="8" max="8" width="10" style="172" customWidth="1"/>
    <col min="9" max="9" width="10.33203125" style="172" customWidth="1"/>
    <col min="10" max="11" width="10" style="172" customWidth="1"/>
    <col min="12" max="13" width="10.6640625" style="172" customWidth="1"/>
    <col min="14" max="14" width="10.5546875" style="172" customWidth="1"/>
    <col min="15" max="62" width="9.5546875" style="172" bestFit="1" customWidth="1"/>
    <col min="63" max="16384" width="9.10937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6">
      <c r="A2" s="3"/>
      <c r="B2" s="3"/>
      <c r="C2" s="203" t="str">
        <f>'DMS input'!$C$16&amp;" - Asset Roll Forward"&amp;" - TNSP RFM - version "&amp;Intro!$M$4</f>
        <v>Carpentaria Gas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6">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1.0232558139534831E-2</v>
      </c>
      <c r="H6" s="12">
        <f>'RFM input'!H385</f>
        <v>1.9337016574585641E-2</v>
      </c>
      <c r="I6" s="12">
        <f>'RFM input'!I385</f>
        <v>2.0776874435411097E-2</v>
      </c>
      <c r="J6" s="12">
        <f>'RFM input'!J385</f>
        <v>1.5929203539823078E-2</v>
      </c>
      <c r="K6" s="12">
        <f>'RFM input'!K385</f>
        <v>-3.4843205574912606E-3</v>
      </c>
      <c r="L6" s="12">
        <f>'RFM input'!L385</f>
        <v>3.8461538461538325E-2</v>
      </c>
      <c r="M6" s="12">
        <f>'RFM input'!M385</f>
        <v>6.1447811447811418E-2</v>
      </c>
      <c r="N6" s="12">
        <f>'RFM input'!N385</f>
        <v>0</v>
      </c>
      <c r="O6" s="12">
        <f>'RFM input'!O385</f>
        <v>0</v>
      </c>
      <c r="P6" s="12">
        <f>'RFM input'!P385</f>
        <v>0</v>
      </c>
      <c r="Q6" s="12">
        <f>'RFM input'!Q385</f>
        <v>0</v>
      </c>
      <c r="R6" s="12"/>
      <c r="S6" s="62"/>
      <c r="T6" s="62"/>
      <c r="U6" s="62"/>
      <c r="V6" s="62"/>
      <c r="W6" s="62"/>
      <c r="X6" s="62"/>
      <c r="Y6" s="62"/>
      <c r="Z6" s="62"/>
    </row>
    <row r="7" spans="1:26">
      <c r="A7" s="3"/>
      <c r="B7" s="3"/>
      <c r="C7" s="3" t="s">
        <v>41</v>
      </c>
      <c r="D7" s="3"/>
      <c r="E7" s="3"/>
      <c r="F7" s="3"/>
      <c r="G7" s="130">
        <f>'RFM input'!G386</f>
        <v>1</v>
      </c>
      <c r="H7" s="137">
        <f>'RFM input'!H386</f>
        <v>1.0102325581395348</v>
      </c>
      <c r="I7" s="138">
        <f>'RFM input'!I386</f>
        <v>1.029767441860465</v>
      </c>
      <c r="J7" s="138">
        <f>'RFM input'!J386</f>
        <v>1.0511627906976744</v>
      </c>
      <c r="K7" s="138">
        <f>'RFM input'!K386</f>
        <v>1.067906976744186</v>
      </c>
      <c r="L7" s="138">
        <f>'RFM input'!L386</f>
        <v>1.064186046511628</v>
      </c>
      <c r="M7" s="138">
        <f>'RFM input'!M386</f>
        <v>1.1051162790697673</v>
      </c>
      <c r="N7" s="138">
        <f>'RFM input'!N386</f>
        <v>1.1730232558139533</v>
      </c>
      <c r="O7" s="138">
        <f>'RFM input'!O386</f>
        <v>1.1730232558139533</v>
      </c>
      <c r="P7" s="138">
        <f>'RFM input'!P386</f>
        <v>1.1730232558139533</v>
      </c>
      <c r="Q7" s="138">
        <f>'RFM input'!Q386</f>
        <v>1.1730232558139533</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2015-16)</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1396"/>
      <c r="U10" s="1396"/>
      <c r="V10" s="1396"/>
      <c r="W10" s="1396"/>
      <c r="X10" s="1396"/>
      <c r="Y10" s="1396"/>
      <c r="Z10" s="74"/>
    </row>
    <row r="11" spans="1:26">
      <c r="A11" s="3"/>
      <c r="B11" s="3"/>
      <c r="C11" s="29" t="s">
        <v>48</v>
      </c>
      <c r="D11" s="3"/>
      <c r="E11" s="3"/>
      <c r="F11" s="3"/>
      <c r="G11" s="1269"/>
      <c r="H11" s="1269">
        <f>SUM(H12:H61)</f>
        <v>1.2156911367573986</v>
      </c>
      <c r="I11" s="1269">
        <f t="shared" ref="I11:Q11" si="1">SUM(I12:I61)</f>
        <v>1.4273190874776596</v>
      </c>
      <c r="J11" s="1269">
        <f t="shared" si="1"/>
        <v>2.3797075866442068</v>
      </c>
      <c r="K11" s="1269">
        <f t="shared" si="1"/>
        <v>4.5980411938423265</v>
      </c>
      <c r="L11" s="1269">
        <f t="shared" si="1"/>
        <v>2.0565674079243914</v>
      </c>
      <c r="M11" s="1269">
        <f t="shared" si="1"/>
        <v>3.3902823722808395</v>
      </c>
      <c r="N11" s="1269">
        <f t="shared" si="1"/>
        <v>0</v>
      </c>
      <c r="O11" s="1269">
        <f t="shared" si="1"/>
        <v>0</v>
      </c>
      <c r="P11" s="1269">
        <f t="shared" si="1"/>
        <v>0</v>
      </c>
      <c r="Q11" s="1269">
        <f t="shared" si="1"/>
        <v>0</v>
      </c>
      <c r="S11" s="75"/>
      <c r="T11" s="1306"/>
      <c r="U11" s="1306"/>
      <c r="V11" s="1306"/>
      <c r="W11" s="1397"/>
      <c r="X11" s="1306"/>
      <c r="Y11" s="1306"/>
      <c r="Z11" s="75"/>
    </row>
    <row r="12" spans="1:26" hidden="1" outlineLevel="1">
      <c r="A12" s="3"/>
      <c r="B12" s="3"/>
      <c r="C12" s="29"/>
      <c r="D12" s="153" t="str">
        <f>Asset1</f>
        <v>Pipelines</v>
      </c>
      <c r="E12" s="3"/>
      <c r="F12" s="3"/>
      <c r="G12" s="1297"/>
      <c r="H12" s="1297">
        <f>'RFM input'!H169*(1+vanilla1)^0.5</f>
        <v>0</v>
      </c>
      <c r="I12" s="1297">
        <f>'RFM input'!I169*(1+vanilla2)^0.5</f>
        <v>0</v>
      </c>
      <c r="J12" s="1297">
        <f>'RFM input'!J169*(1+vanilla3)^0.5</f>
        <v>1.6585999827581629E-2</v>
      </c>
      <c r="K12" s="1297">
        <f>'RFM input'!K169*(1+vanilla4)^0.5</f>
        <v>1.2555796817991662</v>
      </c>
      <c r="L12" s="1297">
        <f>'RFM input'!L169*(1+vanilla5)^0.5</f>
        <v>0.59597829667249336</v>
      </c>
      <c r="M12" s="1297">
        <f>'RFM input'!M169*(1+vanilla6)^0.5</f>
        <v>0</v>
      </c>
      <c r="N12" s="1297">
        <f>'RFM input'!N169*(1+vanilla7)^0.5</f>
        <v>0</v>
      </c>
      <c r="O12" s="1297">
        <f>'RFM input'!O169*(1+vanilla8)^0.5</f>
        <v>0</v>
      </c>
      <c r="P12" s="1297">
        <f>'RFM input'!P169*(1+vanilla9)^0.5</f>
        <v>0</v>
      </c>
      <c r="Q12" s="1297">
        <f>'RFM input'!Q169*(1+vanilla10)^0.5</f>
        <v>0</v>
      </c>
      <c r="S12" s="75"/>
      <c r="T12" s="1306"/>
      <c r="U12" s="1306"/>
      <c r="V12" s="1306"/>
      <c r="W12" s="1306"/>
      <c r="X12" s="1306"/>
      <c r="Y12" s="1306"/>
      <c r="Z12" s="75"/>
    </row>
    <row r="13" spans="1:26" hidden="1" outlineLevel="1">
      <c r="A13" s="3"/>
      <c r="B13" s="3"/>
      <c r="C13" s="29"/>
      <c r="D13" s="153" t="str">
        <f>Asset2</f>
        <v>Compressors</v>
      </c>
      <c r="E13" s="3"/>
      <c r="F13" s="3"/>
      <c r="G13" s="1297"/>
      <c r="H13" s="1297">
        <f>'RFM input'!H170*(1+vanilla1)^0.5</f>
        <v>0.59282815241182396</v>
      </c>
      <c r="I13" s="1297">
        <f>'RFM input'!I170*(1+vanilla2)^0.5</f>
        <v>8.1097077714738109E-3</v>
      </c>
      <c r="J13" s="1297">
        <f>'RFM input'!J170*(1+vanilla3)^0.5</f>
        <v>0.28838550103752725</v>
      </c>
      <c r="K13" s="1297">
        <f>'RFM input'!K170*(1+vanilla4)^0.5</f>
        <v>0.19971131263167743</v>
      </c>
      <c r="L13" s="1297">
        <f>'RFM input'!L170*(1+vanilla5)^0.5</f>
        <v>0.58440242485123362</v>
      </c>
      <c r="M13" s="1297">
        <f>'RFM input'!M170*(1+vanilla6)^0.5</f>
        <v>2.7493447315228823E-17</v>
      </c>
      <c r="N13" s="1297">
        <f>'RFM input'!N170*(1+vanilla7)^0.5</f>
        <v>0</v>
      </c>
      <c r="O13" s="1297">
        <f>'RFM input'!O170*(1+vanilla8)^0.5</f>
        <v>0</v>
      </c>
      <c r="P13" s="1297">
        <f>'RFM input'!P170*(1+vanilla9)^0.5</f>
        <v>0</v>
      </c>
      <c r="Q13" s="1297">
        <f>'RFM input'!Q170*(1+vanilla10)^0.5</f>
        <v>0</v>
      </c>
      <c r="S13" s="75"/>
      <c r="T13" s="1306"/>
      <c r="U13" s="1306"/>
      <c r="V13" s="1306"/>
      <c r="W13" s="1397"/>
      <c r="X13" s="1306"/>
      <c r="Y13" s="1306"/>
      <c r="Z13" s="75"/>
    </row>
    <row r="14" spans="1:26" hidden="1" outlineLevel="1">
      <c r="A14" s="3"/>
      <c r="B14" s="3"/>
      <c r="C14" s="29"/>
      <c r="D14" s="153" t="str">
        <f>Asset3</f>
        <v>City Gates, supply regulators and valve stations</v>
      </c>
      <c r="E14" s="3"/>
      <c r="F14" s="3"/>
      <c r="G14" s="1297"/>
      <c r="H14" s="1297">
        <f>'RFM input'!H171*(1+vanilla1)^0.5</f>
        <v>0</v>
      </c>
      <c r="I14" s="1297">
        <f>'RFM input'!I171*(1+vanilla2)^0.5</f>
        <v>0</v>
      </c>
      <c r="J14" s="1297">
        <f>'RFM input'!J171*(1+vanilla3)^0.5</f>
        <v>0</v>
      </c>
      <c r="K14" s="1297">
        <f>'RFM input'!K171*(1+vanilla4)^0.5</f>
        <v>0</v>
      </c>
      <c r="L14" s="1297">
        <f>'RFM input'!L171*(1+vanilla5)^0.5</f>
        <v>0</v>
      </c>
      <c r="M14" s="1297">
        <f>'RFM input'!M171*(1+vanilla6)^0.5</f>
        <v>0</v>
      </c>
      <c r="N14" s="1297">
        <f>'RFM input'!N171*(1+vanilla7)^0.5</f>
        <v>0</v>
      </c>
      <c r="O14" s="1297">
        <f>'RFM input'!O171*(1+vanilla8)^0.5</f>
        <v>0</v>
      </c>
      <c r="P14" s="1297">
        <f>'RFM input'!P171*(1+vanilla9)^0.5</f>
        <v>0</v>
      </c>
      <c r="Q14" s="1297">
        <f>'RFM input'!Q171*(1+vanilla10)^0.5</f>
        <v>0</v>
      </c>
      <c r="S14" s="75"/>
      <c r="T14" s="1306"/>
      <c r="U14" s="1306"/>
      <c r="V14" s="1306"/>
      <c r="W14" s="1306"/>
      <c r="X14" s="1306"/>
      <c r="Y14" s="1306"/>
      <c r="Z14" s="75"/>
    </row>
    <row r="15" spans="1:26" hidden="1" outlineLevel="1">
      <c r="A15" s="3"/>
      <c r="B15" s="3"/>
      <c r="C15" s="29"/>
      <c r="D15" s="153" t="str">
        <f>Asset4</f>
        <v>Metering</v>
      </c>
      <c r="E15" s="3"/>
      <c r="F15" s="3"/>
      <c r="G15" s="1297"/>
      <c r="H15" s="1297">
        <f>'RFM input'!H172*(1+vanilla1)^0.5</f>
        <v>0</v>
      </c>
      <c r="I15" s="1297">
        <f>'RFM input'!I172*(1+vanilla2)^0.5</f>
        <v>0</v>
      </c>
      <c r="J15" s="1297">
        <f>'RFM input'!J172*(1+vanilla3)^0.5</f>
        <v>0</v>
      </c>
      <c r="K15" s="1297">
        <f>'RFM input'!K172*(1+vanilla4)^0.5</f>
        <v>0</v>
      </c>
      <c r="L15" s="1297">
        <f>'RFM input'!L172*(1+vanilla5)^0.5</f>
        <v>0</v>
      </c>
      <c r="M15" s="1297">
        <f>'RFM input'!M172*(1+vanilla6)^0.5</f>
        <v>0.39114156088463314</v>
      </c>
      <c r="N15" s="1297">
        <f>'RFM input'!N172*(1+vanilla7)^0.5</f>
        <v>0</v>
      </c>
      <c r="O15" s="1297">
        <f>'RFM input'!O172*(1+vanilla8)^0.5</f>
        <v>0</v>
      </c>
      <c r="P15" s="1297">
        <f>'RFM input'!P172*(1+vanilla9)^0.5</f>
        <v>0</v>
      </c>
      <c r="Q15" s="1297">
        <f>'RFM input'!Q172*(1+vanilla10)^0.5</f>
        <v>0</v>
      </c>
      <c r="S15" s="75"/>
      <c r="T15" s="1306"/>
      <c r="U15" s="1306"/>
      <c r="V15" s="1306"/>
      <c r="W15" s="1306"/>
      <c r="X15" s="1306"/>
      <c r="Y15" s="1306"/>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0</v>
      </c>
      <c r="K16" s="1297">
        <f>'RFM input'!K173*(1+vanilla4)^0.5</f>
        <v>0</v>
      </c>
      <c r="L16" s="1297">
        <f>'RFM input'!L173*(1+vanilla5)^0.5</f>
        <v>0</v>
      </c>
      <c r="M16" s="1297">
        <f>'RFM input'!M173*(1+vanilla6)^0.5</f>
        <v>0</v>
      </c>
      <c r="N16" s="1297">
        <f>'RFM input'!N173*(1+vanilla7)^0.5</f>
        <v>0</v>
      </c>
      <c r="O16" s="1297">
        <f>'RFM input'!O173*(1+vanilla8)^0.5</f>
        <v>0</v>
      </c>
      <c r="P16" s="1297">
        <f>'RFM input'!P173*(1+vanilla9)^0.5</f>
        <v>0</v>
      </c>
      <c r="Q16" s="1297">
        <f>'RFM input'!Q173*(1+vanilla10)^0.5</f>
        <v>0</v>
      </c>
      <c r="S16" s="75"/>
      <c r="T16" s="1306"/>
      <c r="U16" s="1306"/>
      <c r="V16" s="1306"/>
      <c r="W16" s="1306"/>
      <c r="X16" s="1306"/>
      <c r="Y16" s="1306"/>
      <c r="Z16" s="75"/>
    </row>
    <row r="17" spans="1:26" hidden="1" outlineLevel="1">
      <c r="A17" s="3"/>
      <c r="B17" s="3"/>
      <c r="C17" s="29"/>
      <c r="D17" s="153" t="str">
        <f>Asset6</f>
        <v>SCADA (Communications)</v>
      </c>
      <c r="E17" s="3"/>
      <c r="F17" s="3"/>
      <c r="G17" s="1297"/>
      <c r="H17" s="1297">
        <f>'RFM input'!H174*(1+vanilla1)^0.5</f>
        <v>4.018232908629446E-3</v>
      </c>
      <c r="I17" s="1297">
        <f>'RFM input'!I174*(1+vanilla2)^0.5</f>
        <v>7.9627750135115166E-2</v>
      </c>
      <c r="J17" s="1297">
        <f>'RFM input'!J174*(1+vanilla3)^0.5</f>
        <v>0.34155604179354843</v>
      </c>
      <c r="K17" s="1297">
        <f>'RFM input'!K174*(1+vanilla4)^0.5</f>
        <v>0.22134897885526747</v>
      </c>
      <c r="L17" s="1297">
        <f>'RFM input'!L174*(1+vanilla5)^0.5</f>
        <v>0</v>
      </c>
      <c r="M17" s="1297">
        <f>'RFM input'!M174*(1+vanilla6)^0.5</f>
        <v>0</v>
      </c>
      <c r="N17" s="1297">
        <f>'RFM input'!N174*(1+vanilla7)^0.5</f>
        <v>0</v>
      </c>
      <c r="O17" s="1297">
        <f>'RFM input'!O174*(1+vanilla8)^0.5</f>
        <v>0</v>
      </c>
      <c r="P17" s="1297">
        <f>'RFM input'!P174*(1+vanilla9)^0.5</f>
        <v>0</v>
      </c>
      <c r="Q17" s="1297">
        <f>'RFM input'!Q174*(1+vanilla10)^0.5</f>
        <v>0</v>
      </c>
      <c r="S17" s="75"/>
      <c r="T17" s="1306"/>
      <c r="U17" s="1306"/>
      <c r="V17" s="1306"/>
      <c r="W17" s="1306"/>
      <c r="X17" s="1306"/>
      <c r="Y17" s="1306"/>
      <c r="Z17" s="75"/>
    </row>
    <row r="18" spans="1:26" hidden="1" outlineLevel="1">
      <c r="A18" s="3"/>
      <c r="B18" s="3"/>
      <c r="C18" s="29"/>
      <c r="D18" s="153" t="str">
        <f>Asset7</f>
        <v>Buildings</v>
      </c>
      <c r="E18" s="3"/>
      <c r="F18" s="3"/>
      <c r="G18" s="1297"/>
      <c r="H18" s="1297">
        <f>'RFM input'!H175*(1+vanilla1)^0.5</f>
        <v>0</v>
      </c>
      <c r="I18" s="1297">
        <f>'RFM input'!I175*(1+vanilla2)^0.5</f>
        <v>0</v>
      </c>
      <c r="J18" s="1297">
        <f>'RFM input'!J175*(1+vanilla3)^0.5</f>
        <v>0</v>
      </c>
      <c r="K18" s="1297">
        <f>'RFM input'!K175*(1+vanilla4)^0.5</f>
        <v>0</v>
      </c>
      <c r="L18" s="1297">
        <f>'RFM input'!L175*(1+vanilla5)^0.5</f>
        <v>0</v>
      </c>
      <c r="M18" s="1297">
        <f>'RFM input'!M175*(1+vanilla6)^0.5</f>
        <v>0</v>
      </c>
      <c r="N18" s="1297">
        <f>'RFM input'!N175*(1+vanilla7)^0.5</f>
        <v>0</v>
      </c>
      <c r="O18" s="1297">
        <f>'RFM input'!O175*(1+vanilla8)^0.5</f>
        <v>0</v>
      </c>
      <c r="P18" s="1297">
        <f>'RFM input'!P175*(1+vanilla9)^0.5</f>
        <v>0</v>
      </c>
      <c r="Q18" s="1297">
        <f>'RFM input'!Q175*(1+vanilla10)^0.5</f>
        <v>0</v>
      </c>
      <c r="S18" s="75"/>
      <c r="T18" s="1306"/>
      <c r="U18" s="1306"/>
      <c r="V18" s="1306"/>
      <c r="W18" s="1306"/>
      <c r="X18" s="1306"/>
      <c r="Y18" s="1306"/>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v>
      </c>
      <c r="M19" s="1297">
        <f>'RFM input'!M176*(1+vanilla6)^0.5</f>
        <v>0</v>
      </c>
      <c r="N19" s="1297">
        <f>'RFM input'!N176*(1+vanilla7)^0.5</f>
        <v>0</v>
      </c>
      <c r="O19" s="1297">
        <f>'RFM input'!O176*(1+vanilla8)^0.5</f>
        <v>0</v>
      </c>
      <c r="P19" s="1297">
        <f>'RFM input'!P176*(1+vanilla9)^0.5</f>
        <v>0</v>
      </c>
      <c r="Q19" s="1297">
        <f>'RFM input'!Q176*(1+vanilla10)^0.5</f>
        <v>0</v>
      </c>
      <c r="S19" s="75"/>
      <c r="T19" s="1306"/>
      <c r="U19" s="1306"/>
      <c r="V19" s="1306"/>
      <c r="W19" s="1306"/>
      <c r="X19" s="1306"/>
      <c r="Y19" s="1306"/>
      <c r="Z19" s="75"/>
    </row>
    <row r="20" spans="1:26" hidden="1" outlineLevel="1">
      <c r="A20" s="3"/>
      <c r="B20" s="3"/>
      <c r="C20" s="29"/>
      <c r="D20" s="153" t="str">
        <f>Asset9</f>
        <v>Other depreciable pipeline assets</v>
      </c>
      <c r="E20" s="3"/>
      <c r="F20" s="3"/>
      <c r="G20" s="1297"/>
      <c r="H20" s="1297">
        <f>'RFM input'!H177*(1+vanilla1)^0.5</f>
        <v>1.3538562513910463E-2</v>
      </c>
      <c r="I20" s="1297">
        <f>'RFM input'!I177*(1+vanilla2)^0.5</f>
        <v>0.34552992698136775</v>
      </c>
      <c r="J20" s="1297">
        <f>'RFM input'!J177*(1+vanilla3)^0.5</f>
        <v>0.19653693727741198</v>
      </c>
      <c r="K20" s="1297">
        <f>'RFM input'!K177*(1+vanilla4)^0.5</f>
        <v>9.0603617861056057E-2</v>
      </c>
      <c r="L20" s="1297">
        <f>'RFM input'!L177*(1+vanilla5)^0.5</f>
        <v>7.8928236301896992E-2</v>
      </c>
      <c r="M20" s="1297">
        <f>'RFM input'!M177*(1+vanilla6)^0.5</f>
        <v>-0.10492289518889629</v>
      </c>
      <c r="N20" s="1297">
        <f>'RFM input'!N177*(1+vanilla7)^0.5</f>
        <v>0</v>
      </c>
      <c r="O20" s="1297">
        <f>'RFM input'!O177*(1+vanilla8)^0.5</f>
        <v>0</v>
      </c>
      <c r="P20" s="1297">
        <f>'RFM input'!P177*(1+vanilla9)^0.5</f>
        <v>0</v>
      </c>
      <c r="Q20" s="1297">
        <f>'RFM input'!Q177*(1+vanilla10)^0.5</f>
        <v>0</v>
      </c>
      <c r="S20" s="75"/>
      <c r="T20" s="1306"/>
      <c r="U20" s="1306"/>
      <c r="V20" s="1306"/>
      <c r="W20" s="1397"/>
      <c r="X20" s="1306"/>
      <c r="Y20" s="1306"/>
      <c r="Z20" s="75"/>
    </row>
    <row r="21" spans="1:26" hidden="1" outlineLevel="1">
      <c r="A21" s="3"/>
      <c r="B21" s="3"/>
      <c r="C21" s="29"/>
      <c r="D21" s="153" t="str">
        <f>Asset10</f>
        <v>IT Systems</v>
      </c>
      <c r="E21" s="3"/>
      <c r="F21" s="3"/>
      <c r="G21" s="1297"/>
      <c r="H21" s="1297">
        <f>'RFM input'!H178*(1+vanilla1)^0.5</f>
        <v>0</v>
      </c>
      <c r="I21" s="1297">
        <f>'RFM input'!I178*(1+vanilla2)^0.5</f>
        <v>1.7280699493267898E-3</v>
      </c>
      <c r="J21" s="1297">
        <f>'RFM input'!J178*(1+vanilla3)^0.5</f>
        <v>0</v>
      </c>
      <c r="K21" s="1297">
        <f>'RFM input'!K178*(1+vanilla4)^0.5</f>
        <v>0.98087075021172687</v>
      </c>
      <c r="L21" s="1297">
        <f>'RFM input'!L178*(1+vanilla5)^0.5</f>
        <v>5.9162750721238478E-9</v>
      </c>
      <c r="M21" s="1297">
        <f>'RFM input'!M178*(1+vanilla6)^0.5</f>
        <v>0</v>
      </c>
      <c r="N21" s="1297">
        <f>'RFM input'!N178*(1+vanilla7)^0.5</f>
        <v>0</v>
      </c>
      <c r="O21" s="1297">
        <f>'RFM input'!O178*(1+vanilla8)^0.5</f>
        <v>0</v>
      </c>
      <c r="P21" s="1297">
        <f>'RFM input'!P178*(1+vanilla9)^0.5</f>
        <v>0</v>
      </c>
      <c r="Q21" s="1297">
        <f>'RFM input'!Q178*(1+vanilla10)^0.5</f>
        <v>0</v>
      </c>
      <c r="S21" s="75"/>
      <c r="T21" s="1306"/>
      <c r="U21" s="1306"/>
      <c r="V21" s="1306"/>
      <c r="W21" s="1397"/>
      <c r="X21" s="1306"/>
      <c r="Y21" s="1306"/>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v>
      </c>
      <c r="O22" s="1297">
        <f>'RFM input'!O179*(1+vanilla8)^0.5</f>
        <v>0</v>
      </c>
      <c r="P22" s="1297">
        <f>'RFM input'!P179*(1+vanilla9)^0.5</f>
        <v>0</v>
      </c>
      <c r="Q22" s="1297">
        <f>'RFM input'!Q179*(1+vanilla10)^0.5</f>
        <v>0</v>
      </c>
      <c r="S22" s="75"/>
      <c r="T22" s="1306"/>
      <c r="U22" s="1306"/>
      <c r="V22" s="1306"/>
      <c r="W22" s="1306"/>
      <c r="X22" s="1306"/>
      <c r="Y22" s="1306"/>
      <c r="Z22" s="75"/>
    </row>
    <row r="23" spans="1:26" hidden="1" outlineLevel="1">
      <c r="A23" s="3"/>
      <c r="B23" s="3"/>
      <c r="C23" s="29"/>
      <c r="D23" s="153" t="str">
        <f>Asset12</f>
        <v>Shared supporting assets</v>
      </c>
      <c r="E23" s="3"/>
      <c r="F23" s="3"/>
      <c r="G23" s="1297"/>
      <c r="H23" s="1297">
        <f>'RFM input'!H180*(1+vanilla1)^0.5</f>
        <v>0.60530618892303467</v>
      </c>
      <c r="I23" s="1297">
        <f>'RFM input'!I180*(1+vanilla2)^0.5</f>
        <v>0.99232363264037593</v>
      </c>
      <c r="J23" s="1297">
        <f>'RFM input'!J180*(1+vanilla3)^0.5</f>
        <v>1.5366431067081374</v>
      </c>
      <c r="K23" s="1297">
        <f>'RFM input'!K180*(1+vanilla4)^0.5</f>
        <v>1.0191130168188069</v>
      </c>
      <c r="L23" s="1297">
        <f>'RFM input'!L180*(1+vanilla5)^0.5</f>
        <v>0.60304033503403243</v>
      </c>
      <c r="M23" s="1297">
        <f>'RFM input'!M180*(1+vanilla6)^0.5</f>
        <v>2.8858021545258667</v>
      </c>
      <c r="N23" s="1297">
        <f>'RFM input'!N180*(1+vanilla7)^0.5</f>
        <v>0</v>
      </c>
      <c r="O23" s="1297">
        <f>'RFM input'!O180*(1+vanilla8)^0.5</f>
        <v>0</v>
      </c>
      <c r="P23" s="1297">
        <f>'RFM input'!P180*(1+vanilla9)^0.5</f>
        <v>0</v>
      </c>
      <c r="Q23" s="1297">
        <f>'RFM input'!Q180*(1+vanilla10)^0.5</f>
        <v>0</v>
      </c>
      <c r="S23" s="75"/>
      <c r="T23" s="1306"/>
      <c r="U23" s="1306"/>
      <c r="V23" s="1306"/>
      <c r="W23" s="1306"/>
      <c r="X23" s="1306"/>
      <c r="Y23" s="1306"/>
      <c r="Z23" s="75"/>
    </row>
    <row r="24" spans="1:26" hidden="1" outlineLevel="1">
      <c r="A24" s="3"/>
      <c r="B24" s="3"/>
      <c r="C24" s="29"/>
      <c r="D24" s="153" t="str">
        <f>Asset13</f>
        <v>Shared leased assets</v>
      </c>
      <c r="E24" s="3"/>
      <c r="F24" s="3"/>
      <c r="G24" s="1297"/>
      <c r="H24" s="1297">
        <f>'RFM input'!H181*(1+vanilla1)^0.5</f>
        <v>0</v>
      </c>
      <c r="I24" s="1297">
        <f>'RFM input'!I181*(1+vanilla2)^0.5</f>
        <v>0</v>
      </c>
      <c r="J24" s="1297">
        <f>'RFM input'!J181*(1+vanilla3)^0.5</f>
        <v>0</v>
      </c>
      <c r="K24" s="1297">
        <f>'RFM input'!K181*(1+vanilla4)^0.5</f>
        <v>0.8308138356646253</v>
      </c>
      <c r="L24" s="1297">
        <f>'RFM input'!L181*(1+vanilla5)^0.5</f>
        <v>0.19421810914845988</v>
      </c>
      <c r="M24" s="1297">
        <f>'RFM input'!M181*(1+vanilla6)^0.5</f>
        <v>0.2182615520592362</v>
      </c>
      <c r="N24" s="1297">
        <f>'RFM input'!N181*(1+vanilla7)^0.5</f>
        <v>0</v>
      </c>
      <c r="O24" s="1297">
        <f>'RFM input'!O181*(1+vanilla8)^0.5</f>
        <v>0</v>
      </c>
      <c r="P24" s="1297">
        <f>'RFM input'!P181*(1+vanilla9)^0.5</f>
        <v>0</v>
      </c>
      <c r="Q24" s="1297">
        <f>'RFM input'!Q181*(1+vanilla10)^0.5</f>
        <v>0</v>
      </c>
      <c r="S24" s="75"/>
      <c r="T24" s="1306"/>
      <c r="U24" s="1306"/>
      <c r="V24" s="1306"/>
      <c r="W24" s="1306"/>
      <c r="X24" s="1306"/>
      <c r="Y24" s="1306"/>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S25" s="75"/>
      <c r="T25" s="1306"/>
      <c r="U25" s="1306"/>
      <c r="V25" s="1306"/>
      <c r="W25" s="1306"/>
      <c r="X25" s="1306"/>
      <c r="Y25" s="1306"/>
      <c r="Z25" s="75"/>
    </row>
    <row r="26" spans="1:26" hidden="1" outlineLevel="1">
      <c r="A26" s="3"/>
      <c r="B26" s="3"/>
      <c r="C26" s="29"/>
      <c r="D26" s="153">
        <f>Asset15</f>
        <v>0</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v>
      </c>
      <c r="O26" s="1297">
        <f>'RFM input'!O183*(1+vanilla8)^0.5</f>
        <v>0</v>
      </c>
      <c r="P26" s="1297">
        <f>'RFM input'!P183*(1+vanilla9)^0.5</f>
        <v>0</v>
      </c>
      <c r="Q26" s="1297">
        <f>'RFM input'!Q183*(1+vanilla10)^0.5</f>
        <v>0</v>
      </c>
      <c r="S26" s="75"/>
      <c r="T26" s="1306"/>
      <c r="U26" s="1306"/>
      <c r="V26" s="1306"/>
      <c r="W26" s="1306"/>
      <c r="X26" s="1306"/>
      <c r="Y26" s="1306"/>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S27" s="75"/>
      <c r="T27" s="1269"/>
      <c r="U27" s="1269"/>
      <c r="V27" s="1269"/>
      <c r="W27" s="1269"/>
      <c r="X27" s="1269"/>
      <c r="Y27" s="1269"/>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S28" s="75"/>
      <c r="T28" s="1269"/>
      <c r="U28" s="1269"/>
      <c r="V28" s="1269"/>
      <c r="W28" s="1269"/>
      <c r="X28" s="1269"/>
      <c r="Y28" s="1269"/>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S29" s="75"/>
      <c r="T29" s="1269"/>
      <c r="U29" s="1269"/>
      <c r="V29" s="1269"/>
      <c r="W29" s="1269"/>
      <c r="X29" s="1269"/>
      <c r="Y29" s="1269"/>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S30" s="75"/>
      <c r="T30" s="1269"/>
      <c r="U30" s="1269"/>
      <c r="V30" s="1269"/>
      <c r="W30" s="1269"/>
      <c r="X30" s="1269"/>
      <c r="Y30" s="1269"/>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S31" s="75"/>
      <c r="T31" s="1269"/>
      <c r="U31" s="1269"/>
      <c r="V31" s="1269"/>
      <c r="W31" s="1269"/>
      <c r="X31" s="1269"/>
      <c r="Y31" s="1269"/>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S32" s="75"/>
      <c r="T32" s="1269"/>
      <c r="U32" s="1269"/>
      <c r="V32" s="1269"/>
      <c r="W32" s="1269"/>
      <c r="X32" s="1269"/>
      <c r="Y32" s="1269"/>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S33" s="75"/>
      <c r="T33" s="1269"/>
      <c r="U33" s="1269"/>
      <c r="V33" s="1269"/>
      <c r="W33" s="1269"/>
      <c r="X33" s="1269"/>
      <c r="Y33" s="1269"/>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S34" s="75"/>
      <c r="T34" s="1269"/>
      <c r="U34" s="1269"/>
      <c r="V34" s="1269"/>
      <c r="W34" s="1269"/>
      <c r="X34" s="1269"/>
      <c r="Y34" s="1269"/>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S35" s="75"/>
      <c r="T35" s="1269"/>
      <c r="U35" s="1269"/>
      <c r="V35" s="1269"/>
      <c r="W35" s="1269"/>
      <c r="X35" s="1269"/>
      <c r="Y35" s="1269"/>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S36" s="75"/>
      <c r="T36" s="1269"/>
      <c r="U36" s="1269"/>
      <c r="V36" s="1269"/>
      <c r="W36" s="1269"/>
      <c r="X36" s="1269"/>
      <c r="Y36" s="1269"/>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S37" s="75"/>
      <c r="T37" s="1269"/>
      <c r="U37" s="1269"/>
      <c r="V37" s="1269"/>
      <c r="W37" s="1269"/>
      <c r="X37" s="1269"/>
      <c r="Y37" s="1269"/>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S38" s="75"/>
      <c r="T38" s="1269"/>
      <c r="U38" s="1269"/>
      <c r="V38" s="1269"/>
      <c r="W38" s="1269"/>
      <c r="X38" s="1269"/>
      <c r="Y38" s="1269"/>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S39" s="75"/>
      <c r="T39" s="1269"/>
      <c r="U39" s="1269"/>
      <c r="V39" s="1269"/>
      <c r="W39" s="1269"/>
      <c r="X39" s="1269"/>
      <c r="Y39" s="1269"/>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S40" s="75"/>
      <c r="T40" s="1269"/>
      <c r="U40" s="1269"/>
      <c r="V40" s="1269"/>
      <c r="W40" s="1269"/>
      <c r="X40" s="1269"/>
      <c r="Y40" s="1269"/>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S41" s="75"/>
      <c r="T41" s="1269"/>
      <c r="U41" s="1269"/>
      <c r="V41" s="1269"/>
      <c r="W41" s="1269"/>
      <c r="X41" s="1269"/>
      <c r="Y41" s="1269"/>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S42" s="75"/>
      <c r="T42" s="1269"/>
      <c r="U42" s="1269"/>
      <c r="V42" s="1269"/>
      <c r="W42" s="1269"/>
      <c r="X42" s="1269"/>
      <c r="Y42" s="1269"/>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S43" s="75"/>
      <c r="T43" s="1269"/>
      <c r="U43" s="1269"/>
      <c r="V43" s="1269"/>
      <c r="W43" s="1269"/>
      <c r="X43" s="1269"/>
      <c r="Y43" s="1269"/>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S44" s="75"/>
      <c r="T44" s="1269"/>
      <c r="U44" s="1269"/>
      <c r="V44" s="1269"/>
      <c r="W44" s="1269"/>
      <c r="X44" s="1269"/>
      <c r="Y44" s="1269"/>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S45" s="75"/>
      <c r="T45" s="1269"/>
      <c r="U45" s="1269"/>
      <c r="V45" s="1269"/>
      <c r="W45" s="1269"/>
      <c r="X45" s="1269"/>
      <c r="Y45" s="1269"/>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S46" s="75"/>
      <c r="T46" s="1269"/>
      <c r="U46" s="1269"/>
      <c r="V46" s="1269"/>
      <c r="W46" s="1269"/>
      <c r="X46" s="1269"/>
      <c r="Y46" s="1269"/>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S47" s="75"/>
      <c r="T47" s="1269"/>
      <c r="U47" s="1269"/>
      <c r="V47" s="1269"/>
      <c r="W47" s="1269"/>
      <c r="X47" s="1269"/>
      <c r="Y47" s="1269"/>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S48" s="75"/>
      <c r="T48" s="1269"/>
      <c r="U48" s="1269"/>
      <c r="V48" s="1269"/>
      <c r="W48" s="1269"/>
      <c r="X48" s="1269"/>
      <c r="Y48" s="1269"/>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S49" s="75"/>
      <c r="T49" s="1269"/>
      <c r="U49" s="1269"/>
      <c r="V49" s="1269"/>
      <c r="W49" s="1269"/>
      <c r="X49" s="1269"/>
      <c r="Y49" s="1269"/>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S50" s="75"/>
      <c r="T50" s="1269"/>
      <c r="U50" s="1269"/>
      <c r="V50" s="1269"/>
      <c r="W50" s="1269"/>
      <c r="X50" s="1269"/>
      <c r="Y50" s="1269"/>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S51" s="75"/>
      <c r="T51" s="1269"/>
      <c r="U51" s="1269"/>
      <c r="V51" s="1269"/>
      <c r="W51" s="1269"/>
      <c r="X51" s="1269"/>
      <c r="Y51" s="1269"/>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S52" s="75"/>
      <c r="T52" s="1269"/>
      <c r="U52" s="1269"/>
      <c r="V52" s="1269"/>
      <c r="W52" s="1269"/>
      <c r="X52" s="1269"/>
      <c r="Y52" s="1269"/>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S53" s="75"/>
      <c r="T53" s="1269"/>
      <c r="U53" s="1269"/>
      <c r="V53" s="1269"/>
      <c r="W53" s="1269"/>
      <c r="X53" s="1269"/>
      <c r="Y53" s="1269"/>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S54" s="75"/>
      <c r="T54" s="1269"/>
      <c r="U54" s="1269"/>
      <c r="V54" s="1269"/>
      <c r="W54" s="1269"/>
      <c r="X54" s="1269"/>
      <c r="Y54" s="1269"/>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S55" s="75"/>
      <c r="T55" s="1269"/>
      <c r="U55" s="1269"/>
      <c r="V55" s="1269"/>
      <c r="W55" s="1269"/>
      <c r="X55" s="1269"/>
      <c r="Y55" s="1269"/>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S56" s="75"/>
      <c r="T56" s="1269"/>
      <c r="U56" s="1269"/>
      <c r="V56" s="1269"/>
      <c r="W56" s="1269"/>
      <c r="X56" s="1269"/>
      <c r="Y56" s="1269"/>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S57" s="75"/>
      <c r="T57" s="1269"/>
      <c r="U57" s="1269"/>
      <c r="V57" s="1269"/>
      <c r="W57" s="1269"/>
      <c r="X57" s="1269"/>
      <c r="Y57" s="1269"/>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S58" s="75"/>
      <c r="T58" s="1269"/>
      <c r="U58" s="1269"/>
      <c r="V58" s="1269"/>
      <c r="W58" s="1269"/>
      <c r="X58" s="1269"/>
      <c r="Y58" s="1269"/>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S59" s="75"/>
      <c r="T59" s="1269"/>
      <c r="U59" s="1269"/>
      <c r="V59" s="1269"/>
      <c r="W59" s="1269"/>
      <c r="X59" s="1269"/>
      <c r="Y59" s="1269"/>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S60" s="75"/>
      <c r="T60" s="1269"/>
      <c r="U60" s="1269"/>
      <c r="V60" s="1269"/>
      <c r="W60" s="1269"/>
      <c r="X60" s="1269"/>
      <c r="Y60" s="1269"/>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S61" s="75"/>
      <c r="T61" s="1269"/>
      <c r="U61" s="1269"/>
      <c r="V61" s="1269"/>
      <c r="W61" s="1269"/>
      <c r="X61" s="1269"/>
      <c r="Y61" s="1269"/>
      <c r="Z61" s="75"/>
    </row>
    <row r="62" spans="1:26" collapsed="1">
      <c r="A62" s="3"/>
      <c r="B62" s="3"/>
      <c r="C62" s="29"/>
      <c r="D62" s="86"/>
      <c r="E62" s="3"/>
      <c r="F62" s="3"/>
      <c r="G62" s="1269"/>
      <c r="H62" s="1269"/>
      <c r="I62" s="1269"/>
      <c r="J62" s="1269"/>
      <c r="K62" s="1269"/>
      <c r="L62" s="1269"/>
      <c r="M62" s="1269"/>
      <c r="N62" s="1269"/>
      <c r="O62" s="1269"/>
      <c r="P62" s="1269"/>
      <c r="Q62" s="1269"/>
      <c r="S62" s="75"/>
      <c r="T62" s="1269"/>
      <c r="U62" s="1269"/>
      <c r="V62" s="1269"/>
      <c r="W62" s="1269"/>
      <c r="X62" s="1269"/>
      <c r="Y62" s="1269"/>
      <c r="Z62" s="75"/>
    </row>
    <row r="63" spans="1:26">
      <c r="A63" s="3"/>
      <c r="B63" s="3"/>
      <c r="C63" s="29" t="s">
        <v>49</v>
      </c>
      <c r="D63" s="3"/>
      <c r="E63" s="3"/>
      <c r="F63" s="3"/>
      <c r="G63" s="1269"/>
      <c r="H63" s="1269">
        <f>SUM(H64:H113)</f>
        <v>1.2156911367573986</v>
      </c>
      <c r="I63" s="1269">
        <f t="shared" ref="I63:Q63" si="2">SUM(I64:I113)</f>
        <v>1.4273190874776596</v>
      </c>
      <c r="J63" s="1269">
        <f t="shared" si="2"/>
        <v>2.3797075866442068</v>
      </c>
      <c r="K63" s="1269">
        <f t="shared" si="2"/>
        <v>4.5980411938423265</v>
      </c>
      <c r="L63" s="1269">
        <f t="shared" si="2"/>
        <v>2.0565674079243914</v>
      </c>
      <c r="M63" s="1269">
        <f t="shared" si="2"/>
        <v>3.3902823722808395</v>
      </c>
      <c r="N63" s="1269">
        <f t="shared" si="2"/>
        <v>0</v>
      </c>
      <c r="O63" s="1269">
        <f t="shared" si="2"/>
        <v>0</v>
      </c>
      <c r="P63" s="1269">
        <f t="shared" si="2"/>
        <v>0</v>
      </c>
      <c r="Q63" s="1269">
        <f t="shared" si="2"/>
        <v>0</v>
      </c>
      <c r="S63" s="75"/>
      <c r="T63" s="1269"/>
      <c r="U63" s="1269"/>
      <c r="V63" s="1269"/>
      <c r="W63" s="1269"/>
      <c r="X63" s="1269"/>
      <c r="Y63" s="1269"/>
      <c r="Z63" s="75"/>
    </row>
    <row r="64" spans="1:26" hidden="1" outlineLevel="1">
      <c r="A64" s="3"/>
      <c r="B64" s="3"/>
      <c r="C64" s="29"/>
      <c r="D64" s="153" t="str">
        <f>Asset1</f>
        <v>Pipelines</v>
      </c>
      <c r="E64" s="3"/>
      <c r="F64" s="3"/>
      <c r="G64" s="1297"/>
      <c r="H64" s="1297">
        <f>'RFM input'!H331*(1+vanilla1)^0.5</f>
        <v>0</v>
      </c>
      <c r="I64" s="1297">
        <f>'RFM input'!I331*(1+vanilla2)^0.5</f>
        <v>0</v>
      </c>
      <c r="J64" s="1297">
        <f>'RFM input'!J331*(1+vanilla3)^0.5</f>
        <v>1.6585999827581629E-2</v>
      </c>
      <c r="K64" s="1297">
        <f>'RFM input'!K331*(1+vanilla4)^0.5</f>
        <v>1.2555796817991662</v>
      </c>
      <c r="L64" s="1297">
        <f>'RFM input'!L331*(1+vanilla5)^0.5</f>
        <v>0.59597829667249336</v>
      </c>
      <c r="M64" s="1297">
        <f>'RFM input'!M331*(1+vanilla6)^0.5</f>
        <v>0</v>
      </c>
      <c r="N64" s="1297">
        <f>'RFM input'!N331*(1+vanilla7)^0.5</f>
        <v>0</v>
      </c>
      <c r="O64" s="1297">
        <f>'RFM input'!O331*(1+vanilla8)^0.5</f>
        <v>0</v>
      </c>
      <c r="P64" s="1297">
        <f>'RFM input'!P331*(1+vanilla9)^0.5</f>
        <v>0</v>
      </c>
      <c r="Q64" s="1297">
        <f>'RFM input'!Q331*(1+vanilla10)^0.5</f>
        <v>0</v>
      </c>
      <c r="S64" s="75"/>
      <c r="T64" s="1269"/>
      <c r="U64" s="1269"/>
      <c r="V64" s="1269"/>
      <c r="W64" s="1269"/>
      <c r="X64" s="1269"/>
      <c r="Y64" s="1269"/>
      <c r="Z64" s="75"/>
    </row>
    <row r="65" spans="1:26" hidden="1" outlineLevel="1">
      <c r="A65" s="3"/>
      <c r="B65" s="3"/>
      <c r="C65" s="29"/>
      <c r="D65" s="153" t="str">
        <f>Asset2</f>
        <v>Compressors</v>
      </c>
      <c r="E65" s="3"/>
      <c r="F65" s="3"/>
      <c r="G65" s="1297"/>
      <c r="H65" s="1297">
        <f>'RFM input'!H332*(1+vanilla1)^0.5</f>
        <v>0.59282815241182396</v>
      </c>
      <c r="I65" s="1297">
        <f>'RFM input'!I332*(1+vanilla2)^0.5</f>
        <v>8.1097077714738109E-3</v>
      </c>
      <c r="J65" s="1297">
        <f>'RFM input'!J332*(1+vanilla3)^0.5</f>
        <v>0.28838550103752725</v>
      </c>
      <c r="K65" s="1297">
        <f>'RFM input'!K332*(1+vanilla4)^0.5</f>
        <v>0.19971131263167743</v>
      </c>
      <c r="L65" s="1297">
        <f>'RFM input'!L332*(1+vanilla5)^0.5</f>
        <v>0.58440242485123362</v>
      </c>
      <c r="M65" s="1297">
        <f>'RFM input'!M332*(1+vanilla6)^0.5</f>
        <v>2.7493447315228823E-17</v>
      </c>
      <c r="N65" s="1297">
        <f>'RFM input'!N332*(1+vanilla7)^0.5</f>
        <v>0</v>
      </c>
      <c r="O65" s="1297">
        <f>'RFM input'!O332*(1+vanilla8)^0.5</f>
        <v>0</v>
      </c>
      <c r="P65" s="1297">
        <f>'RFM input'!P332*(1+vanilla9)^0.5</f>
        <v>0</v>
      </c>
      <c r="Q65" s="1297">
        <f>'RFM input'!Q332*(1+vanilla10)^0.5</f>
        <v>0</v>
      </c>
      <c r="S65" s="75"/>
      <c r="T65" s="1269"/>
      <c r="U65" s="1269"/>
      <c r="V65" s="1269"/>
      <c r="W65" s="1269"/>
      <c r="X65" s="1269"/>
      <c r="Y65" s="1269"/>
      <c r="Z65" s="75"/>
    </row>
    <row r="66" spans="1:26" hidden="1" outlineLevel="1">
      <c r="A66" s="3"/>
      <c r="B66" s="3"/>
      <c r="C66" s="29"/>
      <c r="D66" s="153" t="str">
        <f>Asset3</f>
        <v>City Gates, supply regulators and valve stations</v>
      </c>
      <c r="E66" s="3"/>
      <c r="F66" s="3"/>
      <c r="G66" s="1297"/>
      <c r="H66" s="1297">
        <f>'RFM input'!H333*(1+vanilla1)^0.5</f>
        <v>0</v>
      </c>
      <c r="I66" s="1297">
        <f>'RFM input'!I333*(1+vanilla2)^0.5</f>
        <v>0</v>
      </c>
      <c r="J66" s="1297">
        <f>'RFM input'!J333*(1+vanilla3)^0.5</f>
        <v>0</v>
      </c>
      <c r="K66" s="1297">
        <f>'RFM input'!K333*(1+vanilla4)^0.5</f>
        <v>0</v>
      </c>
      <c r="L66" s="1297">
        <f>'RFM input'!L333*(1+vanilla5)^0.5</f>
        <v>0</v>
      </c>
      <c r="M66" s="1297">
        <f>'RFM input'!M333*(1+vanilla6)^0.5</f>
        <v>0</v>
      </c>
      <c r="N66" s="1297">
        <f>'RFM input'!N333*(1+vanilla7)^0.5</f>
        <v>0</v>
      </c>
      <c r="O66" s="1297">
        <f>'RFM input'!O333*(1+vanilla8)^0.5</f>
        <v>0</v>
      </c>
      <c r="P66" s="1297">
        <f>'RFM input'!P333*(1+vanilla9)^0.5</f>
        <v>0</v>
      </c>
      <c r="Q66" s="1297">
        <f>'RFM input'!Q333*(1+vanilla10)^0.5</f>
        <v>0</v>
      </c>
      <c r="S66" s="75"/>
      <c r="T66" s="1269"/>
      <c r="U66" s="1269"/>
      <c r="V66" s="1269"/>
      <c r="W66" s="1269"/>
      <c r="X66" s="1269"/>
      <c r="Y66" s="1269"/>
      <c r="Z66" s="75"/>
    </row>
    <row r="67" spans="1:26" hidden="1" outlineLevel="1">
      <c r="A67" s="3"/>
      <c r="B67" s="3"/>
      <c r="C67" s="29"/>
      <c r="D67" s="153" t="str">
        <f>Asset4</f>
        <v>Metering</v>
      </c>
      <c r="E67" s="3"/>
      <c r="F67" s="3"/>
      <c r="G67" s="1297"/>
      <c r="H67" s="1297">
        <f>'RFM input'!H334*(1+vanilla1)^0.5</f>
        <v>0</v>
      </c>
      <c r="I67" s="1297">
        <f>'RFM input'!I334*(1+vanilla2)^0.5</f>
        <v>0</v>
      </c>
      <c r="J67" s="1297">
        <f>'RFM input'!J334*(1+vanilla3)^0.5</f>
        <v>0</v>
      </c>
      <c r="K67" s="1297">
        <f>'RFM input'!K334*(1+vanilla4)^0.5</f>
        <v>0</v>
      </c>
      <c r="L67" s="1297">
        <f>'RFM input'!L334*(1+vanilla5)^0.5</f>
        <v>0</v>
      </c>
      <c r="M67" s="1297">
        <f>'RFM input'!M334*(1+vanilla6)^0.5</f>
        <v>0.39114156088463314</v>
      </c>
      <c r="N67" s="1297">
        <f>'RFM input'!N334*(1+vanilla7)^0.5</f>
        <v>0</v>
      </c>
      <c r="O67" s="1297">
        <f>'RFM input'!O334*(1+vanilla8)^0.5</f>
        <v>0</v>
      </c>
      <c r="P67" s="1297">
        <f>'RFM input'!P334*(1+vanilla9)^0.5</f>
        <v>0</v>
      </c>
      <c r="Q67" s="1297">
        <f>'RFM input'!Q334*(1+vanilla10)^0.5</f>
        <v>0</v>
      </c>
      <c r="S67" s="75"/>
      <c r="T67" s="1269"/>
      <c r="U67" s="1269"/>
      <c r="V67" s="1269"/>
      <c r="W67" s="1269"/>
      <c r="X67" s="1269"/>
      <c r="Y67" s="1269"/>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0</v>
      </c>
      <c r="K68" s="1297">
        <f>'RFM input'!K335*(1+vanilla4)^0.5</f>
        <v>0</v>
      </c>
      <c r="L68" s="1297">
        <f>'RFM input'!L335*(1+vanilla5)^0.5</f>
        <v>0</v>
      </c>
      <c r="M68" s="1297">
        <f>'RFM input'!M335*(1+vanilla6)^0.5</f>
        <v>0</v>
      </c>
      <c r="N68" s="1297">
        <f>'RFM input'!N335*(1+vanilla7)^0.5</f>
        <v>0</v>
      </c>
      <c r="O68" s="1297">
        <f>'RFM input'!O335*(1+vanilla8)^0.5</f>
        <v>0</v>
      </c>
      <c r="P68" s="1297">
        <f>'RFM input'!P335*(1+vanilla9)^0.5</f>
        <v>0</v>
      </c>
      <c r="Q68" s="1297">
        <f>'RFM input'!Q335*(1+vanilla10)^0.5</f>
        <v>0</v>
      </c>
      <c r="S68" s="75"/>
      <c r="T68" s="1269"/>
      <c r="U68" s="1269"/>
      <c r="V68" s="1269"/>
      <c r="W68" s="1269"/>
      <c r="X68" s="1269"/>
      <c r="Y68" s="1269"/>
      <c r="Z68" s="75"/>
    </row>
    <row r="69" spans="1:26" hidden="1" outlineLevel="1">
      <c r="A69" s="3"/>
      <c r="B69" s="3"/>
      <c r="C69" s="29"/>
      <c r="D69" s="153" t="str">
        <f>Asset6</f>
        <v>SCADA (Communications)</v>
      </c>
      <c r="E69" s="3"/>
      <c r="F69" s="3"/>
      <c r="G69" s="1297"/>
      <c r="H69" s="1297">
        <f>'RFM input'!H336*(1+vanilla1)^0.5</f>
        <v>4.018232908629446E-3</v>
      </c>
      <c r="I69" s="1297">
        <f>'RFM input'!I336*(1+vanilla2)^0.5</f>
        <v>7.9627750135115166E-2</v>
      </c>
      <c r="J69" s="1297">
        <f>'RFM input'!J336*(1+vanilla3)^0.5</f>
        <v>0.34155604179354843</v>
      </c>
      <c r="K69" s="1297">
        <f>'RFM input'!K336*(1+vanilla4)^0.5</f>
        <v>0.22134897885526747</v>
      </c>
      <c r="L69" s="1297">
        <f>'RFM input'!L336*(1+vanilla5)^0.5</f>
        <v>0</v>
      </c>
      <c r="M69" s="1297">
        <f>'RFM input'!M336*(1+vanilla6)^0.5</f>
        <v>0</v>
      </c>
      <c r="N69" s="1297">
        <f>'RFM input'!N336*(1+vanilla7)^0.5</f>
        <v>0</v>
      </c>
      <c r="O69" s="1297">
        <f>'RFM input'!O336*(1+vanilla8)^0.5</f>
        <v>0</v>
      </c>
      <c r="P69" s="1297">
        <f>'RFM input'!P336*(1+vanilla9)^0.5</f>
        <v>0</v>
      </c>
      <c r="Q69" s="1297">
        <f>'RFM input'!Q336*(1+vanilla10)^0.5</f>
        <v>0</v>
      </c>
      <c r="S69" s="75"/>
      <c r="T69" s="1269"/>
      <c r="U69" s="1269"/>
      <c r="V69" s="1269"/>
      <c r="W69" s="1269"/>
      <c r="X69" s="1269"/>
      <c r="Y69" s="1269"/>
      <c r="Z69" s="75"/>
    </row>
    <row r="70" spans="1:26" hidden="1" outlineLevel="1">
      <c r="A70" s="3"/>
      <c r="B70" s="3"/>
      <c r="C70" s="29"/>
      <c r="D70" s="153" t="str">
        <f>Asset7</f>
        <v>Buildings</v>
      </c>
      <c r="E70" s="3"/>
      <c r="F70" s="3"/>
      <c r="G70" s="1297"/>
      <c r="H70" s="1297">
        <f>'RFM input'!H337*(1+vanilla1)^0.5</f>
        <v>0</v>
      </c>
      <c r="I70" s="1297">
        <f>'RFM input'!I337*(1+vanilla2)^0.5</f>
        <v>0</v>
      </c>
      <c r="J70" s="1297">
        <f>'RFM input'!J337*(1+vanilla3)^0.5</f>
        <v>0</v>
      </c>
      <c r="K70" s="1297">
        <f>'RFM input'!K337*(1+vanilla4)^0.5</f>
        <v>0</v>
      </c>
      <c r="L70" s="1297">
        <f>'RFM input'!L337*(1+vanilla5)^0.5</f>
        <v>0</v>
      </c>
      <c r="M70" s="1297">
        <f>'RFM input'!M337*(1+vanilla6)^0.5</f>
        <v>0</v>
      </c>
      <c r="N70" s="1297">
        <f>'RFM input'!N337*(1+vanilla7)^0.5</f>
        <v>0</v>
      </c>
      <c r="O70" s="1297">
        <f>'RFM input'!O337*(1+vanilla8)^0.5</f>
        <v>0</v>
      </c>
      <c r="P70" s="1297">
        <f>'RFM input'!P337*(1+vanilla9)^0.5</f>
        <v>0</v>
      </c>
      <c r="Q70" s="1297">
        <f>'RFM input'!Q337*(1+vanilla10)^0.5</f>
        <v>0</v>
      </c>
      <c r="S70" s="75"/>
      <c r="T70" s="1269"/>
      <c r="U70" s="1269"/>
      <c r="V70" s="1269"/>
      <c r="W70" s="1269"/>
      <c r="X70" s="1269"/>
      <c r="Y70" s="1269"/>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v>
      </c>
      <c r="M71" s="1297">
        <f>'RFM input'!M338*(1+vanilla6)^0.5</f>
        <v>0</v>
      </c>
      <c r="N71" s="1297">
        <f>'RFM input'!N338*(1+vanilla7)^0.5</f>
        <v>0</v>
      </c>
      <c r="O71" s="1297">
        <f>'RFM input'!O338*(1+vanilla8)^0.5</f>
        <v>0</v>
      </c>
      <c r="P71" s="1297">
        <f>'RFM input'!P338*(1+vanilla9)^0.5</f>
        <v>0</v>
      </c>
      <c r="Q71" s="1297">
        <f>'RFM input'!Q338*(1+vanilla10)^0.5</f>
        <v>0</v>
      </c>
      <c r="S71" s="75"/>
      <c r="T71" s="1269"/>
      <c r="U71" s="1269"/>
      <c r="V71" s="1269"/>
      <c r="W71" s="1269"/>
      <c r="X71" s="1269"/>
      <c r="Y71" s="1269"/>
      <c r="Z71" s="75"/>
    </row>
    <row r="72" spans="1:26" hidden="1" outlineLevel="1">
      <c r="A72" s="3"/>
      <c r="B72" s="3"/>
      <c r="C72" s="29"/>
      <c r="D72" s="153" t="str">
        <f>Asset9</f>
        <v>Other depreciable pipeline assets</v>
      </c>
      <c r="E72" s="3"/>
      <c r="F72" s="3"/>
      <c r="G72" s="1297"/>
      <c r="H72" s="1297">
        <f>'RFM input'!H339*(1+vanilla1)^0.5</f>
        <v>1.3538562513910463E-2</v>
      </c>
      <c r="I72" s="1297">
        <f>'RFM input'!I339*(1+vanilla2)^0.5</f>
        <v>0.34552992698136775</v>
      </c>
      <c r="J72" s="1297">
        <f>'RFM input'!J339*(1+vanilla3)^0.5</f>
        <v>0.19653693727741198</v>
      </c>
      <c r="K72" s="1297">
        <f>'RFM input'!K339*(1+vanilla4)^0.5</f>
        <v>9.0603617861056057E-2</v>
      </c>
      <c r="L72" s="1297">
        <f>'RFM input'!L339*(1+vanilla5)^0.5</f>
        <v>7.8928236301896992E-2</v>
      </c>
      <c r="M72" s="1297">
        <f>'RFM input'!M339*(1+vanilla6)^0.5</f>
        <v>-0.10492289518889629</v>
      </c>
      <c r="N72" s="1297">
        <f>'RFM input'!N339*(1+vanilla7)^0.5</f>
        <v>0</v>
      </c>
      <c r="O72" s="1297">
        <f>'RFM input'!O339*(1+vanilla8)^0.5</f>
        <v>0</v>
      </c>
      <c r="P72" s="1297">
        <f>'RFM input'!P339*(1+vanilla9)^0.5</f>
        <v>0</v>
      </c>
      <c r="Q72" s="1297">
        <f>'RFM input'!Q339*(1+vanilla10)^0.5</f>
        <v>0</v>
      </c>
      <c r="S72" s="75"/>
      <c r="T72" s="1269"/>
      <c r="U72" s="1269"/>
      <c r="V72" s="1269"/>
      <c r="W72" s="1269"/>
      <c r="X72" s="1269"/>
      <c r="Y72" s="1269"/>
      <c r="Z72" s="75"/>
    </row>
    <row r="73" spans="1:26" hidden="1" outlineLevel="1">
      <c r="A73" s="3"/>
      <c r="B73" s="3"/>
      <c r="C73" s="29"/>
      <c r="D73" s="153" t="str">
        <f>Asset10</f>
        <v>IT Systems</v>
      </c>
      <c r="E73" s="3"/>
      <c r="F73" s="3"/>
      <c r="G73" s="1297"/>
      <c r="H73" s="1297">
        <f>'RFM input'!H340*(1+vanilla1)^0.5</f>
        <v>0</v>
      </c>
      <c r="I73" s="1297">
        <f>'RFM input'!I340*(1+vanilla2)^0.5</f>
        <v>1.7280699493267898E-3</v>
      </c>
      <c r="J73" s="1297">
        <f>'RFM input'!J340*(1+vanilla3)^0.5</f>
        <v>0</v>
      </c>
      <c r="K73" s="1297">
        <f>'RFM input'!K340*(1+vanilla4)^0.5</f>
        <v>0.98087075021172687</v>
      </c>
      <c r="L73" s="1297">
        <f>'RFM input'!L340*(1+vanilla5)^0.5</f>
        <v>5.9162750721238478E-9</v>
      </c>
      <c r="M73" s="1297">
        <f>'RFM input'!M340*(1+vanilla6)^0.5</f>
        <v>0</v>
      </c>
      <c r="N73" s="1297">
        <f>'RFM input'!N340*(1+vanilla7)^0.5</f>
        <v>0</v>
      </c>
      <c r="O73" s="1297">
        <f>'RFM input'!O340*(1+vanilla8)^0.5</f>
        <v>0</v>
      </c>
      <c r="P73" s="1297">
        <f>'RFM input'!P340*(1+vanilla9)^0.5</f>
        <v>0</v>
      </c>
      <c r="Q73" s="1297">
        <f>'RFM input'!Q340*(1+vanilla10)^0.5</f>
        <v>0</v>
      </c>
      <c r="S73" s="75"/>
      <c r="T73" s="1269"/>
      <c r="U73" s="1269"/>
      <c r="V73" s="1269"/>
      <c r="W73" s="1269"/>
      <c r="X73" s="1269"/>
      <c r="Y73" s="1269"/>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v>
      </c>
      <c r="O74" s="1297">
        <f>'RFM input'!O341*(1+vanilla8)^0.5</f>
        <v>0</v>
      </c>
      <c r="P74" s="1297">
        <f>'RFM input'!P341*(1+vanilla9)^0.5</f>
        <v>0</v>
      </c>
      <c r="Q74" s="1297">
        <f>'RFM input'!Q341*(1+vanilla10)^0.5</f>
        <v>0</v>
      </c>
      <c r="S74" s="75"/>
      <c r="T74" s="1269"/>
      <c r="U74" s="1269"/>
      <c r="V74" s="1269"/>
      <c r="W74" s="1269"/>
      <c r="X74" s="1269"/>
      <c r="Y74" s="1269"/>
      <c r="Z74" s="75"/>
    </row>
    <row r="75" spans="1:26" hidden="1" outlineLevel="1">
      <c r="A75" s="3"/>
      <c r="B75" s="3"/>
      <c r="C75" s="29"/>
      <c r="D75" s="153" t="str">
        <f>Asset12</f>
        <v>Shared supporting assets</v>
      </c>
      <c r="E75" s="3"/>
      <c r="F75" s="3"/>
      <c r="G75" s="1297"/>
      <c r="H75" s="1297">
        <f>'RFM input'!H342*(1+vanilla1)^0.5</f>
        <v>0.60530618892303467</v>
      </c>
      <c r="I75" s="1297">
        <f>'RFM input'!I342*(1+vanilla2)^0.5</f>
        <v>0.99232363264037593</v>
      </c>
      <c r="J75" s="1297">
        <f>'RFM input'!J342*(1+vanilla3)^0.5</f>
        <v>1.5366431067081374</v>
      </c>
      <c r="K75" s="1297">
        <f>'RFM input'!K342*(1+vanilla4)^0.5</f>
        <v>1.0191130168188069</v>
      </c>
      <c r="L75" s="1297">
        <f>'RFM input'!L342*(1+vanilla5)^0.5</f>
        <v>0.60304033503403243</v>
      </c>
      <c r="M75" s="1297">
        <f>'RFM input'!M342*(1+vanilla6)^0.5</f>
        <v>2.8858021545258667</v>
      </c>
      <c r="N75" s="1297">
        <f>'RFM input'!N342*(1+vanilla7)^0.5</f>
        <v>0</v>
      </c>
      <c r="O75" s="1297">
        <f>'RFM input'!O342*(1+vanilla8)^0.5</f>
        <v>0</v>
      </c>
      <c r="P75" s="1297">
        <f>'RFM input'!P342*(1+vanilla9)^0.5</f>
        <v>0</v>
      </c>
      <c r="Q75" s="1297">
        <f>'RFM input'!Q342*(1+vanilla10)^0.5</f>
        <v>0</v>
      </c>
      <c r="S75" s="75"/>
      <c r="T75" s="1269"/>
      <c r="U75" s="1269"/>
      <c r="V75" s="1269"/>
      <c r="W75" s="1269"/>
      <c r="X75" s="1269"/>
      <c r="Y75" s="1269"/>
      <c r="Z75" s="75"/>
    </row>
    <row r="76" spans="1:26" hidden="1" outlineLevel="1">
      <c r="A76" s="3"/>
      <c r="B76" s="3"/>
      <c r="C76" s="29"/>
      <c r="D76" s="153" t="str">
        <f>Asset13</f>
        <v>Shared leased assets</v>
      </c>
      <c r="E76" s="3"/>
      <c r="F76" s="3"/>
      <c r="G76" s="1297"/>
      <c r="H76" s="1297">
        <f>'RFM input'!H343*(1+vanilla1)^0.5</f>
        <v>0</v>
      </c>
      <c r="I76" s="1297">
        <f>'RFM input'!I343*(1+vanilla2)^0.5</f>
        <v>0</v>
      </c>
      <c r="J76" s="1297">
        <f>'RFM input'!J343*(1+vanilla3)^0.5</f>
        <v>0</v>
      </c>
      <c r="K76" s="1297">
        <f>'RFM input'!K343*(1+vanilla4)^0.5</f>
        <v>0.8308138356646253</v>
      </c>
      <c r="L76" s="1297">
        <f>'RFM input'!L343*(1+vanilla5)^0.5</f>
        <v>0.19421810914845988</v>
      </c>
      <c r="M76" s="1297">
        <f>'RFM input'!M343*(1+vanilla6)^0.5</f>
        <v>0.2182615520592362</v>
      </c>
      <c r="N76" s="1297">
        <f>'RFM input'!N343*(1+vanilla7)^0.5</f>
        <v>0</v>
      </c>
      <c r="O76" s="1297">
        <f>'RFM input'!O343*(1+vanilla8)^0.5</f>
        <v>0</v>
      </c>
      <c r="P76" s="1297">
        <f>'RFM input'!P343*(1+vanilla9)^0.5</f>
        <v>0</v>
      </c>
      <c r="Q76" s="1297">
        <f>'RFM input'!Q343*(1+vanilla10)^0.5</f>
        <v>0</v>
      </c>
      <c r="S76" s="75"/>
      <c r="T76" s="1269"/>
      <c r="U76" s="1269"/>
      <c r="V76" s="1269"/>
      <c r="W76" s="1269"/>
      <c r="X76" s="1269"/>
      <c r="Y76" s="1269"/>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S77" s="75"/>
      <c r="T77" s="1269"/>
      <c r="U77" s="1269"/>
      <c r="V77" s="1269"/>
      <c r="W77" s="1269"/>
      <c r="X77" s="1269"/>
      <c r="Y77" s="1269"/>
      <c r="Z77" s="75"/>
    </row>
    <row r="78" spans="1:26" hidden="1" outlineLevel="1">
      <c r="A78" s="3"/>
      <c r="B78" s="3"/>
      <c r="C78" s="29"/>
      <c r="D78" s="153">
        <f>Asset15</f>
        <v>0</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v>
      </c>
      <c r="O78" s="1297">
        <f>'RFM input'!O345*(1+vanilla8)^0.5</f>
        <v>0</v>
      </c>
      <c r="P78" s="1297">
        <f>'RFM input'!P345*(1+vanilla9)^0.5</f>
        <v>0</v>
      </c>
      <c r="Q78" s="1297">
        <f>'RFM input'!Q345*(1+vanilla10)^0.5</f>
        <v>0</v>
      </c>
      <c r="S78" s="75"/>
      <c r="T78" s="1269"/>
      <c r="U78" s="1269"/>
      <c r="V78" s="1269"/>
      <c r="W78" s="1269"/>
      <c r="X78" s="1269"/>
      <c r="Y78" s="1269"/>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S79" s="75"/>
      <c r="T79" s="1269"/>
      <c r="U79" s="1269"/>
      <c r="V79" s="1269"/>
      <c r="W79" s="1269"/>
      <c r="X79" s="1269"/>
      <c r="Y79" s="1269"/>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S80" s="75"/>
      <c r="T80" s="1269"/>
      <c r="U80" s="1269"/>
      <c r="V80" s="1269"/>
      <c r="W80" s="1269"/>
      <c r="X80" s="1269"/>
      <c r="Y80" s="1269"/>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S81" s="75"/>
      <c r="T81" s="1269"/>
      <c r="U81" s="1269"/>
      <c r="V81" s="1269"/>
      <c r="W81" s="1269"/>
      <c r="X81" s="1269"/>
      <c r="Y81" s="1269"/>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S82" s="75"/>
      <c r="T82" s="1269"/>
      <c r="U82" s="1269"/>
      <c r="V82" s="1269"/>
      <c r="W82" s="1269"/>
      <c r="X82" s="1269"/>
      <c r="Y82" s="1269"/>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S83" s="75"/>
      <c r="T83" s="1269"/>
      <c r="U83" s="1269"/>
      <c r="V83" s="1269"/>
      <c r="W83" s="1269"/>
      <c r="X83" s="1269"/>
      <c r="Y83" s="1269"/>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S84" s="75"/>
      <c r="T84" s="1269"/>
      <c r="U84" s="1269"/>
      <c r="V84" s="1269"/>
      <c r="W84" s="1269"/>
      <c r="X84" s="1269"/>
      <c r="Y84" s="1269"/>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S85" s="75"/>
      <c r="T85" s="1269"/>
      <c r="U85" s="1269"/>
      <c r="V85" s="1269"/>
      <c r="W85" s="1269"/>
      <c r="X85" s="1269"/>
      <c r="Y85" s="1269"/>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S86" s="75"/>
      <c r="T86" s="1269"/>
      <c r="U86" s="1269"/>
      <c r="V86" s="1269"/>
      <c r="W86" s="1269"/>
      <c r="X86" s="1269"/>
      <c r="Y86" s="1269"/>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S87" s="75"/>
      <c r="T87" s="1269"/>
      <c r="U87" s="1269"/>
      <c r="V87" s="1269"/>
      <c r="W87" s="1269"/>
      <c r="X87" s="1269"/>
      <c r="Y87" s="1269"/>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S88" s="75"/>
      <c r="T88" s="1269"/>
      <c r="U88" s="1269"/>
      <c r="V88" s="1269"/>
      <c r="W88" s="1269"/>
      <c r="X88" s="1269"/>
      <c r="Y88" s="1269"/>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S89" s="75"/>
      <c r="T89" s="1269"/>
      <c r="U89" s="1269"/>
      <c r="V89" s="1269"/>
      <c r="W89" s="1269"/>
      <c r="X89" s="1269"/>
      <c r="Y89" s="1269"/>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S90" s="75"/>
      <c r="T90" s="1269"/>
      <c r="U90" s="1269"/>
      <c r="V90" s="1269"/>
      <c r="W90" s="1269"/>
      <c r="X90" s="1269"/>
      <c r="Y90" s="1269"/>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S91" s="75"/>
      <c r="T91" s="1269"/>
      <c r="U91" s="1269"/>
      <c r="V91" s="1269"/>
      <c r="W91" s="1269"/>
      <c r="X91" s="1269"/>
      <c r="Y91" s="1269"/>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S92" s="75"/>
      <c r="T92" s="1269"/>
      <c r="U92" s="1269"/>
      <c r="V92" s="1269"/>
      <c r="W92" s="1269"/>
      <c r="X92" s="1269"/>
      <c r="Y92" s="1269"/>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S93" s="75"/>
      <c r="T93" s="1269"/>
      <c r="U93" s="1269"/>
      <c r="V93" s="1269"/>
      <c r="W93" s="1269"/>
      <c r="X93" s="1269"/>
      <c r="Y93" s="1269"/>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S94" s="75"/>
      <c r="T94" s="1269"/>
      <c r="U94" s="1269"/>
      <c r="V94" s="1269"/>
      <c r="W94" s="1269"/>
      <c r="X94" s="1269"/>
      <c r="Y94" s="1269"/>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S95" s="75"/>
      <c r="T95" s="1269"/>
      <c r="U95" s="1269"/>
      <c r="V95" s="1269"/>
      <c r="W95" s="1269"/>
      <c r="X95" s="1269"/>
      <c r="Y95" s="1269"/>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S96" s="75"/>
      <c r="T96" s="1269"/>
      <c r="U96" s="1269"/>
      <c r="V96" s="1269"/>
      <c r="W96" s="1269"/>
      <c r="X96" s="1269"/>
      <c r="Y96" s="1269"/>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S97" s="75"/>
      <c r="T97" s="1269"/>
      <c r="U97" s="1269"/>
      <c r="V97" s="1269"/>
      <c r="W97" s="1269"/>
      <c r="X97" s="1269"/>
      <c r="Y97" s="1269"/>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S98" s="75"/>
      <c r="T98" s="1269"/>
      <c r="U98" s="1269"/>
      <c r="V98" s="1269"/>
      <c r="W98" s="1269"/>
      <c r="X98" s="1269"/>
      <c r="Y98" s="1269"/>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S99" s="75"/>
      <c r="T99" s="1269"/>
      <c r="U99" s="1269"/>
      <c r="V99" s="1269"/>
      <c r="W99" s="1269"/>
      <c r="X99" s="1269"/>
      <c r="Y99" s="1269"/>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S100" s="75"/>
      <c r="T100" s="1269"/>
      <c r="U100" s="1269"/>
      <c r="V100" s="1269"/>
      <c r="W100" s="1269"/>
      <c r="X100" s="1269"/>
      <c r="Y100" s="1269"/>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S101" s="75"/>
      <c r="T101" s="1269"/>
      <c r="U101" s="1269"/>
      <c r="V101" s="1269"/>
      <c r="W101" s="1269"/>
      <c r="X101" s="1269"/>
      <c r="Y101" s="1269"/>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S102" s="75"/>
      <c r="T102" s="1269"/>
      <c r="U102" s="1269"/>
      <c r="V102" s="1269"/>
      <c r="W102" s="1269"/>
      <c r="X102" s="1269"/>
      <c r="Y102" s="1269"/>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S103" s="75"/>
      <c r="T103" s="1269"/>
      <c r="U103" s="1269"/>
      <c r="V103" s="1269"/>
      <c r="W103" s="1269"/>
      <c r="X103" s="1269"/>
      <c r="Y103" s="1269"/>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S104" s="75"/>
      <c r="T104" s="1269"/>
      <c r="U104" s="1269"/>
      <c r="V104" s="1269"/>
      <c r="W104" s="1269"/>
      <c r="X104" s="1269"/>
      <c r="Y104" s="1269"/>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S105" s="75"/>
      <c r="T105" s="1269"/>
      <c r="U105" s="1269"/>
      <c r="V105" s="1269"/>
      <c r="W105" s="1269"/>
      <c r="X105" s="1269"/>
      <c r="Y105" s="1269"/>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S106" s="75"/>
      <c r="T106" s="1269"/>
      <c r="U106" s="1269"/>
      <c r="V106" s="1269"/>
      <c r="W106" s="1269"/>
      <c r="X106" s="1269"/>
      <c r="Y106" s="1269"/>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S107" s="75"/>
      <c r="T107" s="1269"/>
      <c r="U107" s="1269"/>
      <c r="V107" s="1269"/>
      <c r="W107" s="1269"/>
      <c r="X107" s="1269"/>
      <c r="Y107" s="1269"/>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S108" s="75"/>
      <c r="T108" s="1269"/>
      <c r="U108" s="1269"/>
      <c r="V108" s="1269"/>
      <c r="W108" s="1269"/>
      <c r="X108" s="1269"/>
      <c r="Y108" s="1269"/>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S109" s="75"/>
      <c r="T109" s="1269"/>
      <c r="U109" s="1269"/>
      <c r="V109" s="1269"/>
      <c r="W109" s="1269"/>
      <c r="X109" s="1269"/>
      <c r="Y109" s="1269"/>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S110" s="75"/>
      <c r="T110" s="1269"/>
      <c r="U110" s="1269"/>
      <c r="V110" s="1269"/>
      <c r="W110" s="1269"/>
      <c r="X110" s="1269"/>
      <c r="Y110" s="1269"/>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S111" s="75"/>
      <c r="T111" s="1269"/>
      <c r="U111" s="1269"/>
      <c r="V111" s="1269"/>
      <c r="W111" s="1269"/>
      <c r="X111" s="1269"/>
      <c r="Y111" s="1269"/>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S112" s="75"/>
      <c r="T112" s="1269"/>
      <c r="U112" s="1269"/>
      <c r="V112" s="1269"/>
      <c r="W112" s="1269"/>
      <c r="X112" s="1269"/>
      <c r="Y112" s="1269"/>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S113" s="75"/>
      <c r="T113" s="1269"/>
      <c r="U113" s="1269"/>
      <c r="V113" s="1269"/>
      <c r="W113" s="1269"/>
      <c r="X113" s="1269"/>
      <c r="Y113" s="1269"/>
      <c r="Z113" s="75"/>
    </row>
    <row r="114" spans="1:26" collapsed="1">
      <c r="A114" s="3"/>
      <c r="B114" s="3"/>
      <c r="C114" s="29"/>
      <c r="D114" s="94"/>
      <c r="E114" s="3"/>
      <c r="F114" s="3"/>
      <c r="G114" s="1297"/>
      <c r="H114" s="1297"/>
      <c r="I114" s="1297"/>
      <c r="J114" s="1297"/>
      <c r="K114" s="1297"/>
      <c r="L114" s="1297"/>
      <c r="M114" s="1297"/>
      <c r="N114" s="1297"/>
      <c r="O114" s="1297"/>
      <c r="P114" s="1297"/>
      <c r="Q114" s="1297"/>
      <c r="S114" s="75"/>
      <c r="T114" s="1269"/>
      <c r="U114" s="1269"/>
      <c r="V114" s="1269"/>
      <c r="W114" s="1269"/>
      <c r="X114" s="1269"/>
      <c r="Y114" s="1269"/>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-9.9218912308196856</v>
      </c>
      <c r="I115" s="1302">
        <f t="shared" ref="I115:Q115" si="3">I128+I141+I154+I167+I180+I193+I206+I219+I232+I245+I258+I271+I284+I297+I310+I323+I336+I349+I362+I375+I388+I401+I414+I427+I440+I453+I466+I479+I492+I505+I518+I531+I544+I557+I570+I583+I596+I609+I622+I635+I648+I661+I674+I687+I700+I713+I726+I739+I752+I765</f>
        <v>-9.7346387183328318</v>
      </c>
      <c r="J115" s="1302">
        <f t="shared" si="3"/>
        <v>-9.8197702901900463</v>
      </c>
      <c r="K115" s="1302">
        <f t="shared" si="3"/>
        <v>-10.160772936775651</v>
      </c>
      <c r="L115" s="1302">
        <f t="shared" si="3"/>
        <v>-7.7232054474299021</v>
      </c>
      <c r="M115" s="1302">
        <f t="shared" si="3"/>
        <v>-7.6762499231765737</v>
      </c>
      <c r="N115" s="1302">
        <f>N128+N141+N154+N167+N180+N193+N206+N219+N232+N245+N258+N271+N284+N297+N310+N323+N336+N349+N362+N375+N388+N401+N414+N427+N440+N453+N466+N479+N492+N505+N518+N531+N544+N557+N570+N583+N596+N609+N622+N635+N648+N661+N674+N687+N700+N713+N726+N739+N752+N765</f>
        <v>-8.0743954706301579</v>
      </c>
      <c r="O115" s="1302">
        <f t="shared" si="3"/>
        <v>-7.7545512557648886</v>
      </c>
      <c r="P115" s="1302">
        <f t="shared" si="3"/>
        <v>-7.4472226344232615</v>
      </c>
      <c r="Q115" s="1302">
        <f t="shared" si="3"/>
        <v>-6.8810631138842302</v>
      </c>
      <c r="S115" s="3"/>
      <c r="T115" s="1269"/>
      <c r="U115" s="1269"/>
      <c r="V115" s="1269"/>
      <c r="W115" s="1269"/>
      <c r="X115" s="1269"/>
      <c r="Y115" s="1269"/>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3.8309045619091027</v>
      </c>
      <c r="I116" s="1308">
        <f>IF(I$3&gt;A1remlife,A1value-SUM($G116:H116),IF(A1remlife="N/A","n/a",A1value/A1remlife))</f>
        <v>3.8309045619091027</v>
      </c>
      <c r="J116" s="1308">
        <f>IF(J$3&gt;A1remlife,A1value-SUM($G116:I116),IF(A1remlife="N/A","n/a",A1value/A1remlife))</f>
        <v>3.8309045619091027</v>
      </c>
      <c r="K116" s="1308">
        <f>IF(K$3&gt;A1remlife,A1value-SUM($G116:J116),IF(A1remlife="N/A","n/a",A1value/A1remlife))</f>
        <v>3.8309045619091027</v>
      </c>
      <c r="L116" s="1308">
        <f>IF(L$3&gt;A1remlife,A1value-SUM($G116:K116),IF(A1remlife="N/A","n/a",A1value/A1remlife))</f>
        <v>3.8309045619091027</v>
      </c>
      <c r="M116" s="1308">
        <f>IF(M$3&gt;A1remlife,A1value-SUM($G116:L116),IF(A1remlife="N/A","n/a",A1value/A1remlife))</f>
        <v>3.8309045619091027</v>
      </c>
      <c r="N116" s="1308">
        <f>IF(N$3&gt;A1remlife,A1value-SUM($G116:M116),IF(A1remlife="N/A","n/a",A1value/A1remlife))</f>
        <v>3.8309045619091027</v>
      </c>
      <c r="O116" s="1308">
        <f>IF(O$3&gt;A1remlife,A1value-SUM($G116:N116),IF(A1remlife="N/A","n/a",A1value/A1remlife))</f>
        <v>3.8309045619091027</v>
      </c>
      <c r="P116" s="1308">
        <f>IF(P$3&gt;A1remlife,A1value-SUM($G116:O116),IF(A1remlife="N/A","n/a",A1value/A1remlife))</f>
        <v>3.8309045619091027</v>
      </c>
      <c r="Q116" s="1308">
        <f>IF(Q$3&gt;A1remlife,A1value-SUM($G116:P116),IF(A1remlife="N/A","n/a",A1value/A1remlife))</f>
        <v>3.8309045619091027</v>
      </c>
      <c r="R116" s="20"/>
      <c r="S116" s="3"/>
      <c r="T116" s="21"/>
      <c r="U116" s="76"/>
      <c r="V116" s="76"/>
      <c r="W116" s="76"/>
      <c r="X116" s="76"/>
      <c r="Y116" s="76"/>
      <c r="Z116" s="76"/>
    </row>
    <row r="117" spans="1:26" ht="12.75" hidden="1" customHeight="1" outlineLevel="2">
      <c r="A117" s="3"/>
      <c r="B117" s="3"/>
      <c r="C117" s="16"/>
      <c r="D117" s="15"/>
      <c r="E117" s="1500" t="s">
        <v>46</v>
      </c>
      <c r="F117" s="63"/>
      <c r="G117" s="17"/>
      <c r="H117" s="30"/>
      <c r="I117" s="30"/>
      <c r="J117" s="30"/>
      <c r="K117" s="30"/>
      <c r="L117" s="30"/>
      <c r="M117" s="30"/>
      <c r="N117" s="30"/>
      <c r="O117" s="30"/>
      <c r="P117" s="30"/>
      <c r="Q117" s="30"/>
      <c r="R117" s="30"/>
      <c r="S117" s="76"/>
      <c r="T117" s="76"/>
      <c r="U117" s="76"/>
      <c r="V117" s="76"/>
      <c r="W117" s="76"/>
      <c r="X117" s="76"/>
      <c r="Y117" s="76"/>
      <c r="Z117" s="76"/>
    </row>
    <row r="118" spans="1:26" ht="12.75" hidden="1" customHeight="1" outlineLevel="2">
      <c r="A118" s="3"/>
      <c r="B118" s="3"/>
      <c r="C118" s="16"/>
      <c r="D118" s="15"/>
      <c r="E118" s="1501"/>
      <c r="F118" s="63">
        <v>1</v>
      </c>
      <c r="G118" s="17"/>
      <c r="H118" s="1309"/>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6"/>
      <c r="T118" s="76"/>
      <c r="U118" s="76"/>
      <c r="V118" s="76"/>
      <c r="W118" s="76"/>
      <c r="X118" s="76"/>
      <c r="Y118" s="76"/>
      <c r="Z118" s="76"/>
    </row>
    <row r="119" spans="1:26" ht="12.75" hidden="1" customHeight="1" outlineLevel="2">
      <c r="A119" s="3"/>
      <c r="B119" s="3"/>
      <c r="C119" s="16"/>
      <c r="D119" s="15"/>
      <c r="E119" s="1501"/>
      <c r="F119" s="63">
        <v>2</v>
      </c>
      <c r="G119" s="17"/>
      <c r="H119" s="133"/>
      <c r="I119" s="135"/>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6"/>
      <c r="T119" s="76"/>
      <c r="U119" s="76"/>
      <c r="V119" s="76"/>
      <c r="W119" s="76"/>
      <c r="X119" s="76"/>
      <c r="Y119" s="76"/>
      <c r="Z119" s="76"/>
    </row>
    <row r="120" spans="1:26" ht="12.75" hidden="1" customHeight="1" outlineLevel="2">
      <c r="A120" s="3"/>
      <c r="B120" s="3"/>
      <c r="C120" s="16"/>
      <c r="D120" s="15"/>
      <c r="E120" s="1501"/>
      <c r="F120" s="63">
        <v>3</v>
      </c>
      <c r="G120" s="17"/>
      <c r="H120" s="133"/>
      <c r="I120" s="134"/>
      <c r="J120" s="135"/>
      <c r="K120" s="18">
        <f>IF(A1stdlife="n/a","n/a",IF(K$3&gt;(A1stdlife+$F120),('RFM input'!$J$331*(1+vanilla3)^0.5)-SUM($J120:J120),('RFM input'!$J$331*(1+vanilla3)^0.5)/A1stdlife))</f>
        <v>2.0732499784477035E-4</v>
      </c>
      <c r="L120" s="18">
        <f>IF(A1stdlife="n/a","n/a",IF(L$3&gt;(A1stdlife+$F120),('RFM input'!$J$331*(1+vanilla3)^0.5)-SUM($J120:K120),('RFM input'!$J$331*(1+vanilla3)^0.5)/A1stdlife))</f>
        <v>2.0732499784477035E-4</v>
      </c>
      <c r="M120" s="18">
        <f>IF(A1stdlife="n/a","n/a",IF(M$3&gt;(A1stdlife+$F120),('RFM input'!$J$331*(1+vanilla3)^0.5)-SUM($J120:L120),('RFM input'!$J$331*(1+vanilla3)^0.5)/A1stdlife))</f>
        <v>2.0732499784477035E-4</v>
      </c>
      <c r="N120" s="18">
        <f>IF(A1stdlife="n/a","n/a",IF(N$3&gt;(A1stdlife+$F120),('RFM input'!$J$331*(1+vanilla3)^0.5)-SUM($J120:M120),('RFM input'!$J$331*(1+vanilla3)^0.5)/A1stdlife))</f>
        <v>2.0732499784477035E-4</v>
      </c>
      <c r="O120" s="18">
        <f>IF(A1stdlife="n/a","n/a",IF(O$3&gt;(A1stdlife+$F120),('RFM input'!$J$331*(1+vanilla3)^0.5)-SUM($J120:N120),('RFM input'!$J$331*(1+vanilla3)^0.5)/A1stdlife))</f>
        <v>2.0732499784477035E-4</v>
      </c>
      <c r="P120" s="18">
        <f>IF(A1stdlife="n/a","n/a",IF(P$3&gt;(A1stdlife+$F120),('RFM input'!$J$331*(1+vanilla3)^0.5)-SUM($J120:O120),('RFM input'!$J$331*(1+vanilla3)^0.5)/A1stdlife))</f>
        <v>2.0732499784477035E-4</v>
      </c>
      <c r="Q120" s="18">
        <f>IF(A1stdlife="n/a","n/a",IF(Q$3&gt;(A1stdlife+$F120),('RFM input'!$J$331*(1+vanilla3)^0.5)-SUM($J120:P120),('RFM input'!$J$331*(1+vanilla3)^0.5)/A1stdlife))</f>
        <v>2.0732499784477035E-4</v>
      </c>
      <c r="R120" s="18"/>
      <c r="S120" s="76"/>
      <c r="T120" s="76"/>
      <c r="U120" s="76"/>
      <c r="V120" s="76"/>
      <c r="W120" s="76"/>
      <c r="X120" s="76"/>
      <c r="Y120" s="76"/>
      <c r="Z120" s="76"/>
    </row>
    <row r="121" spans="1:26" ht="12.75" hidden="1" customHeight="1" outlineLevel="2">
      <c r="A121" s="3"/>
      <c r="B121" s="3"/>
      <c r="C121" s="16"/>
      <c r="D121" s="15"/>
      <c r="E121" s="1501"/>
      <c r="F121" s="63">
        <v>4</v>
      </c>
      <c r="G121" s="17"/>
      <c r="H121" s="133"/>
      <c r="I121" s="134"/>
      <c r="J121" s="134"/>
      <c r="K121" s="135"/>
      <c r="L121" s="18">
        <f>IF(A1stdlife="n/a","n/a",IF(L$3&gt;(A1stdlife+$F121),('RFM input'!$K$331*(1+vanilla4)^0.5)-SUM($K121:K121),('RFM input'!$K$331*(1+vanilla4)^0.5)/A1stdlife))</f>
        <v>1.5694746022489579E-2</v>
      </c>
      <c r="M121" s="18">
        <f>IF(A1stdlife="n/a","n/a",IF(M$3&gt;(A1stdlife+$F121),('RFM input'!$K$331*(1+vanilla4)^0.5)-SUM($K121:L121),('RFM input'!$K$331*(1+vanilla4)^0.5)/A1stdlife))</f>
        <v>1.5694746022489579E-2</v>
      </c>
      <c r="N121" s="18">
        <f>IF(A1stdlife="n/a","n/a",IF(N$3&gt;(A1stdlife+$F121),('RFM input'!$K$331*(1+vanilla4)^0.5)-SUM($K121:M121),('RFM input'!$K$331*(1+vanilla4)^0.5)/A1stdlife))</f>
        <v>1.5694746022489579E-2</v>
      </c>
      <c r="O121" s="18">
        <f>IF(A1stdlife="n/a","n/a",IF(O$3&gt;(A1stdlife+$F121),('RFM input'!$K$331*(1+vanilla4)^0.5)-SUM($K121:N121),('RFM input'!$K$331*(1+vanilla4)^0.5)/A1stdlife))</f>
        <v>1.5694746022489579E-2</v>
      </c>
      <c r="P121" s="18">
        <f>IF(A1stdlife="n/a","n/a",IF(P$3&gt;(A1stdlife+$F121),('RFM input'!$K$331*(1+vanilla4)^0.5)-SUM($K121:O121),('RFM input'!$K$331*(1+vanilla4)^0.5)/A1stdlife))</f>
        <v>1.5694746022489579E-2</v>
      </c>
      <c r="Q121" s="18">
        <f>IF(A1stdlife="n/a","n/a",IF(Q$3&gt;(A1stdlife+$F121),('RFM input'!$K$331*(1+vanilla4)^0.5)-SUM($K121:P121),('RFM input'!$K$331*(1+vanilla4)^0.5)/A1stdlife))</f>
        <v>1.5694746022489579E-2</v>
      </c>
      <c r="R121" s="18"/>
      <c r="S121" s="76"/>
      <c r="T121" s="76"/>
      <c r="U121" s="76"/>
      <c r="V121" s="76"/>
      <c r="W121" s="76"/>
      <c r="X121" s="76"/>
      <c r="Y121" s="76"/>
      <c r="Z121" s="76"/>
    </row>
    <row r="122" spans="1:26" ht="12.75" hidden="1" customHeight="1" outlineLevel="2">
      <c r="A122" s="3"/>
      <c r="B122" s="3"/>
      <c r="C122" s="16"/>
      <c r="D122" s="15"/>
      <c r="E122" s="1501"/>
      <c r="F122" s="63">
        <v>5</v>
      </c>
      <c r="G122" s="17"/>
      <c r="H122" s="133"/>
      <c r="I122" s="134"/>
      <c r="J122" s="134"/>
      <c r="K122" s="134"/>
      <c r="L122" s="135"/>
      <c r="M122" s="18">
        <f>IF(A1stdlife="n/a","n/a",IF(M$3&gt;(A1stdlife+$F122),('RFM input'!$L$331*(1+vanilla5)^0.5)-SUM($L122:L122),('RFM input'!$L$331*(1+vanilla5)^0.5)/A1stdlife))</f>
        <v>7.4497287084061671E-3</v>
      </c>
      <c r="N122" s="18">
        <f>IF(A1stdlife="n/a","n/a",IF(N$3&gt;(A1stdlife+$F122),('RFM input'!$L$331*(1+vanilla5)^0.5)-SUM($L122:M122),('RFM input'!$L$331*(1+vanilla5)^0.5)/A1stdlife))</f>
        <v>7.4497287084061671E-3</v>
      </c>
      <c r="O122" s="18">
        <f>IF(A1stdlife="n/a","n/a",IF(O$3&gt;(A1stdlife+$F122),('RFM input'!$L$331*(1+vanilla5)^0.5)-SUM($L122:N122),('RFM input'!$L$331*(1+vanilla5)^0.5)/A1stdlife))</f>
        <v>7.4497287084061671E-3</v>
      </c>
      <c r="P122" s="18">
        <f>IF(A1stdlife="n/a","n/a",IF(P$3&gt;(A1stdlife+$F122),('RFM input'!$L$331*(1+vanilla5)^0.5)-SUM($L122:O122),('RFM input'!$L$331*(1+vanilla5)^0.5)/A1stdlife))</f>
        <v>7.4497287084061671E-3</v>
      </c>
      <c r="Q122" s="18">
        <f>IF(A1stdlife="n/a","n/a",IF(Q$3&gt;(A1stdlife+$F122),('RFM input'!$L$331*(1+vanilla5)^0.5)-SUM($L122:P122),('RFM input'!$L$331*(1+vanilla5)^0.5)/A1stdlife))</f>
        <v>7.4497287084061671E-3</v>
      </c>
      <c r="R122" s="18"/>
      <c r="S122" s="76"/>
      <c r="T122" s="76"/>
      <c r="U122" s="76"/>
      <c r="V122" s="76"/>
      <c r="W122" s="76"/>
      <c r="X122" s="76"/>
      <c r="Y122" s="76"/>
      <c r="Z122" s="76"/>
    </row>
    <row r="123" spans="1:26" ht="12.75" hidden="1" customHeight="1" outlineLevel="2">
      <c r="A123" s="3"/>
      <c r="B123" s="3"/>
      <c r="C123" s="16"/>
      <c r="D123" s="15"/>
      <c r="E123" s="1501"/>
      <c r="F123" s="63">
        <v>6</v>
      </c>
      <c r="G123" s="17"/>
      <c r="H123" s="133"/>
      <c r="I123" s="134"/>
      <c r="J123" s="134"/>
      <c r="K123" s="134"/>
      <c r="L123" s="134"/>
      <c r="M123" s="135"/>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76"/>
      <c r="U123" s="76"/>
      <c r="V123" s="76"/>
      <c r="W123" s="76"/>
      <c r="X123" s="76"/>
      <c r="Y123" s="76"/>
      <c r="Z123" s="76"/>
    </row>
    <row r="124" spans="1:26" ht="12.75" hidden="1" customHeight="1" outlineLevel="2">
      <c r="A124" s="3"/>
      <c r="B124" s="3"/>
      <c r="C124" s="16"/>
      <c r="D124" s="15"/>
      <c r="E124" s="1501"/>
      <c r="F124" s="63">
        <v>7</v>
      </c>
      <c r="G124" s="17"/>
      <c r="H124" s="133"/>
      <c r="I124" s="134"/>
      <c r="J124" s="134"/>
      <c r="K124" s="134"/>
      <c r="L124" s="134"/>
      <c r="M124" s="134"/>
      <c r="N124" s="135"/>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6"/>
      <c r="T124" s="76"/>
      <c r="U124" s="76"/>
      <c r="V124" s="76"/>
      <c r="W124" s="76"/>
      <c r="X124" s="76"/>
      <c r="Y124" s="76"/>
      <c r="Z124" s="76"/>
    </row>
    <row r="125" spans="1:26" ht="12.75" hidden="1" customHeight="1" outlineLevel="2">
      <c r="A125" s="3"/>
      <c r="B125" s="3"/>
      <c r="C125" s="16"/>
      <c r="D125" s="15"/>
      <c r="E125" s="1501"/>
      <c r="F125" s="63">
        <v>8</v>
      </c>
      <c r="G125" s="17"/>
      <c r="H125" s="133"/>
      <c r="I125" s="134"/>
      <c r="J125" s="134"/>
      <c r="K125" s="134"/>
      <c r="L125" s="134"/>
      <c r="M125" s="134"/>
      <c r="N125" s="134"/>
      <c r="O125" s="135"/>
      <c r="P125" s="18">
        <f>IF(A1stdlife="n/a","n/a",IF(P$3&gt;(A1stdlife+$F125),('RFM input'!$O$331*(1+vanilla8)^0.5)-SUM($O125:O125),('RFM input'!$O$331*(1+vanilla8)^0.5)/A1stdlife))</f>
        <v>0</v>
      </c>
      <c r="Q125" s="18">
        <f>IF(A1stdlife="n/a","n/a",IF(Q$3&gt;(A1stdlife+$F125),('RFM input'!$O$331*(1+vanilla8)^0.5)-SUM($O125:P125),('RFM input'!$O$331*(1+vanilla8)^0.5)/A1stdlife))</f>
        <v>0</v>
      </c>
      <c r="R125" s="18"/>
      <c r="S125" s="76"/>
      <c r="T125" s="76"/>
      <c r="U125" s="76"/>
      <c r="V125" s="76"/>
      <c r="W125" s="76"/>
      <c r="X125" s="76"/>
      <c r="Y125" s="76"/>
      <c r="Z125" s="76"/>
    </row>
    <row r="126" spans="1:26" ht="12.75" hidden="1" customHeight="1" outlineLevel="2">
      <c r="A126" s="3"/>
      <c r="B126" s="3"/>
      <c r="C126" s="16"/>
      <c r="D126" s="15"/>
      <c r="E126" s="1501"/>
      <c r="F126" s="63">
        <v>9</v>
      </c>
      <c r="G126" s="17"/>
      <c r="H126" s="133"/>
      <c r="I126" s="134"/>
      <c r="J126" s="134"/>
      <c r="K126" s="134"/>
      <c r="L126" s="134"/>
      <c r="M126" s="134"/>
      <c r="N126" s="134"/>
      <c r="O126" s="134"/>
      <c r="P126" s="135"/>
      <c r="Q126" s="18">
        <f>IF(A1stdlife="n/a","n/a",IF(Q$3&gt;(A1stdlife+$F126),('RFM input'!$P$331*(1+vanilla9)^0.5)-SUM($P126:P126),('RFM input'!$P$331*(1+vanilla9)^0.5)/A1stdlife))</f>
        <v>0</v>
      </c>
      <c r="R126" s="18"/>
      <c r="S126" s="76"/>
      <c r="T126" s="76"/>
      <c r="U126" s="76"/>
      <c r="V126" s="76"/>
      <c r="W126" s="76"/>
      <c r="X126" s="76"/>
      <c r="Y126" s="76"/>
      <c r="Z126" s="76"/>
    </row>
    <row r="127" spans="1:26" ht="12.75" hidden="1" customHeight="1" outlineLevel="2">
      <c r="A127" s="3"/>
      <c r="B127" s="3"/>
      <c r="C127" s="16"/>
      <c r="D127" s="15"/>
      <c r="E127" s="1501"/>
      <c r="F127" s="64">
        <v>10</v>
      </c>
      <c r="G127" s="17"/>
      <c r="H127" s="133"/>
      <c r="I127" s="134"/>
      <c r="J127" s="134"/>
      <c r="K127" s="134"/>
      <c r="L127" s="134"/>
      <c r="M127" s="134"/>
      <c r="N127" s="134"/>
      <c r="O127" s="134"/>
      <c r="P127" s="134"/>
      <c r="Q127" s="135"/>
      <c r="R127" s="18"/>
      <c r="S127" s="76"/>
      <c r="T127" s="76"/>
      <c r="U127" s="76"/>
      <c r="V127" s="76"/>
      <c r="W127" s="76"/>
      <c r="X127" s="76"/>
      <c r="Y127" s="76"/>
      <c r="Z127" s="76"/>
    </row>
    <row r="128" spans="1:26" hidden="1" outlineLevel="1" collapsed="1">
      <c r="A128" s="3"/>
      <c r="B128" s="3"/>
      <c r="C128" s="3"/>
      <c r="D128" s="154" t="str">
        <f>Asset1</f>
        <v>Pipelines</v>
      </c>
      <c r="F128" s="3"/>
      <c r="G128" s="1297"/>
      <c r="H128" s="1310">
        <f>IF(OR('RFM input'!$E$396='RFM input'!$G$395,'RFM input'!$E$396='RFM input'!$G$396),-INDEX('RFM input'!H$402:H$451,MATCH($D128,'RFM input'!$E$402:$E$451,0),1),-SUM(H116:H127))</f>
        <v>-3.8309045619091027</v>
      </c>
      <c r="I128" s="1310">
        <f>IF(OR('RFM input'!$E$396='RFM input'!$G$395,'RFM input'!$E$396='RFM input'!$G$396),-INDEX('RFM input'!I$402:I$451,MATCH($D128,'RFM input'!$E$402:$E$451,0),1),-SUM(I116:I127))</f>
        <v>-3.8309045619091027</v>
      </c>
      <c r="J128" s="1311">
        <f>IF(COUNT($H128:I128)&gt;='RFM input'!$AA$7,0,IF(OR('RFM input'!$E$396='RFM input'!$G$395,'RFM input'!$E$396='RFM input'!$G$396),-INDEX('RFM input'!J$402:J$451,MATCH($D128,'RFM input'!$E$402:$E$451,0),1),-SUM(J116:J127)))</f>
        <v>-3.8309045619091027</v>
      </c>
      <c r="K128" s="1311">
        <f>IF(COUNT($H128:J128)&gt;='RFM input'!$AA$7,0,IF(OR('RFM input'!$E$396='RFM input'!$G$395,'RFM input'!$E$396='RFM input'!$G$396),-INDEX('RFM input'!K$402:K$451,MATCH($D128,'RFM input'!$E$402:$E$451,0),1),-SUM(K116:K127)))</f>
        <v>-3.8311118869069474</v>
      </c>
      <c r="L128" s="1311">
        <f>IF(COUNT($H128:K128)&gt;='RFM input'!$AA$7,0,IF(OR('RFM input'!$E$396='RFM input'!$G$395,'RFM input'!$E$396='RFM input'!$G$396),-INDEX('RFM input'!L$402:L$451,MATCH($D128,'RFM input'!$E$402:$E$451,0),1),-SUM(L116:L127)))</f>
        <v>-3.8468066329294368</v>
      </c>
      <c r="M128" s="1311">
        <f>IF(COUNT($H128:L128)&gt;='RFM input'!$AA$7,0,IF(OR('RFM input'!$E$396='RFM input'!$G$395,'RFM input'!$E$396='RFM input'!$G$396),-INDEX('RFM input'!M$402:M$451,MATCH($D128,'RFM input'!$E$402:$E$451,0),1),-SUM(M116:M127)))</f>
        <v>-3.8542563616378431</v>
      </c>
      <c r="N128" s="1311">
        <f>IF(COUNT($H128:M128)&gt;='RFM input'!$AA$7,0,IF(OR('RFM input'!$E$396='RFM input'!$G$395,'RFM input'!$E$396='RFM input'!$G$396),-INDEX('RFM input'!N$402:N$451,MATCH($D128,'RFM input'!$E$402:$E$451,0),1),-SUM(N116:N127)))</f>
        <v>-3.8542563616378431</v>
      </c>
      <c r="O128" s="1311">
        <f>IF(COUNT($H128:N128)&gt;='RFM input'!$AA$7,0,IF(OR('RFM input'!$E$396='RFM input'!$G$395,'RFM input'!$E$396='RFM input'!$G$396),-INDEX('RFM input'!O$402:O$451,MATCH($D128,'RFM input'!$E$402:$E$451,0),1),-SUM(O116:O127)))</f>
        <v>-3.8542563616378431</v>
      </c>
      <c r="P128" s="1311">
        <f>IF(COUNT($H128:O128)&gt;='RFM input'!$AA$7,0,IF(OR('RFM input'!$E$396='RFM input'!$G$395,'RFM input'!$E$396='RFM input'!$G$396),-INDEX('RFM input'!P$402:P$451,MATCH($D128,'RFM input'!$E$402:$E$451,0),1),-SUM(P116:P127)))</f>
        <v>-3.8542563616378431</v>
      </c>
      <c r="Q128" s="1311">
        <f>IF(COUNT($H128:P128)&gt;='RFM input'!$AA$7,0,IF(OR('RFM input'!$E$396='RFM input'!$G$395,'RFM input'!$E$396='RFM input'!$G$396),-INDEX('RFM input'!Q$402:Q$451,MATCH($D128,'RFM input'!$E$402:$E$451,0),1),-SUM(Q116:Q127)))</f>
        <v>-3.8542563616378431</v>
      </c>
      <c r="R128" s="1312"/>
      <c r="S128" s="77"/>
      <c r="T128" s="76"/>
      <c r="U128" s="77"/>
      <c r="V128" s="77"/>
      <c r="W128" s="77"/>
      <c r="X128" s="77"/>
      <c r="Y128" s="77"/>
      <c r="Z128" s="77"/>
    </row>
    <row r="129" spans="1:26" hidden="1" outlineLevel="2">
      <c r="A129" s="3"/>
      <c r="B129" s="3"/>
      <c r="C129" s="155" t="str">
        <f>Asset2</f>
        <v>Compressors</v>
      </c>
      <c r="D129" s="111"/>
      <c r="E129" s="273" t="s">
        <v>508</v>
      </c>
      <c r="F129" s="19"/>
      <c r="G129" s="1313"/>
      <c r="H129" s="1308">
        <f>IF(H$3&gt;A2remlife,A2value-SUM($G129:G129),IF(A2remlife="N/A","n/a",A2value/A2remlife))</f>
        <v>1.6151160086623675</v>
      </c>
      <c r="I129" s="1308">
        <f>IF(I$3&gt;A2remlife,A2value-SUM($G129:H129),IF(A2remlife="N/A","n/a",A2value/A2remlife))</f>
        <v>1.6151160086623675</v>
      </c>
      <c r="J129" s="1308">
        <f>IF(J$3&gt;A2remlife,A2value-SUM($G129:I129),IF(A2remlife="N/A","n/a",A2value/A2remlife))</f>
        <v>1.6151160086623675</v>
      </c>
      <c r="K129" s="1308">
        <f>IF(K$3&gt;A2remlife,A2value-SUM($G129:J129),IF(A2remlife="N/A","n/a",A2value/A2remlife))</f>
        <v>1.6151160086623675</v>
      </c>
      <c r="L129" s="1308">
        <f>IF(L$3&gt;A2remlife,A2value-SUM($G129:K129),IF(A2remlife="N/A","n/a",A2value/A2remlife))</f>
        <v>1.6151160086623675</v>
      </c>
      <c r="M129" s="1308">
        <f>IF(M$3&gt;A2remlife,A2value-SUM($G129:L129),IF(A2remlife="N/A","n/a",A2value/A2remlife))</f>
        <v>1.6151160086623675</v>
      </c>
      <c r="N129" s="1308">
        <f>IF(N$3&gt;A2remlife,A2value-SUM($G129:M129),IF(A2remlife="N/A","n/a",A2value/A2remlife))</f>
        <v>1.6151160086623675</v>
      </c>
      <c r="O129" s="1308">
        <f>IF(O$3&gt;A2remlife,A2value-SUM($G129:N129),IF(A2remlife="N/A","n/a",A2value/A2remlife))</f>
        <v>1.6151160086623675</v>
      </c>
      <c r="P129" s="1308">
        <f>IF(P$3&gt;A2remlife,A2value-SUM($G129:O129),IF(A2remlife="N/A","n/a",A2value/A2remlife))</f>
        <v>1.6151160086623675</v>
      </c>
      <c r="Q129" s="1308">
        <f>IF(Q$3&gt;A2remlife,A2value-SUM($G129:P129),IF(A2remlife="N/A","n/a",A2value/A2remlife))</f>
        <v>1.6151160086623675</v>
      </c>
      <c r="R129" s="20"/>
      <c r="S129" s="78"/>
      <c r="T129" s="78"/>
      <c r="U129" s="78"/>
      <c r="V129" s="78"/>
      <c r="W129" s="78"/>
      <c r="X129" s="78"/>
      <c r="Y129" s="78"/>
      <c r="Z129" s="78"/>
    </row>
    <row r="130" spans="1:26" ht="12.75" hidden="1" customHeight="1" outlineLevel="2">
      <c r="A130" s="279"/>
      <c r="B130" s="279"/>
      <c r="C130" s="279"/>
      <c r="D130" s="16"/>
      <c r="E130" s="1500" t="s">
        <v>46</v>
      </c>
      <c r="F130" s="63"/>
      <c r="G130" s="1297"/>
      <c r="H130" s="18"/>
      <c r="I130" s="18"/>
      <c r="J130" s="18"/>
      <c r="K130" s="18"/>
      <c r="L130" s="18"/>
      <c r="M130" s="1314"/>
      <c r="N130" s="1315"/>
      <c r="O130" s="18"/>
      <c r="P130" s="18"/>
      <c r="Q130" s="18"/>
      <c r="R130" s="18"/>
      <c r="S130" s="78"/>
      <c r="T130" s="78"/>
      <c r="U130" s="78"/>
      <c r="V130" s="78"/>
      <c r="W130" s="78"/>
      <c r="X130" s="78"/>
      <c r="Y130" s="78"/>
      <c r="Z130" s="78"/>
    </row>
    <row r="131" spans="1:26" hidden="1" outlineLevel="2">
      <c r="A131" s="279"/>
      <c r="B131" s="279"/>
      <c r="C131" s="279"/>
      <c r="D131" s="16"/>
      <c r="E131" s="1501"/>
      <c r="F131" s="63">
        <v>1</v>
      </c>
      <c r="G131" s="1297"/>
      <c r="H131" s="1309"/>
      <c r="I131" s="18">
        <f>IF(A2stdlife="n/a","n/a",IF(I$3&gt;(A2stdlife+$F131),('RFM input'!$H$332*(1+vanilla1)^0.5)-SUM($H131:H131),('RFM input'!$H$332*(1+vanilla1)^0.5)/A2stdlife))</f>
        <v>1.6937947211766398E-2</v>
      </c>
      <c r="J131" s="18">
        <f>IF(A2stdlife="n/a","n/a",IF(J$3&gt;(A2stdlife+$F131),('RFM input'!$H$332*(1+vanilla1)^0.5)-SUM($H131:I131),('RFM input'!$H$332*(1+vanilla1)^0.5)/A2stdlife))</f>
        <v>1.6937947211766398E-2</v>
      </c>
      <c r="K131" s="18">
        <f>IF(A2stdlife="n/a","n/a",IF(K$3&gt;(A2stdlife+$F131),('RFM input'!$H$332*(1+vanilla1)^0.5)-SUM($H131:J131),('RFM input'!$H$332*(1+vanilla1)^0.5)/A2stdlife))</f>
        <v>1.6937947211766398E-2</v>
      </c>
      <c r="L131" s="18">
        <f>IF(A2stdlife="n/a","n/a",IF(L$3&gt;(A2stdlife+$F131),('RFM input'!$H$332*(1+vanilla1)^0.5)-SUM($H131:K131),('RFM input'!$H$332*(1+vanilla1)^0.5)/A2stdlife))</f>
        <v>1.6937947211766398E-2</v>
      </c>
      <c r="M131" s="18">
        <f>IF(A2stdlife="n/a","n/a",IF(M$3&gt;(A2stdlife+$F131),('RFM input'!$H$332*(1+vanilla1)^0.5)-SUM($H131:L131),('RFM input'!$H$332*(1+vanilla1)^0.5)/A2stdlife))</f>
        <v>1.6937947211766398E-2</v>
      </c>
      <c r="N131" s="18">
        <f>IF(A2stdlife="n/a","n/a",IF(N$3&gt;(A2stdlife+$F131),('RFM input'!$H$332*(1+vanilla1)^0.5)-SUM($H131:M131),('RFM input'!$H$332*(1+vanilla1)^0.5)/A2stdlife))</f>
        <v>1.6937947211766398E-2</v>
      </c>
      <c r="O131" s="18">
        <f>IF(A2stdlife="n/a","n/a",IF(O$3&gt;(A2stdlife+$F131),('RFM input'!$H$332*(1+vanilla1)^0.5)-SUM($H131:N131),('RFM input'!$H$332*(1+vanilla1)^0.5)/A2stdlife))</f>
        <v>1.6937947211766398E-2</v>
      </c>
      <c r="P131" s="18">
        <f>IF(A2stdlife="n/a","n/a",IF(P$3&gt;(A2stdlife+$F131),('RFM input'!$H$332*(1+vanilla1)^0.5)-SUM($H131:O131),('RFM input'!$H$332*(1+vanilla1)^0.5)/A2stdlife))</f>
        <v>1.6937947211766398E-2</v>
      </c>
      <c r="Q131" s="18">
        <f>IF(A2stdlife="n/a","n/a",IF(Q$3&gt;(A2stdlife+$F131),('RFM input'!$H$332*(1+vanilla1)^0.5)-SUM($H131:P131),('RFM input'!$H$332*(1+vanilla1)^0.5)/A2stdlife))</f>
        <v>1.6937947211766398E-2</v>
      </c>
      <c r="R131" s="18"/>
      <c r="S131" s="78"/>
      <c r="T131" s="78"/>
      <c r="U131" s="78"/>
      <c r="V131" s="78"/>
      <c r="W131" s="78"/>
      <c r="X131" s="78"/>
      <c r="Y131" s="78"/>
      <c r="Z131" s="78"/>
    </row>
    <row r="132" spans="1:26" hidden="1" outlineLevel="2">
      <c r="A132" s="279"/>
      <c r="B132" s="279"/>
      <c r="C132" s="279"/>
      <c r="D132" s="16"/>
      <c r="E132" s="1501"/>
      <c r="F132" s="63">
        <v>2</v>
      </c>
      <c r="G132" s="1297"/>
      <c r="H132" s="133"/>
      <c r="I132" s="135"/>
      <c r="J132" s="18">
        <f>IF(A2stdlife="n/a","n/a",IF(J$3&gt;(A2stdlife+$F132),('RFM input'!$I$332*(1+vanilla2)^0.5)-SUM($I132:I132),('RFM input'!$I$332*(1+vanilla2)^0.5)/A2stdlife))</f>
        <v>2.3170593632782316E-4</v>
      </c>
      <c r="K132" s="18">
        <f>IF(A2stdlife="n/a","n/a",IF(K$3&gt;(A2stdlife+$F132),('RFM input'!$I$332*(1+vanilla2)^0.5)-SUM($I132:J132),('RFM input'!$I$332*(1+vanilla2)^0.5)/A2stdlife))</f>
        <v>2.3170593632782316E-4</v>
      </c>
      <c r="L132" s="18">
        <f>IF(A2stdlife="n/a","n/a",IF(L$3&gt;(A2stdlife+$F132),('RFM input'!$I$332*(1+vanilla2)^0.5)-SUM($I132:K132),('RFM input'!$I$332*(1+vanilla2)^0.5)/A2stdlife))</f>
        <v>2.3170593632782316E-4</v>
      </c>
      <c r="M132" s="18">
        <f>IF(A2stdlife="n/a","n/a",IF(M$3&gt;(A2stdlife+$F132),('RFM input'!$I$332*(1+vanilla2)^0.5)-SUM($I132:L132),('RFM input'!$I$332*(1+vanilla2)^0.5)/A2stdlife))</f>
        <v>2.3170593632782316E-4</v>
      </c>
      <c r="N132" s="18">
        <f>IF(A2stdlife="n/a","n/a",IF(N$3&gt;(A2stdlife+$F132),('RFM input'!$I$332*(1+vanilla2)^0.5)-SUM($I132:M132),('RFM input'!$I$332*(1+vanilla2)^0.5)/A2stdlife))</f>
        <v>2.3170593632782316E-4</v>
      </c>
      <c r="O132" s="18">
        <f>IF(A2stdlife="n/a","n/a",IF(O$3&gt;(A2stdlife+$F132),('RFM input'!$I$332*(1+vanilla2)^0.5)-SUM($I132:N132),('RFM input'!$I$332*(1+vanilla2)^0.5)/A2stdlife))</f>
        <v>2.3170593632782316E-4</v>
      </c>
      <c r="P132" s="18">
        <f>IF(A2stdlife="n/a","n/a",IF(P$3&gt;(A2stdlife+$F132),('RFM input'!$I$332*(1+vanilla2)^0.5)-SUM($I132:O132),('RFM input'!$I$332*(1+vanilla2)^0.5)/A2stdlife))</f>
        <v>2.3170593632782316E-4</v>
      </c>
      <c r="Q132" s="18">
        <f>IF(A2stdlife="n/a","n/a",IF(Q$3&gt;(A2stdlife+$F132),('RFM input'!$I$332*(1+vanilla2)^0.5)-SUM($I132:P132),('RFM input'!$I$332*(1+vanilla2)^0.5)/A2stdlife))</f>
        <v>2.3170593632782316E-4</v>
      </c>
      <c r="R132" s="18"/>
      <c r="S132" s="78"/>
      <c r="T132" s="78"/>
      <c r="U132" s="78"/>
      <c r="V132" s="78"/>
      <c r="W132" s="78"/>
      <c r="X132" s="78"/>
      <c r="Y132" s="78"/>
      <c r="Z132" s="78"/>
    </row>
    <row r="133" spans="1:26" hidden="1" outlineLevel="2">
      <c r="A133" s="279"/>
      <c r="B133" s="279"/>
      <c r="C133" s="279"/>
      <c r="D133" s="16"/>
      <c r="E133" s="1501"/>
      <c r="F133" s="63">
        <v>3</v>
      </c>
      <c r="G133" s="1297"/>
      <c r="H133" s="133"/>
      <c r="I133" s="134"/>
      <c r="J133" s="135"/>
      <c r="K133" s="18">
        <f>IF(A2stdlife="n/a","n/a",IF(K$3&gt;(A2stdlife+$F133),('RFM input'!$J$332*(1+vanilla3)^0.5)-SUM($J133:J133),('RFM input'!$J$332*(1+vanilla3)^0.5)/A2stdlife))</f>
        <v>8.2395857439293493E-3</v>
      </c>
      <c r="L133" s="18">
        <f>IF(A2stdlife="n/a","n/a",IF(L$3&gt;(A2stdlife+$F133),('RFM input'!$J$332*(1+vanilla3)^0.5)-SUM($J133:K133),('RFM input'!$J$332*(1+vanilla3)^0.5)/A2stdlife))</f>
        <v>8.2395857439293493E-3</v>
      </c>
      <c r="M133" s="18">
        <f>IF(A2stdlife="n/a","n/a",IF(M$3&gt;(A2stdlife+$F133),('RFM input'!$J$332*(1+vanilla3)^0.5)-SUM($J133:L133),('RFM input'!$J$332*(1+vanilla3)^0.5)/A2stdlife))</f>
        <v>8.2395857439293493E-3</v>
      </c>
      <c r="N133" s="18">
        <f>IF(A2stdlife="n/a","n/a",IF(N$3&gt;(A2stdlife+$F133),('RFM input'!$J$332*(1+vanilla3)^0.5)-SUM($J133:M133),('RFM input'!$J$332*(1+vanilla3)^0.5)/A2stdlife))</f>
        <v>8.2395857439293493E-3</v>
      </c>
      <c r="O133" s="18">
        <f>IF(A2stdlife="n/a","n/a",IF(O$3&gt;(A2stdlife+$F133),('RFM input'!$J$332*(1+vanilla3)^0.5)-SUM($J133:N133),('RFM input'!$J$332*(1+vanilla3)^0.5)/A2stdlife))</f>
        <v>8.2395857439293493E-3</v>
      </c>
      <c r="P133" s="18">
        <f>IF(A2stdlife="n/a","n/a",IF(P$3&gt;(A2stdlife+$F133),('RFM input'!$J$332*(1+vanilla3)^0.5)-SUM($J133:O133),('RFM input'!$J$332*(1+vanilla3)^0.5)/A2stdlife))</f>
        <v>8.2395857439293493E-3</v>
      </c>
      <c r="Q133" s="18">
        <f>IF(A2stdlife="n/a","n/a",IF(Q$3&gt;(A2stdlife+$F133),('RFM input'!$J$332*(1+vanilla3)^0.5)-SUM($J133:P133),('RFM input'!$J$332*(1+vanilla3)^0.5)/A2stdlife))</f>
        <v>8.2395857439293493E-3</v>
      </c>
      <c r="R133" s="18"/>
      <c r="S133" s="78"/>
      <c r="T133" s="78"/>
      <c r="U133" s="78"/>
      <c r="V133" s="78"/>
      <c r="W133" s="78"/>
      <c r="X133" s="78"/>
      <c r="Y133" s="78"/>
      <c r="Z133" s="78"/>
    </row>
    <row r="134" spans="1:26" hidden="1" outlineLevel="2">
      <c r="A134" s="279"/>
      <c r="B134" s="279"/>
      <c r="C134" s="279"/>
      <c r="D134" s="16"/>
      <c r="E134" s="1501"/>
      <c r="F134" s="63">
        <v>4</v>
      </c>
      <c r="G134" s="1297"/>
      <c r="H134" s="133"/>
      <c r="I134" s="134"/>
      <c r="J134" s="134"/>
      <c r="K134" s="135"/>
      <c r="L134" s="18">
        <f>IF(A2stdlife="n/a","n/a",IF(L$3&gt;(A2stdlife+$F134),('RFM input'!$K$332*(1+vanilla4)^0.5)-SUM($K134:K134),('RFM input'!$K$332*(1+vanilla4)^0.5)/A2stdlife))</f>
        <v>5.7060375037622122E-3</v>
      </c>
      <c r="M134" s="18">
        <f>IF(A2stdlife="n/a","n/a",IF(M$3&gt;(A2stdlife+$F134),('RFM input'!$K$332*(1+vanilla4)^0.5)-SUM($K134:L134),('RFM input'!$K$332*(1+vanilla4)^0.5)/A2stdlife))</f>
        <v>5.7060375037622122E-3</v>
      </c>
      <c r="N134" s="18">
        <f>IF(A2stdlife="n/a","n/a",IF(N$3&gt;(A2stdlife+$F134),('RFM input'!$K$332*(1+vanilla4)^0.5)-SUM($K134:M134),('RFM input'!$K$332*(1+vanilla4)^0.5)/A2stdlife))</f>
        <v>5.7060375037622122E-3</v>
      </c>
      <c r="O134" s="18">
        <f>IF(A2stdlife="n/a","n/a",IF(O$3&gt;(A2stdlife+$F134),('RFM input'!$K$332*(1+vanilla4)^0.5)-SUM($K134:N134),('RFM input'!$K$332*(1+vanilla4)^0.5)/A2stdlife))</f>
        <v>5.7060375037622122E-3</v>
      </c>
      <c r="P134" s="18">
        <f>IF(A2stdlife="n/a","n/a",IF(P$3&gt;(A2stdlife+$F134),('RFM input'!$K$332*(1+vanilla4)^0.5)-SUM($K134:O134),('RFM input'!$K$332*(1+vanilla4)^0.5)/A2stdlife))</f>
        <v>5.7060375037622122E-3</v>
      </c>
      <c r="Q134" s="18">
        <f>IF(A2stdlife="n/a","n/a",IF(Q$3&gt;(A2stdlife+$F134),('RFM input'!$K$332*(1+vanilla4)^0.5)-SUM($K134:P134),('RFM input'!$K$332*(1+vanilla4)^0.5)/A2stdlife))</f>
        <v>5.7060375037622122E-3</v>
      </c>
      <c r="R134" s="18"/>
      <c r="S134" s="78"/>
      <c r="T134" s="78"/>
      <c r="U134" s="78"/>
      <c r="V134" s="78"/>
      <c r="W134" s="78"/>
      <c r="X134" s="78"/>
      <c r="Y134" s="78"/>
      <c r="Z134" s="78"/>
    </row>
    <row r="135" spans="1:26" hidden="1" outlineLevel="2">
      <c r="A135" s="279"/>
      <c r="B135" s="279"/>
      <c r="C135" s="279"/>
      <c r="D135" s="16"/>
      <c r="E135" s="1501"/>
      <c r="F135" s="63">
        <v>5</v>
      </c>
      <c r="G135" s="1297"/>
      <c r="H135" s="133"/>
      <c r="I135" s="134"/>
      <c r="J135" s="134"/>
      <c r="K135" s="134"/>
      <c r="L135" s="135"/>
      <c r="M135" s="18">
        <f>IF(A2stdlife="n/a","n/a",IF(M$3&gt;(A2stdlife+$F135),('RFM input'!$L$332*(1+vanilla5)^0.5)-SUM($L135:L135),('RFM input'!$L$332*(1+vanilla5)^0.5)/A2stdlife))</f>
        <v>1.6697212138606674E-2</v>
      </c>
      <c r="N135" s="18">
        <f>IF(A2stdlife="n/a","n/a",IF(N$3&gt;(A2stdlife+$F135),('RFM input'!$L$332*(1+vanilla5)^0.5)-SUM($L135:M135),('RFM input'!$L$332*(1+vanilla5)^0.5)/A2stdlife))</f>
        <v>1.6697212138606674E-2</v>
      </c>
      <c r="O135" s="18">
        <f>IF(A2stdlife="n/a","n/a",IF(O$3&gt;(A2stdlife+$F135),('RFM input'!$L$332*(1+vanilla5)^0.5)-SUM($L135:N135),('RFM input'!$L$332*(1+vanilla5)^0.5)/A2stdlife))</f>
        <v>1.6697212138606674E-2</v>
      </c>
      <c r="P135" s="18">
        <f>IF(A2stdlife="n/a","n/a",IF(P$3&gt;(A2stdlife+$F135),('RFM input'!$L$332*(1+vanilla5)^0.5)-SUM($L135:O135),('RFM input'!$L$332*(1+vanilla5)^0.5)/A2stdlife))</f>
        <v>1.6697212138606674E-2</v>
      </c>
      <c r="Q135" s="18">
        <f>IF(A2stdlife="n/a","n/a",IF(Q$3&gt;(A2stdlife+$F135),('RFM input'!$L$332*(1+vanilla5)^0.5)-SUM($L135:P135),('RFM input'!$L$332*(1+vanilla5)^0.5)/A2stdlife))</f>
        <v>1.6697212138606674E-2</v>
      </c>
      <c r="R135" s="18"/>
      <c r="S135" s="78"/>
      <c r="T135" s="78"/>
      <c r="U135" s="78"/>
      <c r="V135" s="78"/>
      <c r="W135" s="78"/>
      <c r="X135" s="78"/>
      <c r="Y135" s="78"/>
      <c r="Z135" s="78"/>
    </row>
    <row r="136" spans="1:26" hidden="1" outlineLevel="2">
      <c r="A136" s="279"/>
      <c r="B136" s="279"/>
      <c r="C136" s="279"/>
      <c r="D136" s="16"/>
      <c r="E136" s="1501"/>
      <c r="F136" s="63">
        <v>6</v>
      </c>
      <c r="G136" s="1297"/>
      <c r="H136" s="133"/>
      <c r="I136" s="134"/>
      <c r="J136" s="134"/>
      <c r="K136" s="134"/>
      <c r="L136" s="134"/>
      <c r="M136" s="135"/>
      <c r="N136" s="18">
        <f>IF(A2stdlife="n/a","n/a",IF(N$3&gt;(A2stdlife+$F136),('RFM input'!$M$332*(1+vanilla6)^0.5)-SUM($M136:M136),('RFM input'!$M$332*(1+vanilla6)^0.5)/A2stdlife))</f>
        <v>7.8552706614939492E-19</v>
      </c>
      <c r="O136" s="18">
        <f>IF(A2stdlife="n/a","n/a",IF(O$3&gt;(A2stdlife+$F136),('RFM input'!$M$332*(1+vanilla6)^0.5)-SUM($M136:N136),('RFM input'!$M$332*(1+vanilla6)^0.5)/A2stdlife))</f>
        <v>7.8552706614939492E-19</v>
      </c>
      <c r="P136" s="18">
        <f>IF(A2stdlife="n/a","n/a",IF(P$3&gt;(A2stdlife+$F136),('RFM input'!$M$332*(1+vanilla6)^0.5)-SUM($M136:O136),('RFM input'!$M$332*(1+vanilla6)^0.5)/A2stdlife))</f>
        <v>7.8552706614939492E-19</v>
      </c>
      <c r="Q136" s="18">
        <f>IF(A2stdlife="n/a","n/a",IF(Q$3&gt;(A2stdlife+$F136),('RFM input'!$M$332*(1+vanilla6)^0.5)-SUM($M136:P136),('RFM input'!$M$332*(1+vanilla6)^0.5)/A2stdlife))</f>
        <v>7.8552706614939492E-19</v>
      </c>
      <c r="R136" s="18"/>
      <c r="S136" s="78"/>
      <c r="T136" s="78"/>
      <c r="U136" s="78"/>
      <c r="V136" s="78"/>
      <c r="W136" s="78"/>
      <c r="X136" s="78"/>
      <c r="Y136" s="78"/>
      <c r="Z136" s="78"/>
    </row>
    <row r="137" spans="1:26" hidden="1" outlineLevel="2">
      <c r="A137" s="279"/>
      <c r="B137" s="279"/>
      <c r="C137" s="279"/>
      <c r="D137" s="16"/>
      <c r="E137" s="1501"/>
      <c r="F137" s="63">
        <v>7</v>
      </c>
      <c r="G137" s="1297"/>
      <c r="H137" s="133"/>
      <c r="I137" s="134"/>
      <c r="J137" s="134"/>
      <c r="K137" s="134"/>
      <c r="L137" s="134"/>
      <c r="M137" s="134"/>
      <c r="N137" s="135"/>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8"/>
      <c r="T137" s="78"/>
      <c r="U137" s="78"/>
      <c r="V137" s="78"/>
      <c r="W137" s="78"/>
      <c r="X137" s="78"/>
      <c r="Y137" s="78"/>
      <c r="Z137" s="78"/>
    </row>
    <row r="138" spans="1:26" hidden="1" outlineLevel="2">
      <c r="A138" s="279"/>
      <c r="B138" s="279"/>
      <c r="C138" s="279"/>
      <c r="D138" s="16"/>
      <c r="E138" s="1501"/>
      <c r="F138" s="63">
        <v>8</v>
      </c>
      <c r="G138" s="1297"/>
      <c r="H138" s="133"/>
      <c r="I138" s="134"/>
      <c r="J138" s="134"/>
      <c r="K138" s="134"/>
      <c r="L138" s="134"/>
      <c r="M138" s="134"/>
      <c r="N138" s="134"/>
      <c r="O138" s="135"/>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78"/>
      <c r="U138" s="78"/>
      <c r="V138" s="78"/>
      <c r="W138" s="78"/>
      <c r="X138" s="78"/>
      <c r="Y138" s="78"/>
      <c r="Z138" s="78"/>
    </row>
    <row r="139" spans="1:26" hidden="1" outlineLevel="2">
      <c r="A139" s="279"/>
      <c r="B139" s="279"/>
      <c r="C139" s="279"/>
      <c r="D139" s="16"/>
      <c r="E139" s="1501"/>
      <c r="F139" s="63">
        <v>9</v>
      </c>
      <c r="G139" s="1297"/>
      <c r="H139" s="133"/>
      <c r="I139" s="134"/>
      <c r="J139" s="134"/>
      <c r="K139" s="134"/>
      <c r="L139" s="134"/>
      <c r="M139" s="134"/>
      <c r="N139" s="134"/>
      <c r="O139" s="134"/>
      <c r="P139" s="135"/>
      <c r="Q139" s="18">
        <f>IF(A2stdlife="n/a","n/a",IF(Q$3&gt;(A2stdlife+$F139),('RFM input'!$P$332*(1+vanilla9)^0.5)-SUM($P139:P139),('RFM input'!$P$332*(1+vanilla9)^0.5)/A2stdlife))</f>
        <v>0</v>
      </c>
      <c r="R139" s="18"/>
      <c r="S139" s="78"/>
      <c r="T139" s="78"/>
      <c r="U139" s="78"/>
      <c r="V139" s="78"/>
      <c r="W139" s="78"/>
      <c r="X139" s="78"/>
      <c r="Y139" s="78"/>
      <c r="Z139" s="78"/>
    </row>
    <row r="140" spans="1:26" hidden="1" outlineLevel="2">
      <c r="A140" s="279"/>
      <c r="B140" s="279"/>
      <c r="C140" s="279"/>
      <c r="D140" s="16"/>
      <c r="E140" s="1501"/>
      <c r="F140" s="64">
        <v>10</v>
      </c>
      <c r="G140" s="1297"/>
      <c r="H140" s="133"/>
      <c r="I140" s="134"/>
      <c r="J140" s="134"/>
      <c r="K140" s="134"/>
      <c r="L140" s="134"/>
      <c r="M140" s="134"/>
      <c r="N140" s="134"/>
      <c r="O140" s="134"/>
      <c r="P140" s="134"/>
      <c r="Q140" s="135"/>
      <c r="R140" s="18"/>
      <c r="S140" s="78"/>
      <c r="T140" s="78"/>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-1.6151160086623675</v>
      </c>
      <c r="I141" s="1310">
        <f>IF(OR('RFM input'!$E$396='RFM input'!$G$395,'RFM input'!$E$396='RFM input'!$G$396),-INDEX('RFM input'!I$402:I$451,MATCH($D141,'RFM input'!$E$402:$E$451,0),1),-SUM(I129:I140))</f>
        <v>-1.6320539558741338</v>
      </c>
      <c r="J141" s="1311">
        <f>IF(COUNT($H141:I141)&gt;='RFM input'!$AA$7,0,IF(OR('RFM input'!$E$396='RFM input'!$G$395,'RFM input'!$E$396='RFM input'!$G$396),-INDEX('RFM input'!J$402:J$451,MATCH($D141,'RFM input'!$E$402:$E$451,0),1),-SUM(J129:J140)))</f>
        <v>-1.6322856618104618</v>
      </c>
      <c r="K141" s="1311">
        <f>IF(COUNT($H141:J141)&gt;='RFM input'!$AA$7,0,IF(OR('RFM input'!$E$396='RFM input'!$G$395,'RFM input'!$E$396='RFM input'!$G$396),-INDEX('RFM input'!K$402:K$451,MATCH($D141,'RFM input'!$E$402:$E$451,0),1),-SUM(K129:K140)))</f>
        <v>-1.640525247554391</v>
      </c>
      <c r="L141" s="1311">
        <f>IF(COUNT($H141:K141)&gt;='RFM input'!$AA$7,0,IF(OR('RFM input'!$E$396='RFM input'!$G$395,'RFM input'!$E$396='RFM input'!$G$396),-INDEX('RFM input'!L$402:L$451,MATCH($D141,'RFM input'!$E$402:$E$451,0),1),-SUM(L129:L140)))</f>
        <v>-1.6462312850581533</v>
      </c>
      <c r="M141" s="1311">
        <f>IF(COUNT($H141:L141)&gt;='RFM input'!$AA$7,0,IF(OR('RFM input'!$E$396='RFM input'!$G$395,'RFM input'!$E$396='RFM input'!$G$396),-INDEX('RFM input'!M$402:M$451,MATCH($D141,'RFM input'!$E$402:$E$451,0),1),-SUM(M129:M140)))</f>
        <v>-1.6629284971967599</v>
      </c>
      <c r="N141" s="1311">
        <f>IF(COUNT($H141:M141)&gt;='RFM input'!$AA$7,0,IF(OR('RFM input'!$E$396='RFM input'!$G$395,'RFM input'!$E$396='RFM input'!$G$396),-INDEX('RFM input'!N$402:N$451,MATCH($D141,'RFM input'!$E$402:$E$451,0),1),-SUM(N129:N140)))</f>
        <v>-1.6629284971967599</v>
      </c>
      <c r="O141" s="1311">
        <f>IF(COUNT($H141:N141)&gt;='RFM input'!$AA$7,0,IF(OR('RFM input'!$E$396='RFM input'!$G$395,'RFM input'!$E$396='RFM input'!$G$396),-INDEX('RFM input'!O$402:O$451,MATCH($D141,'RFM input'!$E$402:$E$451,0),1),-SUM(O129:O140)))</f>
        <v>-1.6629284971967599</v>
      </c>
      <c r="P141" s="1311">
        <f>IF(COUNT($H141:O141)&gt;='RFM input'!$AA$7,0,IF(OR('RFM input'!$E$396='RFM input'!$G$395,'RFM input'!$E$396='RFM input'!$G$396),-INDEX('RFM input'!P$402:P$451,MATCH($D141,'RFM input'!$E$402:$E$451,0),1),-SUM(P129:P140)))</f>
        <v>-1.6629284971967599</v>
      </c>
      <c r="Q141" s="1311">
        <f>IF(COUNT($H141:P141)&gt;='RFM input'!$AA$7,0,IF(OR('RFM input'!$E$396='RFM input'!$G$395,'RFM input'!$E$396='RFM input'!$G$396),-INDEX('RFM input'!Q$402:Q$451,MATCH($D141,'RFM input'!$E$402:$E$451,0),1),-SUM(Q129:Q140)))</f>
        <v>-1.6629284971967599</v>
      </c>
      <c r="R141" s="18"/>
      <c r="S141" s="79"/>
      <c r="T141" s="79"/>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f>IF(H$3&gt;A3remlife,A3value-SUM($G142:G142),IF(A3remlife="N/A","n/a",A3value/A3remlife))</f>
        <v>2.7127694748461397E-3</v>
      </c>
      <c r="I142" s="1308">
        <f>IF(I$3&gt;A3remlife,A3value-SUM($G142:H142),IF(A3remlife="N/A","n/a",A3value/A3remlife))</f>
        <v>2.7127694748461397E-3</v>
      </c>
      <c r="J142" s="1308">
        <f>IF(J$3&gt;A3remlife,A3value-SUM($G142:I142),IF(A3remlife="N/A","n/a",A3value/A3remlife))</f>
        <v>2.7127694748461397E-3</v>
      </c>
      <c r="K142" s="1308">
        <f>IF(K$3&gt;A3remlife,A3value-SUM($G142:J142),IF(A3remlife="N/A","n/a",A3value/A3remlife))</f>
        <v>2.7127694748461397E-3</v>
      </c>
      <c r="L142" s="1308">
        <f>IF(L$3&gt;A3remlife,A3value-SUM($G142:K142),IF(A3remlife="N/A","n/a",A3value/A3remlife))</f>
        <v>2.7127694748461397E-3</v>
      </c>
      <c r="M142" s="1308">
        <f>IF(M$3&gt;A3remlife,A3value-SUM($G142:L142),IF(A3remlife="N/A","n/a",A3value/A3remlife))</f>
        <v>2.7127694748461397E-3</v>
      </c>
      <c r="N142" s="1308">
        <f>IF(N$3&gt;A3remlife,A3value-SUM($G142:M142),IF(A3remlife="N/A","n/a",A3value/A3remlife))</f>
        <v>2.7127694748461397E-3</v>
      </c>
      <c r="O142" s="1308">
        <f>IF(O$3&gt;A3remlife,A3value-SUM($G142:N142),IF(A3remlife="N/A","n/a",A3value/A3remlife))</f>
        <v>2.7127694748461397E-3</v>
      </c>
      <c r="P142" s="1308">
        <f>IF(P$3&gt;A3remlife,A3value-SUM($G142:O142),IF(A3remlife="N/A","n/a",A3value/A3remlife))</f>
        <v>2.7127694748461397E-3</v>
      </c>
      <c r="Q142" s="1308">
        <f>IF(Q$3&gt;A3remlife,A3value-SUM($G142:P142),IF(A3remlife="N/A","n/a",A3value/A3remlife))</f>
        <v>2.7127694748461397E-3</v>
      </c>
      <c r="R142" s="20"/>
      <c r="S142" s="78"/>
      <c r="T142" s="78"/>
      <c r="U142" s="78"/>
      <c r="V142" s="78"/>
      <c r="W142" s="78"/>
      <c r="X142" s="78"/>
      <c r="Y142" s="78"/>
      <c r="Z142" s="78"/>
    </row>
    <row r="143" spans="1:26" ht="12.75" hidden="1" customHeight="1" outlineLevel="2">
      <c r="A143" s="279"/>
      <c r="B143" s="279"/>
      <c r="C143" s="279"/>
      <c r="D143" s="16"/>
      <c r="E143" s="1500" t="s">
        <v>46</v>
      </c>
      <c r="F143" s="63"/>
      <c r="G143" s="1297"/>
      <c r="H143" s="18"/>
      <c r="I143" s="18"/>
      <c r="J143" s="18"/>
      <c r="K143" s="18"/>
      <c r="L143" s="18"/>
      <c r="M143" s="1314"/>
      <c r="N143" s="1315"/>
      <c r="O143" s="18"/>
      <c r="P143" s="18"/>
      <c r="Q143" s="18"/>
      <c r="R143" s="18"/>
      <c r="S143" s="78"/>
      <c r="T143" s="78"/>
      <c r="U143" s="78"/>
      <c r="V143" s="78"/>
      <c r="W143" s="78"/>
      <c r="X143" s="78"/>
      <c r="Y143" s="78"/>
      <c r="Z143" s="78"/>
    </row>
    <row r="144" spans="1:26" hidden="1" outlineLevel="2">
      <c r="A144" s="279"/>
      <c r="B144" s="279"/>
      <c r="C144" s="279"/>
      <c r="D144" s="16"/>
      <c r="E144" s="1501"/>
      <c r="F144" s="63">
        <v>1</v>
      </c>
      <c r="G144" s="1297"/>
      <c r="H144" s="1309"/>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78"/>
      <c r="U144" s="78"/>
      <c r="V144" s="78"/>
      <c r="W144" s="78"/>
      <c r="X144" s="78"/>
      <c r="Y144" s="78"/>
      <c r="Z144" s="78"/>
    </row>
    <row r="145" spans="1:26" hidden="1" outlineLevel="2">
      <c r="A145" s="279"/>
      <c r="B145" s="279"/>
      <c r="C145" s="279"/>
      <c r="D145" s="16"/>
      <c r="E145" s="1501"/>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78"/>
      <c r="U145" s="78"/>
      <c r="V145" s="78"/>
      <c r="W145" s="78"/>
      <c r="X145" s="78"/>
      <c r="Y145" s="78"/>
      <c r="Z145" s="78"/>
    </row>
    <row r="146" spans="1:26" hidden="1" outlineLevel="2">
      <c r="A146" s="279"/>
      <c r="B146" s="279"/>
      <c r="C146" s="279"/>
      <c r="D146" s="16"/>
      <c r="E146" s="1501"/>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78"/>
      <c r="U146" s="78"/>
      <c r="V146" s="78"/>
      <c r="W146" s="78"/>
      <c r="X146" s="78"/>
      <c r="Y146" s="78"/>
      <c r="Z146" s="78"/>
    </row>
    <row r="147" spans="1:26" hidden="1" outlineLevel="2">
      <c r="A147" s="279"/>
      <c r="B147" s="279"/>
      <c r="C147" s="279"/>
      <c r="D147" s="16"/>
      <c r="E147" s="1501"/>
      <c r="F147" s="63">
        <v>4</v>
      </c>
      <c r="G147" s="1297"/>
      <c r="H147" s="133"/>
      <c r="I147" s="134"/>
      <c r="J147" s="134"/>
      <c r="K147" s="135"/>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78"/>
      <c r="U147" s="78"/>
      <c r="V147" s="78"/>
      <c r="W147" s="78"/>
      <c r="X147" s="78"/>
      <c r="Y147" s="78"/>
      <c r="Z147" s="78"/>
    </row>
    <row r="148" spans="1:26" hidden="1" outlineLevel="2">
      <c r="A148" s="279"/>
      <c r="B148" s="279"/>
      <c r="C148" s="279"/>
      <c r="D148" s="16"/>
      <c r="E148" s="1501"/>
      <c r="F148" s="63">
        <v>5</v>
      </c>
      <c r="G148" s="1297"/>
      <c r="H148" s="133"/>
      <c r="I148" s="134"/>
      <c r="J148" s="134"/>
      <c r="K148" s="134"/>
      <c r="L148" s="135"/>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78"/>
      <c r="U148" s="78"/>
      <c r="V148" s="78"/>
      <c r="W148" s="78"/>
      <c r="X148" s="78"/>
      <c r="Y148" s="78"/>
      <c r="Z148" s="78"/>
    </row>
    <row r="149" spans="1:26" hidden="1" outlineLevel="2">
      <c r="A149" s="279"/>
      <c r="B149" s="279"/>
      <c r="C149" s="279"/>
      <c r="D149" s="16"/>
      <c r="E149" s="1501"/>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78"/>
      <c r="U149" s="78"/>
      <c r="V149" s="78"/>
      <c r="W149" s="78"/>
      <c r="X149" s="78"/>
      <c r="Y149" s="78"/>
      <c r="Z149" s="78"/>
    </row>
    <row r="150" spans="1:26" hidden="1" outlineLevel="2">
      <c r="A150" s="279"/>
      <c r="B150" s="279"/>
      <c r="C150" s="279"/>
      <c r="D150" s="16"/>
      <c r="E150" s="1501"/>
      <c r="F150" s="63">
        <v>7</v>
      </c>
      <c r="G150" s="1297"/>
      <c r="H150" s="133"/>
      <c r="I150" s="134"/>
      <c r="J150" s="134"/>
      <c r="K150" s="134"/>
      <c r="L150" s="134"/>
      <c r="M150" s="134"/>
      <c r="N150" s="135"/>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78"/>
      <c r="U150" s="78"/>
      <c r="V150" s="78"/>
      <c r="W150" s="78"/>
      <c r="X150" s="78"/>
      <c r="Y150" s="78"/>
      <c r="Z150" s="78"/>
    </row>
    <row r="151" spans="1:26" hidden="1" outlineLevel="2">
      <c r="A151" s="279"/>
      <c r="B151" s="279"/>
      <c r="C151" s="279"/>
      <c r="D151" s="16"/>
      <c r="E151" s="1501"/>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78"/>
      <c r="U151" s="78"/>
      <c r="V151" s="78"/>
      <c r="W151" s="78"/>
      <c r="X151" s="78"/>
      <c r="Y151" s="78"/>
      <c r="Z151" s="78"/>
    </row>
    <row r="152" spans="1:26" hidden="1" outlineLevel="2">
      <c r="A152" s="279"/>
      <c r="B152" s="279"/>
      <c r="C152" s="279"/>
      <c r="D152" s="16"/>
      <c r="E152" s="1501"/>
      <c r="F152" s="63">
        <v>9</v>
      </c>
      <c r="G152" s="1297"/>
      <c r="H152" s="133"/>
      <c r="I152" s="134"/>
      <c r="J152" s="134"/>
      <c r="K152" s="134"/>
      <c r="L152" s="134"/>
      <c r="M152" s="134"/>
      <c r="N152" s="134"/>
      <c r="O152" s="134"/>
      <c r="P152" s="135"/>
      <c r="Q152" s="18">
        <f>IF(A3stdlife="n/a","n/a",IF(Q$3&gt;(A3stdlife+$F152),('RFM input'!$P$333*(1+vanilla9)^0.5)-SUM($P152:P152),('RFM input'!$P$333*(1+vanilla9)^0.5)/A3stdlife))</f>
        <v>0</v>
      </c>
      <c r="R152" s="18"/>
      <c r="S152" s="78"/>
      <c r="T152" s="78"/>
      <c r="U152" s="78"/>
      <c r="V152" s="78"/>
      <c r="W152" s="78"/>
      <c r="X152" s="78"/>
      <c r="Y152" s="78"/>
      <c r="Z152" s="78"/>
    </row>
    <row r="153" spans="1:26" hidden="1" outlineLevel="2">
      <c r="A153" s="279"/>
      <c r="B153" s="279"/>
      <c r="C153" s="279"/>
      <c r="D153" s="16"/>
      <c r="E153" s="1501"/>
      <c r="F153" s="64">
        <v>10</v>
      </c>
      <c r="G153" s="1297"/>
      <c r="H153" s="133"/>
      <c r="I153" s="134"/>
      <c r="J153" s="134"/>
      <c r="K153" s="134"/>
      <c r="L153" s="134"/>
      <c r="M153" s="134"/>
      <c r="N153" s="134"/>
      <c r="O153" s="134"/>
      <c r="P153" s="134"/>
      <c r="Q153" s="135"/>
      <c r="R153" s="18"/>
      <c r="S153" s="78"/>
      <c r="T153" s="78"/>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-2.7127694748461397E-3</v>
      </c>
      <c r="I154" s="1310">
        <f>IF(OR('RFM input'!$E$396='RFM input'!$G$395,'RFM input'!$E$396='RFM input'!$G$396),-INDEX('RFM input'!I$402:I$451,MATCH($D154,'RFM input'!$E$402:$E$451,0),1),-SUM(I142:I153))</f>
        <v>-2.7127694748461397E-3</v>
      </c>
      <c r="J154" s="1311">
        <f>IF(COUNT($H154:I154)&gt;='RFM input'!$AA$7,0,IF(OR('RFM input'!$E$396='RFM input'!$G$395,'RFM input'!$E$396='RFM input'!$G$396),-INDEX('RFM input'!J$402:J$451,MATCH($D154,'RFM input'!$E$402:$E$451,0),1),-SUM(J142:J153)))</f>
        <v>-2.7127694748461397E-3</v>
      </c>
      <c r="K154" s="1311">
        <f>IF(COUNT($H154:J154)&gt;='RFM input'!$AA$7,0,IF(OR('RFM input'!$E$396='RFM input'!$G$395,'RFM input'!$E$396='RFM input'!$G$396),-INDEX('RFM input'!K$402:K$451,MATCH($D154,'RFM input'!$E$402:$E$451,0),1),-SUM(K142:K153)))</f>
        <v>-2.7127694748461397E-3</v>
      </c>
      <c r="L154" s="1311">
        <f>IF(COUNT($H154:K154)&gt;='RFM input'!$AA$7,0,IF(OR('RFM input'!$E$396='RFM input'!$G$395,'RFM input'!$E$396='RFM input'!$G$396),-INDEX('RFM input'!L$402:L$451,MATCH($D154,'RFM input'!$E$402:$E$451,0),1),-SUM(L142:L153)))</f>
        <v>-2.7127694748461397E-3</v>
      </c>
      <c r="M154" s="1311">
        <f>IF(COUNT($H154:L154)&gt;='RFM input'!$AA$7,0,IF(OR('RFM input'!$E$396='RFM input'!$G$395,'RFM input'!$E$396='RFM input'!$G$396),-INDEX('RFM input'!M$402:M$451,MATCH($D154,'RFM input'!$E$402:$E$451,0),1),-SUM(M142:M153)))</f>
        <v>-2.7127694748461397E-3</v>
      </c>
      <c r="N154" s="1311">
        <f>IF(COUNT($H154:M154)&gt;='RFM input'!$AA$7,0,IF(OR('RFM input'!$E$396='RFM input'!$G$395,'RFM input'!$E$396='RFM input'!$G$396),-INDEX('RFM input'!N$402:N$451,MATCH($D154,'RFM input'!$E$402:$E$451,0),1),-SUM(N142:N153)))</f>
        <v>-2.7127694748461397E-3</v>
      </c>
      <c r="O154" s="1311">
        <f>IF(COUNT($H154:N154)&gt;='RFM input'!$AA$7,0,IF(OR('RFM input'!$E$396='RFM input'!$G$395,'RFM input'!$E$396='RFM input'!$G$396),-INDEX('RFM input'!O$402:O$451,MATCH($D154,'RFM input'!$E$402:$E$451,0),1),-SUM(O142:O153)))</f>
        <v>-2.7127694748461397E-3</v>
      </c>
      <c r="P154" s="1311">
        <f>IF(COUNT($H154:O154)&gt;='RFM input'!$AA$7,0,IF(OR('RFM input'!$E$396='RFM input'!$G$395,'RFM input'!$E$396='RFM input'!$G$396),-INDEX('RFM input'!P$402:P$451,MATCH($D154,'RFM input'!$E$402:$E$451,0),1),-SUM(P142:P153)))</f>
        <v>-2.7127694748461397E-3</v>
      </c>
      <c r="Q154" s="1311">
        <f>IF(COUNT($H154:P154)&gt;='RFM input'!$AA$7,0,IF(OR('RFM input'!$E$396='RFM input'!$G$395,'RFM input'!$E$396='RFM input'!$G$396),-INDEX('RFM input'!Q$402:Q$451,MATCH($D154,'RFM input'!$E$402:$E$451,0),1),-SUM(Q142:Q153)))</f>
        <v>-2.7127694748461397E-3</v>
      </c>
      <c r="R154" s="1312"/>
      <c r="S154" s="80"/>
      <c r="T154" s="80"/>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0.2238541913081333</v>
      </c>
      <c r="I155" s="1308">
        <f>IF(I$3&gt;A4remlife,A4value-SUM($G155:H155),IF(A4remlife="N/A","n/a",A4value/A4remlife))</f>
        <v>0.2238541913081333</v>
      </c>
      <c r="J155" s="1308">
        <f>IF(J$3&gt;A4remlife,A4value-SUM($G155:I155),IF(A4remlife="N/A","n/a",A4value/A4remlife))</f>
        <v>0.2238541913081333</v>
      </c>
      <c r="K155" s="1308">
        <f>IF(K$3&gt;A4remlife,A4value-SUM($G155:J155),IF(A4remlife="N/A","n/a",A4value/A4remlife))</f>
        <v>0.2238541913081333</v>
      </c>
      <c r="L155" s="1308">
        <f>IF(L$3&gt;A4remlife,A4value-SUM($G155:K155),IF(A4remlife="N/A","n/a",A4value/A4remlife))</f>
        <v>0.2238541913081333</v>
      </c>
      <c r="M155" s="1308">
        <f>IF(M$3&gt;A4remlife,A4value-SUM($G155:L155),IF(A4remlife="N/A","n/a",A4value/A4remlife))</f>
        <v>0.2238541913081333</v>
      </c>
      <c r="N155" s="1308">
        <f>IF(N$3&gt;A4remlife,A4value-SUM($G155:M155),IF(A4remlife="N/A","n/a",A4value/A4remlife))</f>
        <v>0.2238541913081333</v>
      </c>
      <c r="O155" s="1308">
        <f>IF(O$3&gt;A4remlife,A4value-SUM($G155:N155),IF(A4remlife="N/A","n/a",A4value/A4remlife))</f>
        <v>0.2238541913081333</v>
      </c>
      <c r="P155" s="1308">
        <f>IF(P$3&gt;A4remlife,A4value-SUM($G155:O155),IF(A4remlife="N/A","n/a",A4value/A4remlife))</f>
        <v>0.2238541913081333</v>
      </c>
      <c r="Q155" s="1308">
        <f>IF(Q$3&gt;A4remlife,A4value-SUM($G155:P155),IF(A4remlife="N/A","n/a",A4value/A4remlife))</f>
        <v>0.2238541913081333</v>
      </c>
      <c r="R155" s="20"/>
      <c r="S155" s="78"/>
      <c r="T155" s="78"/>
      <c r="U155" s="78"/>
      <c r="V155" s="78"/>
      <c r="W155" s="78"/>
      <c r="X155" s="78"/>
      <c r="Y155" s="78"/>
      <c r="Z155" s="78"/>
    </row>
    <row r="156" spans="1:26" ht="12.75" hidden="1" customHeight="1" outlineLevel="2">
      <c r="A156" s="279"/>
      <c r="B156" s="279"/>
      <c r="C156" s="147"/>
      <c r="D156" s="16"/>
      <c r="E156" s="1500" t="s">
        <v>46</v>
      </c>
      <c r="F156" s="63"/>
      <c r="G156" s="1297"/>
      <c r="H156" s="18"/>
      <c r="I156" s="18"/>
      <c r="J156" s="18"/>
      <c r="K156" s="18"/>
      <c r="L156" s="18"/>
      <c r="M156" s="1314"/>
      <c r="N156" s="1315"/>
      <c r="O156" s="18"/>
      <c r="P156" s="18"/>
      <c r="Q156" s="18"/>
      <c r="R156" s="18"/>
      <c r="S156" s="78"/>
      <c r="T156" s="78"/>
      <c r="U156" s="78"/>
      <c r="V156" s="78"/>
      <c r="W156" s="78"/>
      <c r="X156" s="78"/>
      <c r="Y156" s="78"/>
      <c r="Z156" s="78"/>
    </row>
    <row r="157" spans="1:26" hidden="1" outlineLevel="2">
      <c r="A157" s="279"/>
      <c r="B157" s="279"/>
      <c r="C157" s="147"/>
      <c r="D157" s="16"/>
      <c r="E157" s="1501"/>
      <c r="F157" s="63">
        <v>1</v>
      </c>
      <c r="G157" s="1297"/>
      <c r="H157" s="1309"/>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8"/>
      <c r="T157" s="78"/>
      <c r="U157" s="78"/>
      <c r="V157" s="78"/>
      <c r="W157" s="78"/>
      <c r="X157" s="78"/>
      <c r="Y157" s="78"/>
      <c r="Z157" s="78"/>
    </row>
    <row r="158" spans="1:26" hidden="1" outlineLevel="2">
      <c r="A158" s="279"/>
      <c r="B158" s="279"/>
      <c r="C158" s="147"/>
      <c r="D158" s="16"/>
      <c r="E158" s="1501"/>
      <c r="F158" s="63">
        <v>2</v>
      </c>
      <c r="G158" s="1297"/>
      <c r="H158" s="133"/>
      <c r="I158" s="135"/>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8"/>
      <c r="T158" s="78"/>
      <c r="U158" s="78"/>
      <c r="V158" s="78"/>
      <c r="W158" s="78"/>
      <c r="X158" s="78"/>
      <c r="Y158" s="78"/>
      <c r="Z158" s="78"/>
    </row>
    <row r="159" spans="1:26" hidden="1" outlineLevel="2">
      <c r="A159" s="279"/>
      <c r="B159" s="279"/>
      <c r="C159" s="147"/>
      <c r="D159" s="16"/>
      <c r="E159" s="1501"/>
      <c r="F159" s="63">
        <v>3</v>
      </c>
      <c r="G159" s="1297"/>
      <c r="H159" s="133"/>
      <c r="I159" s="134"/>
      <c r="J159" s="135"/>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78"/>
      <c r="U159" s="78"/>
      <c r="V159" s="78"/>
      <c r="W159" s="78"/>
      <c r="X159" s="78"/>
      <c r="Y159" s="78"/>
      <c r="Z159" s="78"/>
    </row>
    <row r="160" spans="1:26" hidden="1" outlineLevel="2">
      <c r="A160" s="279"/>
      <c r="B160" s="279"/>
      <c r="C160" s="147"/>
      <c r="D160" s="16"/>
      <c r="E160" s="1501"/>
      <c r="F160" s="63">
        <v>4</v>
      </c>
      <c r="G160" s="1297"/>
      <c r="H160" s="133"/>
      <c r="I160" s="134"/>
      <c r="J160" s="134"/>
      <c r="K160" s="135"/>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78"/>
      <c r="U160" s="78"/>
      <c r="V160" s="78"/>
      <c r="W160" s="78"/>
      <c r="X160" s="78"/>
      <c r="Y160" s="78"/>
      <c r="Z160" s="78"/>
    </row>
    <row r="161" spans="1:26" hidden="1" outlineLevel="2">
      <c r="A161" s="279"/>
      <c r="B161" s="279"/>
      <c r="C161" s="147"/>
      <c r="D161" s="16"/>
      <c r="E161" s="1501"/>
      <c r="F161" s="63">
        <v>5</v>
      </c>
      <c r="G161" s="1297"/>
      <c r="H161" s="133"/>
      <c r="I161" s="134"/>
      <c r="J161" s="134"/>
      <c r="K161" s="134"/>
      <c r="L161" s="135"/>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78"/>
      <c r="U161" s="78"/>
      <c r="V161" s="78"/>
      <c r="W161" s="78"/>
      <c r="X161" s="78"/>
      <c r="Y161" s="78"/>
      <c r="Z161" s="78"/>
    </row>
    <row r="162" spans="1:26" hidden="1" outlineLevel="2">
      <c r="A162" s="279"/>
      <c r="B162" s="279"/>
      <c r="C162" s="147"/>
      <c r="D162" s="16"/>
      <c r="E162" s="1501"/>
      <c r="F162" s="63">
        <v>6</v>
      </c>
      <c r="G162" s="1297"/>
      <c r="H162" s="133"/>
      <c r="I162" s="134"/>
      <c r="J162" s="134"/>
      <c r="K162" s="134"/>
      <c r="L162" s="134"/>
      <c r="M162" s="135"/>
      <c r="N162" s="18">
        <f>IF(A4stdlife="n/a","n/a",IF(N$3&gt;(A4stdlife+$F162),('RFM input'!$M$334*(1+vanilla6)^0.5)-SUM($M162:M162),('RFM input'!$M$334*(1+vanilla6)^0.5)/A4stdlife))</f>
        <v>7.8228312176926631E-3</v>
      </c>
      <c r="O162" s="18">
        <f>IF(A4stdlife="n/a","n/a",IF(O$3&gt;(A4stdlife+$F162),('RFM input'!$M$334*(1+vanilla6)^0.5)-SUM($M162:N162),('RFM input'!$M$334*(1+vanilla6)^0.5)/A4stdlife))</f>
        <v>7.8228312176926631E-3</v>
      </c>
      <c r="P162" s="18">
        <f>IF(A4stdlife="n/a","n/a",IF(P$3&gt;(A4stdlife+$F162),('RFM input'!$M$334*(1+vanilla6)^0.5)-SUM($M162:O162),('RFM input'!$M$334*(1+vanilla6)^0.5)/A4stdlife))</f>
        <v>7.8228312176926631E-3</v>
      </c>
      <c r="Q162" s="18">
        <f>IF(A4stdlife="n/a","n/a",IF(Q$3&gt;(A4stdlife+$F162),('RFM input'!$M$334*(1+vanilla6)^0.5)-SUM($M162:P162),('RFM input'!$M$334*(1+vanilla6)^0.5)/A4stdlife))</f>
        <v>7.8228312176926631E-3</v>
      </c>
      <c r="R162" s="18"/>
      <c r="S162" s="78"/>
      <c r="T162" s="78"/>
      <c r="U162" s="78"/>
      <c r="V162" s="78"/>
      <c r="W162" s="78"/>
      <c r="X162" s="78"/>
      <c r="Y162" s="78"/>
      <c r="Z162" s="78"/>
    </row>
    <row r="163" spans="1:26" hidden="1" outlineLevel="2">
      <c r="A163" s="279"/>
      <c r="B163" s="279"/>
      <c r="C163" s="147"/>
      <c r="D163" s="16"/>
      <c r="E163" s="1501"/>
      <c r="F163" s="63">
        <v>7</v>
      </c>
      <c r="G163" s="1297"/>
      <c r="H163" s="133"/>
      <c r="I163" s="134"/>
      <c r="J163" s="134"/>
      <c r="K163" s="134"/>
      <c r="L163" s="134"/>
      <c r="M163" s="134"/>
      <c r="N163" s="135"/>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8"/>
      <c r="T163" s="78"/>
      <c r="U163" s="78"/>
      <c r="V163" s="78"/>
      <c r="W163" s="78"/>
      <c r="X163" s="78"/>
      <c r="Y163" s="78"/>
      <c r="Z163" s="78"/>
    </row>
    <row r="164" spans="1:26" hidden="1" outlineLevel="2">
      <c r="A164" s="279"/>
      <c r="B164" s="279"/>
      <c r="C164" s="147"/>
      <c r="D164" s="16"/>
      <c r="E164" s="1501"/>
      <c r="F164" s="63">
        <v>8</v>
      </c>
      <c r="G164" s="1297"/>
      <c r="H164" s="133"/>
      <c r="I164" s="134"/>
      <c r="J164" s="134"/>
      <c r="K164" s="134"/>
      <c r="L164" s="134"/>
      <c r="M164" s="134"/>
      <c r="N164" s="134"/>
      <c r="O164" s="135"/>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78"/>
      <c r="U164" s="78"/>
      <c r="V164" s="78"/>
      <c r="W164" s="78"/>
      <c r="X164" s="78"/>
      <c r="Y164" s="78"/>
      <c r="Z164" s="78"/>
    </row>
    <row r="165" spans="1:26" hidden="1" outlineLevel="2">
      <c r="A165" s="279"/>
      <c r="B165" s="279"/>
      <c r="C165" s="147"/>
      <c r="D165" s="16"/>
      <c r="E165" s="1501"/>
      <c r="F165" s="63">
        <v>9</v>
      </c>
      <c r="G165" s="1297"/>
      <c r="H165" s="133"/>
      <c r="I165" s="134"/>
      <c r="J165" s="134"/>
      <c r="K165" s="134"/>
      <c r="L165" s="134"/>
      <c r="M165" s="134"/>
      <c r="N165" s="134"/>
      <c r="O165" s="134"/>
      <c r="P165" s="135"/>
      <c r="Q165" s="18">
        <f>IF(A4stdlife="n/a","n/a",IF(Q$3&gt;(A4stdlife+$F165),('RFM input'!$P$334*(1+vanilla9)^0.5)-SUM($P165:P165),('RFM input'!$P$334*(1+vanilla9)^0.5)/A4stdlife))</f>
        <v>0</v>
      </c>
      <c r="R165" s="18"/>
      <c r="S165" s="78"/>
      <c r="T165" s="78"/>
      <c r="U165" s="78"/>
      <c r="V165" s="78"/>
      <c r="W165" s="78"/>
      <c r="X165" s="78"/>
      <c r="Y165" s="78"/>
      <c r="Z165" s="78"/>
    </row>
    <row r="166" spans="1:26" hidden="1" outlineLevel="2">
      <c r="A166" s="279"/>
      <c r="B166" s="279"/>
      <c r="C166" s="147"/>
      <c r="D166" s="16"/>
      <c r="E166" s="1501"/>
      <c r="F166" s="64">
        <v>10</v>
      </c>
      <c r="G166" s="1297"/>
      <c r="H166" s="133"/>
      <c r="I166" s="134"/>
      <c r="J166" s="134"/>
      <c r="K166" s="134"/>
      <c r="L166" s="134"/>
      <c r="M166" s="134"/>
      <c r="N166" s="134"/>
      <c r="O166" s="134"/>
      <c r="P166" s="134"/>
      <c r="Q166" s="135"/>
      <c r="R166" s="18"/>
      <c r="S166" s="78"/>
      <c r="T166" s="78"/>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-0.2238541913081333</v>
      </c>
      <c r="I167" s="1310">
        <f>IF(OR('RFM input'!$E$396='RFM input'!$G$395,'RFM input'!$E$396='RFM input'!$G$396),-INDEX('RFM input'!I$402:I$451,MATCH($D167,'RFM input'!$E$402:$E$451,0),1),-SUM(I155:I166))</f>
        <v>-0.2238541913081333</v>
      </c>
      <c r="J167" s="1311">
        <f>IF(COUNT($H167:I167)&gt;='RFM input'!$AA$7,0,IF(OR('RFM input'!$E$396='RFM input'!$G$395,'RFM input'!$E$396='RFM input'!$G$396),-INDEX('RFM input'!J$402:J$451,MATCH($D167,'RFM input'!$E$402:$E$451,0),1),-SUM(J155:J166)))</f>
        <v>-0.2238541913081333</v>
      </c>
      <c r="K167" s="1311">
        <f>IF(COUNT($H167:J167)&gt;='RFM input'!$AA$7,0,IF(OR('RFM input'!$E$396='RFM input'!$G$395,'RFM input'!$E$396='RFM input'!$G$396),-INDEX('RFM input'!K$402:K$451,MATCH($D167,'RFM input'!$E$402:$E$451,0),1),-SUM(K155:K166)))</f>
        <v>-0.2238541913081333</v>
      </c>
      <c r="L167" s="1311">
        <f>IF(COUNT($H167:K167)&gt;='RFM input'!$AA$7,0,IF(OR('RFM input'!$E$396='RFM input'!$G$395,'RFM input'!$E$396='RFM input'!$G$396),-INDEX('RFM input'!L$402:L$451,MATCH($D167,'RFM input'!$E$402:$E$451,0),1),-SUM(L155:L166)))</f>
        <v>-0.2238541913081333</v>
      </c>
      <c r="M167" s="1311">
        <f>IF(COUNT($H167:L167)&gt;='RFM input'!$AA$7,0,IF(OR('RFM input'!$E$396='RFM input'!$G$395,'RFM input'!$E$396='RFM input'!$G$396),-INDEX('RFM input'!M$402:M$451,MATCH($D167,'RFM input'!$E$402:$E$451,0),1),-SUM(M155:M166)))</f>
        <v>-0.2238541913081333</v>
      </c>
      <c r="N167" s="1311">
        <f>IF(COUNT($H167:M167)&gt;='RFM input'!$AA$7,0,IF(OR('RFM input'!$E$396='RFM input'!$G$395,'RFM input'!$E$396='RFM input'!$G$396),-INDEX('RFM input'!N$402:N$451,MATCH($D167,'RFM input'!$E$402:$E$451,0),1),-SUM(N155:N166)))</f>
        <v>-0.23167702252582598</v>
      </c>
      <c r="O167" s="1311">
        <f>IF(COUNT($H167:N167)&gt;='RFM input'!$AA$7,0,IF(OR('RFM input'!$E$396='RFM input'!$G$395,'RFM input'!$E$396='RFM input'!$G$396),-INDEX('RFM input'!O$402:O$451,MATCH($D167,'RFM input'!$E$402:$E$451,0),1),-SUM(O155:O166)))</f>
        <v>-0.23167702252582598</v>
      </c>
      <c r="P167" s="1311">
        <f>IF(COUNT($H167:O167)&gt;='RFM input'!$AA$7,0,IF(OR('RFM input'!$E$396='RFM input'!$G$395,'RFM input'!$E$396='RFM input'!$G$396),-INDEX('RFM input'!P$402:P$451,MATCH($D167,'RFM input'!$E$402:$E$451,0),1),-SUM(P155:P166)))</f>
        <v>-0.23167702252582598</v>
      </c>
      <c r="Q167" s="1311">
        <f>IF(COUNT($H167:P167)&gt;='RFM input'!$AA$7,0,IF(OR('RFM input'!$E$396='RFM input'!$G$395,'RFM input'!$E$396='RFM input'!$G$396),-INDEX('RFM input'!Q$402:Q$451,MATCH($D167,'RFM input'!$E$402:$E$451,0),1),-SUM(Q155:Q166)))</f>
        <v>-0.23167702252582598</v>
      </c>
      <c r="R167" s="1312"/>
      <c r="S167" s="80"/>
      <c r="T167" s="80"/>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1.3452240363836308E-3</v>
      </c>
      <c r="I168" s="1308">
        <f>IF(I$3&gt;A5remlife,A5value-SUM($G168:H168),IF(A5remlife="N/A","n/a",A5value/A5remlife))</f>
        <v>1.3452240363836308E-3</v>
      </c>
      <c r="J168" s="1308">
        <f>IF(J$3&gt;A5remlife,A5value-SUM($G168:I168),IF(A5remlife="N/A","n/a",A5value/A5remlife))</f>
        <v>1.3452240363836308E-3</v>
      </c>
      <c r="K168" s="1308">
        <f>IF(K$3&gt;A5remlife,A5value-SUM($G168:J168),IF(A5remlife="N/A","n/a",A5value/A5remlife))</f>
        <v>1.3452240363836308E-3</v>
      </c>
      <c r="L168" s="1308">
        <f>IF(L$3&gt;A5remlife,A5value-SUM($G168:K168),IF(A5remlife="N/A","n/a",A5value/A5remlife))</f>
        <v>1.3452240363836308E-3</v>
      </c>
      <c r="M168" s="1308">
        <f>IF(M$3&gt;A5remlife,A5value-SUM($G168:L168),IF(A5remlife="N/A","n/a",A5value/A5remlife))</f>
        <v>1.3452240363836308E-3</v>
      </c>
      <c r="N168" s="1308">
        <f>IF(N$3&gt;A5remlife,A5value-SUM($G168:M168),IF(A5remlife="N/A","n/a",A5value/A5remlife))</f>
        <v>1.3452240363836308E-3</v>
      </c>
      <c r="O168" s="1308">
        <f>IF(O$3&gt;A5remlife,A5value-SUM($G168:N168),IF(A5remlife="N/A","n/a",A5value/A5remlife))</f>
        <v>1.3452240363836308E-3</v>
      </c>
      <c r="P168" s="1308">
        <f>IF(P$3&gt;A5remlife,A5value-SUM($G168:O168),IF(A5remlife="N/A","n/a",A5value/A5remlife))</f>
        <v>1.3452240363836308E-3</v>
      </c>
      <c r="Q168" s="1308">
        <f>IF(Q$3&gt;A5remlife,A5value-SUM($G168:P168),IF(A5remlife="N/A","n/a",A5value/A5remlife))</f>
        <v>1.3452240363836308E-3</v>
      </c>
      <c r="R168" s="1308"/>
      <c r="S168" s="78"/>
      <c r="T168" s="78"/>
      <c r="U168" s="78"/>
      <c r="V168" s="78"/>
      <c r="W168" s="78"/>
      <c r="X168" s="78"/>
      <c r="Y168" s="78"/>
      <c r="Z168" s="78"/>
    </row>
    <row r="169" spans="1:26" ht="12.75" hidden="1" customHeight="1" outlineLevel="2">
      <c r="A169" s="279"/>
      <c r="B169" s="279"/>
      <c r="C169" s="147"/>
      <c r="D169" s="16"/>
      <c r="E169" s="1500" t="s">
        <v>46</v>
      </c>
      <c r="F169" s="63"/>
      <c r="G169" s="1297"/>
      <c r="H169" s="18"/>
      <c r="I169" s="18"/>
      <c r="J169" s="18"/>
      <c r="K169" s="18"/>
      <c r="L169" s="18"/>
      <c r="M169" s="1314"/>
      <c r="N169" s="1315"/>
      <c r="O169" s="18"/>
      <c r="P169" s="18"/>
      <c r="Q169" s="18"/>
      <c r="R169" s="18"/>
      <c r="S169" s="78"/>
      <c r="T169" s="78"/>
      <c r="U169" s="78"/>
      <c r="V169" s="78"/>
      <c r="W169" s="78"/>
      <c r="X169" s="78"/>
      <c r="Y169" s="78"/>
      <c r="Z169" s="78"/>
    </row>
    <row r="170" spans="1:26" hidden="1" outlineLevel="2">
      <c r="A170" s="279"/>
      <c r="B170" s="279"/>
      <c r="C170" s="147"/>
      <c r="D170" s="16"/>
      <c r="E170" s="1501"/>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78"/>
      <c r="U170" s="78"/>
      <c r="V170" s="78"/>
      <c r="W170" s="78"/>
      <c r="X170" s="78"/>
      <c r="Y170" s="78"/>
      <c r="Z170" s="78"/>
    </row>
    <row r="171" spans="1:26" hidden="1" outlineLevel="2">
      <c r="A171" s="279"/>
      <c r="B171" s="279"/>
      <c r="C171" s="147"/>
      <c r="D171" s="16"/>
      <c r="E171" s="1501"/>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78"/>
      <c r="U171" s="78"/>
      <c r="V171" s="78"/>
      <c r="W171" s="78"/>
      <c r="X171" s="78"/>
      <c r="Y171" s="78"/>
      <c r="Z171" s="78"/>
    </row>
    <row r="172" spans="1:26" hidden="1" outlineLevel="2">
      <c r="A172" s="279"/>
      <c r="B172" s="279"/>
      <c r="C172" s="147"/>
      <c r="D172" s="16"/>
      <c r="E172" s="1501"/>
      <c r="F172" s="63">
        <v>3</v>
      </c>
      <c r="G172" s="1297"/>
      <c r="H172" s="133"/>
      <c r="I172" s="134"/>
      <c r="J172" s="135"/>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8"/>
      <c r="T172" s="78"/>
      <c r="U172" s="78"/>
      <c r="V172" s="78"/>
      <c r="W172" s="78"/>
      <c r="X172" s="78"/>
      <c r="Y172" s="78"/>
      <c r="Z172" s="78"/>
    </row>
    <row r="173" spans="1:26" hidden="1" outlineLevel="2">
      <c r="A173" s="279"/>
      <c r="B173" s="279"/>
      <c r="C173" s="147"/>
      <c r="D173" s="16"/>
      <c r="E173" s="1501"/>
      <c r="F173" s="63">
        <v>4</v>
      </c>
      <c r="G173" s="1297"/>
      <c r="H173" s="133"/>
      <c r="I173" s="134"/>
      <c r="J173" s="134"/>
      <c r="K173" s="135"/>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8"/>
      <c r="T173" s="78"/>
      <c r="U173" s="78"/>
      <c r="V173" s="78"/>
      <c r="W173" s="78"/>
      <c r="X173" s="78"/>
      <c r="Y173" s="78"/>
      <c r="Z173" s="78"/>
    </row>
    <row r="174" spans="1:26" ht="13.5" hidden="1" customHeight="1" outlineLevel="2">
      <c r="A174" s="279"/>
      <c r="B174" s="279"/>
      <c r="C174" s="147"/>
      <c r="D174" s="16"/>
      <c r="E174" s="1501"/>
      <c r="F174" s="63">
        <v>5</v>
      </c>
      <c r="G174" s="1297"/>
      <c r="H174" s="133"/>
      <c r="I174" s="134"/>
      <c r="J174" s="134"/>
      <c r="K174" s="134"/>
      <c r="L174" s="135"/>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78"/>
      <c r="U174" s="78"/>
      <c r="V174" s="78"/>
      <c r="W174" s="78"/>
      <c r="X174" s="78"/>
      <c r="Y174" s="78"/>
      <c r="Z174" s="78"/>
    </row>
    <row r="175" spans="1:26" ht="13.5" hidden="1" customHeight="1" outlineLevel="2">
      <c r="A175" s="279"/>
      <c r="B175" s="279"/>
      <c r="C175" s="147"/>
      <c r="D175" s="16"/>
      <c r="E175" s="1501"/>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78"/>
      <c r="U175" s="78"/>
      <c r="V175" s="78"/>
      <c r="W175" s="78"/>
      <c r="X175" s="78"/>
      <c r="Y175" s="78"/>
      <c r="Z175" s="78"/>
    </row>
    <row r="176" spans="1:26" ht="13.5" hidden="1" customHeight="1" outlineLevel="2">
      <c r="A176" s="279"/>
      <c r="B176" s="279"/>
      <c r="C176" s="147"/>
      <c r="D176" s="16"/>
      <c r="E176" s="1501"/>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78"/>
      <c r="U176" s="78"/>
      <c r="V176" s="78"/>
      <c r="W176" s="78"/>
      <c r="X176" s="78"/>
      <c r="Y176" s="78"/>
      <c r="Z176" s="78"/>
    </row>
    <row r="177" spans="1:26" ht="13.5" hidden="1" customHeight="1" outlineLevel="2">
      <c r="A177" s="279"/>
      <c r="B177" s="279"/>
      <c r="C177" s="147"/>
      <c r="D177" s="16"/>
      <c r="E177" s="1501"/>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78"/>
      <c r="U177" s="78"/>
      <c r="V177" s="78"/>
      <c r="W177" s="78"/>
      <c r="X177" s="78"/>
      <c r="Y177" s="78"/>
      <c r="Z177" s="78"/>
    </row>
    <row r="178" spans="1:26" ht="13.5" hidden="1" customHeight="1" outlineLevel="2">
      <c r="A178" s="279"/>
      <c r="B178" s="279"/>
      <c r="C178" s="147"/>
      <c r="D178" s="16"/>
      <c r="E178" s="1501"/>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78"/>
      <c r="U178" s="78"/>
      <c r="V178" s="78"/>
      <c r="W178" s="78"/>
      <c r="X178" s="78"/>
      <c r="Y178" s="78"/>
      <c r="Z178" s="78"/>
    </row>
    <row r="179" spans="1:26" ht="13.5" hidden="1" customHeight="1" outlineLevel="2">
      <c r="A179" s="279"/>
      <c r="B179" s="279"/>
      <c r="C179" s="147"/>
      <c r="D179" s="16"/>
      <c r="E179" s="1501"/>
      <c r="F179" s="64">
        <v>10</v>
      </c>
      <c r="G179" s="1297"/>
      <c r="H179" s="133"/>
      <c r="I179" s="134"/>
      <c r="J179" s="134"/>
      <c r="K179" s="134"/>
      <c r="L179" s="134"/>
      <c r="M179" s="134"/>
      <c r="N179" s="134"/>
      <c r="O179" s="134"/>
      <c r="P179" s="134"/>
      <c r="Q179" s="135"/>
      <c r="R179" s="18"/>
      <c r="S179" s="78"/>
      <c r="T179" s="78"/>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-1.3452240363836308E-3</v>
      </c>
      <c r="I180" s="1310">
        <f>IF(OR('RFM input'!$E$396='RFM input'!$G$395,'RFM input'!$E$396='RFM input'!$G$396),-INDEX('RFM input'!I$402:I$451,MATCH($D180,'RFM input'!$E$402:$E$451,0),1),-SUM(I168:I179))</f>
        <v>-1.3452240363836308E-3</v>
      </c>
      <c r="J180" s="1311">
        <f>IF(COUNT($H180:I180)&gt;='RFM input'!$AA$7,0,IF(OR('RFM input'!$E$396='RFM input'!$G$395,'RFM input'!$E$396='RFM input'!$G$396),-INDEX('RFM input'!J$402:J$451,MATCH($D180,'RFM input'!$E$402:$E$451,0),1),-SUM(J168:J179)))</f>
        <v>-1.3452240363836308E-3</v>
      </c>
      <c r="K180" s="1311">
        <f>IF(COUNT($H180:J180)&gt;='RFM input'!$AA$7,0,IF(OR('RFM input'!$E$396='RFM input'!$G$395,'RFM input'!$E$396='RFM input'!$G$396),-INDEX('RFM input'!K$402:K$451,MATCH($D180,'RFM input'!$E$402:$E$451,0),1),-SUM(K168:K179)))</f>
        <v>-1.3452240363836308E-3</v>
      </c>
      <c r="L180" s="1311">
        <f>IF(COUNT($H180:K180)&gt;='RFM input'!$AA$7,0,IF(OR('RFM input'!$E$396='RFM input'!$G$395,'RFM input'!$E$396='RFM input'!$G$396),-INDEX('RFM input'!L$402:L$451,MATCH($D180,'RFM input'!$E$402:$E$451,0),1),-SUM(L168:L179)))</f>
        <v>-1.3452240363836308E-3</v>
      </c>
      <c r="M180" s="1311">
        <f>IF(COUNT($H180:L180)&gt;='RFM input'!$AA$7,0,IF(OR('RFM input'!$E$396='RFM input'!$G$395,'RFM input'!$E$396='RFM input'!$G$396),-INDEX('RFM input'!M$402:M$451,MATCH($D180,'RFM input'!$E$402:$E$451,0),1),-SUM(M168:M179)))</f>
        <v>-1.3452240363836308E-3</v>
      </c>
      <c r="N180" s="1311">
        <f>IF(COUNT($H180:M180)&gt;='RFM input'!$AA$7,0,IF(OR('RFM input'!$E$396='RFM input'!$G$395,'RFM input'!$E$396='RFM input'!$G$396),-INDEX('RFM input'!N$402:N$451,MATCH($D180,'RFM input'!$E$402:$E$451,0),1),-SUM(N168:N179)))</f>
        <v>-1.3452240363836308E-3</v>
      </c>
      <c r="O180" s="1311">
        <f>IF(COUNT($H180:N180)&gt;='RFM input'!$AA$7,0,IF(OR('RFM input'!$E$396='RFM input'!$G$395,'RFM input'!$E$396='RFM input'!$G$396),-INDEX('RFM input'!O$402:O$451,MATCH($D180,'RFM input'!$E$402:$E$451,0),1),-SUM(O168:O179)))</f>
        <v>-1.3452240363836308E-3</v>
      </c>
      <c r="P180" s="1311">
        <f>IF(COUNT($H180:O180)&gt;='RFM input'!$AA$7,0,IF(OR('RFM input'!$E$396='RFM input'!$G$395,'RFM input'!$E$396='RFM input'!$G$396),-INDEX('RFM input'!P$402:P$451,MATCH($D180,'RFM input'!$E$402:$E$451,0),1),-SUM(P168:P179)))</f>
        <v>-1.3452240363836308E-3</v>
      </c>
      <c r="Q180" s="1311">
        <f>IF(COUNT($H180:P180)&gt;='RFM input'!$AA$7,0,IF(OR('RFM input'!$E$396='RFM input'!$G$395,'RFM input'!$E$396='RFM input'!$G$396),-INDEX('RFM input'!Q$402:Q$451,MATCH($D180,'RFM input'!$E$402:$E$451,0),1),-SUM(Q168:Q179)))</f>
        <v>-1.3452240363836308E-3</v>
      </c>
      <c r="R180" s="1312"/>
      <c r="S180" s="80"/>
      <c r="T180" s="80"/>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0.13676523560575868</v>
      </c>
      <c r="I181" s="1308">
        <f>IF(I$3&gt;A6remlife,A6value-SUM($G181:H181),IF(A6remlife="N/A","n/a",A6value/A6remlife))</f>
        <v>0.13676523560575868</v>
      </c>
      <c r="J181" s="1308">
        <f>IF(J$3&gt;A6remlife,A6value-SUM($G181:I181),IF(A6remlife="N/A","n/a",A6value/A6remlife))</f>
        <v>0.13676523560575868</v>
      </c>
      <c r="K181" s="1308">
        <f>IF(K$3&gt;A6remlife,A6value-SUM($G181:J181),IF(A6remlife="N/A","n/a",A6value/A6remlife))</f>
        <v>0.13676523560575868</v>
      </c>
      <c r="L181" s="1308">
        <f>IF(L$3&gt;A6remlife,A6value-SUM($G181:K181),IF(A6remlife="N/A","n/a",A6value/A6remlife))</f>
        <v>0.13676523560575868</v>
      </c>
      <c r="M181" s="1308">
        <f>IF(M$3&gt;A6remlife,A6value-SUM($G181:L181),IF(A6remlife="N/A","n/a",A6value/A6remlife))</f>
        <v>0.13676523560575868</v>
      </c>
      <c r="N181" s="1308">
        <f>IF(N$3&gt;A6remlife,A6value-SUM($G181:M181),IF(A6remlife="N/A","n/a",A6value/A6remlife))</f>
        <v>0.13676523560575868</v>
      </c>
      <c r="O181" s="1308">
        <f>IF(O$3&gt;A6remlife,A6value-SUM($G181:N181),IF(A6remlife="N/A","n/a",A6value/A6remlife))</f>
        <v>0.13676523560575868</v>
      </c>
      <c r="P181" s="1308">
        <f>IF(P$3&gt;A6remlife,A6value-SUM($G181:O181),IF(A6remlife="N/A","n/a",A6value/A6remlife))</f>
        <v>0.13676523560575868</v>
      </c>
      <c r="Q181" s="1308">
        <f>IF(Q$3&gt;A6remlife,A6value-SUM($G181:P181),IF(A6remlife="N/A","n/a",A6value/A6remlife))</f>
        <v>0.13676523560575868</v>
      </c>
      <c r="R181" s="20"/>
      <c r="S181" s="78"/>
      <c r="T181" s="78"/>
      <c r="U181" s="78"/>
      <c r="V181" s="78"/>
      <c r="W181" s="78"/>
      <c r="X181" s="78"/>
      <c r="Y181" s="78"/>
      <c r="Z181" s="78"/>
    </row>
    <row r="182" spans="1:26" ht="12.75" hidden="1" customHeight="1" outlineLevel="2">
      <c r="A182" s="279"/>
      <c r="B182" s="279"/>
      <c r="C182" s="279"/>
      <c r="D182" s="16"/>
      <c r="E182" s="1500" t="s">
        <v>46</v>
      </c>
      <c r="F182" s="63"/>
      <c r="G182" s="1297"/>
      <c r="H182" s="18"/>
      <c r="I182" s="18"/>
      <c r="J182" s="18"/>
      <c r="K182" s="18"/>
      <c r="L182" s="18"/>
      <c r="M182" s="1314"/>
      <c r="N182" s="1315"/>
      <c r="O182" s="18"/>
      <c r="P182" s="18"/>
      <c r="Q182" s="18"/>
      <c r="R182" s="18"/>
      <c r="S182" s="78"/>
      <c r="T182" s="78"/>
      <c r="U182" s="78"/>
      <c r="V182" s="78"/>
      <c r="W182" s="78"/>
      <c r="X182" s="78"/>
      <c r="Y182" s="78"/>
      <c r="Z182" s="78"/>
    </row>
    <row r="183" spans="1:26" hidden="1" outlineLevel="2">
      <c r="A183" s="279"/>
      <c r="B183" s="279"/>
      <c r="C183" s="279"/>
      <c r="D183" s="16"/>
      <c r="E183" s="1501"/>
      <c r="F183" s="63">
        <v>1</v>
      </c>
      <c r="G183" s="1297"/>
      <c r="H183" s="1309"/>
      <c r="I183" s="18">
        <f>IF(A6stdlife="n/a","n/a",IF(I$3&gt;(A6stdlife+$F183),('RFM input'!$H$336*(1+vanilla1)^0.5)-SUM($H183:H183),('RFM input'!$H$336*(1+vanilla1)^0.5)/A6stdlife))</f>
        <v>2.6788219390862976E-4</v>
      </c>
      <c r="J183" s="18">
        <f>IF(A6stdlife="n/a","n/a",IF(J$3&gt;(A6stdlife+$F183),('RFM input'!$H$336*(1+vanilla1)^0.5)-SUM($H183:I183),('RFM input'!$H$336*(1+vanilla1)^0.5)/A6stdlife))</f>
        <v>2.6788219390862976E-4</v>
      </c>
      <c r="K183" s="18">
        <f>IF(A6stdlife="n/a","n/a",IF(K$3&gt;(A6stdlife+$F183),('RFM input'!$H$336*(1+vanilla1)^0.5)-SUM($H183:J183),('RFM input'!$H$336*(1+vanilla1)^0.5)/A6stdlife))</f>
        <v>2.6788219390862976E-4</v>
      </c>
      <c r="L183" s="18">
        <f>IF(A6stdlife="n/a","n/a",IF(L$3&gt;(A6stdlife+$F183),('RFM input'!$H$336*(1+vanilla1)^0.5)-SUM($H183:K183),('RFM input'!$H$336*(1+vanilla1)^0.5)/A6stdlife))</f>
        <v>2.6788219390862976E-4</v>
      </c>
      <c r="M183" s="18">
        <f>IF(A6stdlife="n/a","n/a",IF(M$3&gt;(A6stdlife+$F183),('RFM input'!$H$336*(1+vanilla1)^0.5)-SUM($H183:L183),('RFM input'!$H$336*(1+vanilla1)^0.5)/A6stdlife))</f>
        <v>2.6788219390862976E-4</v>
      </c>
      <c r="N183" s="18">
        <f>IF(A6stdlife="n/a","n/a",IF(N$3&gt;(A6stdlife+$F183),('RFM input'!$H$336*(1+vanilla1)^0.5)-SUM($H183:M183),('RFM input'!$H$336*(1+vanilla1)^0.5)/A6stdlife))</f>
        <v>2.6788219390862976E-4</v>
      </c>
      <c r="O183" s="18">
        <f>IF(A6stdlife="n/a","n/a",IF(O$3&gt;(A6stdlife+$F183),('RFM input'!$H$336*(1+vanilla1)^0.5)-SUM($H183:N183),('RFM input'!$H$336*(1+vanilla1)^0.5)/A6stdlife))</f>
        <v>2.6788219390862976E-4</v>
      </c>
      <c r="P183" s="18">
        <f>IF(A6stdlife="n/a","n/a",IF(P$3&gt;(A6stdlife+$F183),('RFM input'!$H$336*(1+vanilla1)^0.5)-SUM($H183:O183),('RFM input'!$H$336*(1+vanilla1)^0.5)/A6stdlife))</f>
        <v>2.6788219390862976E-4</v>
      </c>
      <c r="Q183" s="18">
        <f>IF(A6stdlife="n/a","n/a",IF(Q$3&gt;(A6stdlife+$F183),('RFM input'!$H$336*(1+vanilla1)^0.5)-SUM($H183:P183),('RFM input'!$H$336*(1+vanilla1)^0.5)/A6stdlife))</f>
        <v>2.6788219390862976E-4</v>
      </c>
      <c r="R183" s="18"/>
      <c r="S183" s="78"/>
      <c r="T183" s="78"/>
      <c r="U183" s="78"/>
      <c r="V183" s="78"/>
      <c r="W183" s="78"/>
      <c r="X183" s="78"/>
      <c r="Y183" s="78"/>
      <c r="Z183" s="78"/>
    </row>
    <row r="184" spans="1:26" hidden="1" outlineLevel="2">
      <c r="A184" s="279"/>
      <c r="B184" s="279"/>
      <c r="C184" s="279"/>
      <c r="D184" s="16"/>
      <c r="E184" s="1501"/>
      <c r="F184" s="63">
        <v>2</v>
      </c>
      <c r="G184" s="1297"/>
      <c r="H184" s="133"/>
      <c r="I184" s="135"/>
      <c r="J184" s="18">
        <f>IF(A6stdlife="n/a","n/a",IF(J$3&gt;(A6stdlife+$F184),('RFM input'!$I$336*(1+vanilla2)^0.5)-SUM($I184:I184),('RFM input'!$I$336*(1+vanilla2)^0.5)/A6stdlife))</f>
        <v>5.3085166756743447E-3</v>
      </c>
      <c r="K184" s="18">
        <f>IF(A6stdlife="n/a","n/a",IF(K$3&gt;(A6stdlife+$F184),('RFM input'!$I$336*(1+vanilla2)^0.5)-SUM($I184:J184),('RFM input'!$I$336*(1+vanilla2)^0.5)/A6stdlife))</f>
        <v>5.3085166756743447E-3</v>
      </c>
      <c r="L184" s="18">
        <f>IF(A6stdlife="n/a","n/a",IF(L$3&gt;(A6stdlife+$F184),('RFM input'!$I$336*(1+vanilla2)^0.5)-SUM($I184:K184),('RFM input'!$I$336*(1+vanilla2)^0.5)/A6stdlife))</f>
        <v>5.3085166756743447E-3</v>
      </c>
      <c r="M184" s="18">
        <f>IF(A6stdlife="n/a","n/a",IF(M$3&gt;(A6stdlife+$F184),('RFM input'!$I$336*(1+vanilla2)^0.5)-SUM($I184:L184),('RFM input'!$I$336*(1+vanilla2)^0.5)/A6stdlife))</f>
        <v>5.3085166756743447E-3</v>
      </c>
      <c r="N184" s="18">
        <f>IF(A6stdlife="n/a","n/a",IF(N$3&gt;(A6stdlife+$F184),('RFM input'!$I$336*(1+vanilla2)^0.5)-SUM($I184:M184),('RFM input'!$I$336*(1+vanilla2)^0.5)/A6stdlife))</f>
        <v>5.3085166756743447E-3</v>
      </c>
      <c r="O184" s="18">
        <f>IF(A6stdlife="n/a","n/a",IF(O$3&gt;(A6stdlife+$F184),('RFM input'!$I$336*(1+vanilla2)^0.5)-SUM($I184:N184),('RFM input'!$I$336*(1+vanilla2)^0.5)/A6stdlife))</f>
        <v>5.3085166756743447E-3</v>
      </c>
      <c r="P184" s="18">
        <f>IF(A6stdlife="n/a","n/a",IF(P$3&gt;(A6stdlife+$F184),('RFM input'!$I$336*(1+vanilla2)^0.5)-SUM($I184:O184),('RFM input'!$I$336*(1+vanilla2)^0.5)/A6stdlife))</f>
        <v>5.3085166756743447E-3</v>
      </c>
      <c r="Q184" s="18">
        <f>IF(A6stdlife="n/a","n/a",IF(Q$3&gt;(A6stdlife+$F184),('RFM input'!$I$336*(1+vanilla2)^0.5)-SUM($I184:P184),('RFM input'!$I$336*(1+vanilla2)^0.5)/A6stdlife))</f>
        <v>5.3085166756743447E-3</v>
      </c>
      <c r="R184" s="18"/>
      <c r="S184" s="78"/>
      <c r="T184" s="78"/>
      <c r="U184" s="78"/>
      <c r="V184" s="78"/>
      <c r="W184" s="78"/>
      <c r="X184" s="78"/>
      <c r="Y184" s="78"/>
      <c r="Z184" s="78"/>
    </row>
    <row r="185" spans="1:26" hidden="1" outlineLevel="2">
      <c r="A185" s="279"/>
      <c r="B185" s="279"/>
      <c r="C185" s="279"/>
      <c r="D185" s="16"/>
      <c r="E185" s="1501"/>
      <c r="F185" s="63">
        <v>3</v>
      </c>
      <c r="G185" s="1297"/>
      <c r="H185" s="133"/>
      <c r="I185" s="134"/>
      <c r="J185" s="135"/>
      <c r="K185" s="18">
        <f>IF(A6stdlife="n/a","n/a",IF(K$3&gt;(A6stdlife+$F185),('RFM input'!$J$336*(1+vanilla3)^0.5)-SUM($J185:J185),('RFM input'!$J$336*(1+vanilla3)^0.5)/A6stdlife))</f>
        <v>2.2770402786236561E-2</v>
      </c>
      <c r="L185" s="18">
        <f>IF(A6stdlife="n/a","n/a",IF(L$3&gt;(A6stdlife+$F185),('RFM input'!$J$336*(1+vanilla3)^0.5)-SUM($J185:K185),('RFM input'!$J$336*(1+vanilla3)^0.5)/A6stdlife))</f>
        <v>2.2770402786236561E-2</v>
      </c>
      <c r="M185" s="18">
        <f>IF(A6stdlife="n/a","n/a",IF(M$3&gt;(A6stdlife+$F185),('RFM input'!$J$336*(1+vanilla3)^0.5)-SUM($J185:L185),('RFM input'!$J$336*(1+vanilla3)^0.5)/A6stdlife))</f>
        <v>2.2770402786236561E-2</v>
      </c>
      <c r="N185" s="18">
        <f>IF(A6stdlife="n/a","n/a",IF(N$3&gt;(A6stdlife+$F185),('RFM input'!$J$336*(1+vanilla3)^0.5)-SUM($J185:M185),('RFM input'!$J$336*(1+vanilla3)^0.5)/A6stdlife))</f>
        <v>2.2770402786236561E-2</v>
      </c>
      <c r="O185" s="18">
        <f>IF(A6stdlife="n/a","n/a",IF(O$3&gt;(A6stdlife+$F185),('RFM input'!$J$336*(1+vanilla3)^0.5)-SUM($J185:N185),('RFM input'!$J$336*(1+vanilla3)^0.5)/A6stdlife))</f>
        <v>2.2770402786236561E-2</v>
      </c>
      <c r="P185" s="18">
        <f>IF(A6stdlife="n/a","n/a",IF(P$3&gt;(A6stdlife+$F185),('RFM input'!$J$336*(1+vanilla3)^0.5)-SUM($J185:O185),('RFM input'!$J$336*(1+vanilla3)^0.5)/A6stdlife))</f>
        <v>2.2770402786236561E-2</v>
      </c>
      <c r="Q185" s="18">
        <f>IF(A6stdlife="n/a","n/a",IF(Q$3&gt;(A6stdlife+$F185),('RFM input'!$J$336*(1+vanilla3)^0.5)-SUM($J185:P185),('RFM input'!$J$336*(1+vanilla3)^0.5)/A6stdlife))</f>
        <v>2.2770402786236561E-2</v>
      </c>
      <c r="R185" s="18"/>
      <c r="S185" s="78"/>
      <c r="T185" s="78"/>
      <c r="U185" s="78"/>
      <c r="V185" s="78"/>
      <c r="W185" s="78"/>
      <c r="X185" s="78"/>
      <c r="Y185" s="78"/>
      <c r="Z185" s="78"/>
    </row>
    <row r="186" spans="1:26" hidden="1" outlineLevel="2">
      <c r="A186" s="279"/>
      <c r="B186" s="279"/>
      <c r="C186" s="279"/>
      <c r="D186" s="16"/>
      <c r="E186" s="1501"/>
      <c r="F186" s="63">
        <v>4</v>
      </c>
      <c r="G186" s="1297"/>
      <c r="H186" s="133"/>
      <c r="I186" s="134"/>
      <c r="J186" s="134"/>
      <c r="K186" s="135"/>
      <c r="L186" s="18">
        <f>IF(A6stdlife="n/a","n/a",IF(L$3&gt;(A6stdlife+$F186),('RFM input'!$K$336*(1+vanilla4)^0.5)-SUM($K186:K186),('RFM input'!$K$336*(1+vanilla4)^0.5)/A6stdlife))</f>
        <v>1.4756598590351165E-2</v>
      </c>
      <c r="M186" s="18">
        <f>IF(A6stdlife="n/a","n/a",IF(M$3&gt;(A6stdlife+$F186),('RFM input'!$K$336*(1+vanilla4)^0.5)-SUM($K186:L186),('RFM input'!$K$336*(1+vanilla4)^0.5)/A6stdlife))</f>
        <v>1.4756598590351165E-2</v>
      </c>
      <c r="N186" s="18">
        <f>IF(A6stdlife="n/a","n/a",IF(N$3&gt;(A6stdlife+$F186),('RFM input'!$K$336*(1+vanilla4)^0.5)-SUM($K186:M186),('RFM input'!$K$336*(1+vanilla4)^0.5)/A6stdlife))</f>
        <v>1.4756598590351165E-2</v>
      </c>
      <c r="O186" s="18">
        <f>IF(A6stdlife="n/a","n/a",IF(O$3&gt;(A6stdlife+$F186),('RFM input'!$K$336*(1+vanilla4)^0.5)-SUM($K186:N186),('RFM input'!$K$336*(1+vanilla4)^0.5)/A6stdlife))</f>
        <v>1.4756598590351165E-2</v>
      </c>
      <c r="P186" s="18">
        <f>IF(A6stdlife="n/a","n/a",IF(P$3&gt;(A6stdlife+$F186),('RFM input'!$K$336*(1+vanilla4)^0.5)-SUM($K186:O186),('RFM input'!$K$336*(1+vanilla4)^0.5)/A6stdlife))</f>
        <v>1.4756598590351165E-2</v>
      </c>
      <c r="Q186" s="18">
        <f>IF(A6stdlife="n/a","n/a",IF(Q$3&gt;(A6stdlife+$F186),('RFM input'!$K$336*(1+vanilla4)^0.5)-SUM($K186:P186),('RFM input'!$K$336*(1+vanilla4)^0.5)/A6stdlife))</f>
        <v>1.4756598590351165E-2</v>
      </c>
      <c r="R186" s="18"/>
      <c r="S186" s="78"/>
      <c r="T186" s="78"/>
      <c r="U186" s="78"/>
      <c r="V186" s="78"/>
      <c r="W186" s="78"/>
      <c r="X186" s="78"/>
      <c r="Y186" s="78"/>
      <c r="Z186" s="78"/>
    </row>
    <row r="187" spans="1:26" hidden="1" outlineLevel="2">
      <c r="A187" s="279"/>
      <c r="B187" s="279"/>
      <c r="C187" s="279"/>
      <c r="D187" s="16"/>
      <c r="E187" s="1501"/>
      <c r="F187" s="63">
        <v>5</v>
      </c>
      <c r="G187" s="1297"/>
      <c r="H187" s="133"/>
      <c r="I187" s="134"/>
      <c r="J187" s="134"/>
      <c r="K187" s="134"/>
      <c r="L187" s="135"/>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78"/>
      <c r="U187" s="78"/>
      <c r="V187" s="78"/>
      <c r="W187" s="78"/>
      <c r="X187" s="78"/>
      <c r="Y187" s="78"/>
      <c r="Z187" s="78"/>
    </row>
    <row r="188" spans="1:26" hidden="1" outlineLevel="2">
      <c r="A188" s="279"/>
      <c r="B188" s="279"/>
      <c r="C188" s="279"/>
      <c r="D188" s="16"/>
      <c r="E188" s="1501"/>
      <c r="F188" s="63">
        <v>6</v>
      </c>
      <c r="G188" s="1297"/>
      <c r="H188" s="133"/>
      <c r="I188" s="134"/>
      <c r="J188" s="134"/>
      <c r="K188" s="134"/>
      <c r="L188" s="134"/>
      <c r="M188" s="135"/>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78"/>
      <c r="U188" s="78"/>
      <c r="V188" s="78"/>
      <c r="W188" s="78"/>
      <c r="X188" s="78"/>
      <c r="Y188" s="78"/>
      <c r="Z188" s="78"/>
    </row>
    <row r="189" spans="1:26" hidden="1" outlineLevel="2">
      <c r="A189" s="279"/>
      <c r="B189" s="279"/>
      <c r="C189" s="279"/>
      <c r="D189" s="16"/>
      <c r="E189" s="1501"/>
      <c r="F189" s="63">
        <v>7</v>
      </c>
      <c r="G189" s="1297"/>
      <c r="H189" s="133"/>
      <c r="I189" s="134"/>
      <c r="J189" s="134"/>
      <c r="K189" s="134"/>
      <c r="L189" s="134"/>
      <c r="M189" s="134"/>
      <c r="N189" s="135"/>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78"/>
      <c r="U189" s="78"/>
      <c r="V189" s="78"/>
      <c r="W189" s="78"/>
      <c r="X189" s="78"/>
      <c r="Y189" s="78"/>
      <c r="Z189" s="78"/>
    </row>
    <row r="190" spans="1:26" hidden="1" outlineLevel="2">
      <c r="A190" s="279"/>
      <c r="B190" s="279"/>
      <c r="C190" s="279"/>
      <c r="D190" s="16"/>
      <c r="E190" s="1501"/>
      <c r="F190" s="63">
        <v>8</v>
      </c>
      <c r="G190" s="1297"/>
      <c r="H190" s="133"/>
      <c r="I190" s="134"/>
      <c r="J190" s="134"/>
      <c r="K190" s="134"/>
      <c r="L190" s="134"/>
      <c r="M190" s="134"/>
      <c r="N190" s="134"/>
      <c r="O190" s="135"/>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78"/>
      <c r="U190" s="78"/>
      <c r="V190" s="78"/>
      <c r="W190" s="78"/>
      <c r="X190" s="78"/>
      <c r="Y190" s="78"/>
      <c r="Z190" s="78"/>
    </row>
    <row r="191" spans="1:26" hidden="1" outlineLevel="2">
      <c r="A191" s="279"/>
      <c r="B191" s="279"/>
      <c r="C191" s="279"/>
      <c r="D191" s="16"/>
      <c r="E191" s="1501"/>
      <c r="F191" s="63">
        <v>9</v>
      </c>
      <c r="G191" s="1297"/>
      <c r="H191" s="133"/>
      <c r="I191" s="134"/>
      <c r="J191" s="134"/>
      <c r="K191" s="134"/>
      <c r="L191" s="134"/>
      <c r="M191" s="134"/>
      <c r="N191" s="134"/>
      <c r="O191" s="134"/>
      <c r="P191" s="135"/>
      <c r="Q191" s="18">
        <f>IF(A6stdlife="n/a","n/a",IF(Q$3&gt;(A6stdlife+$F191),('RFM input'!$P$336*(1+vanilla9)^0.5)-SUM($P191:P191),('RFM input'!$P$336*(1+vanilla9)^0.5)/A6stdlife))</f>
        <v>0</v>
      </c>
      <c r="R191" s="18"/>
      <c r="S191" s="78"/>
      <c r="T191" s="78"/>
      <c r="U191" s="78"/>
      <c r="V191" s="78"/>
      <c r="W191" s="78"/>
      <c r="X191" s="78"/>
      <c r="Y191" s="78"/>
      <c r="Z191" s="78"/>
    </row>
    <row r="192" spans="1:26" hidden="1" outlineLevel="2">
      <c r="A192" s="279"/>
      <c r="B192" s="279"/>
      <c r="C192" s="279"/>
      <c r="D192" s="16"/>
      <c r="E192" s="1501"/>
      <c r="F192" s="64">
        <v>10</v>
      </c>
      <c r="G192" s="1297"/>
      <c r="H192" s="133"/>
      <c r="I192" s="134"/>
      <c r="J192" s="134"/>
      <c r="K192" s="134"/>
      <c r="L192" s="134"/>
      <c r="M192" s="134"/>
      <c r="N192" s="134"/>
      <c r="O192" s="134"/>
      <c r="P192" s="134"/>
      <c r="Q192" s="135"/>
      <c r="R192" s="18"/>
      <c r="S192" s="78"/>
      <c r="T192" s="78"/>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-0.13676523560575868</v>
      </c>
      <c r="I193" s="1310">
        <f>IF(OR('RFM input'!$E$396='RFM input'!$G$395,'RFM input'!$E$396='RFM input'!$G$396),-INDEX('RFM input'!I$402:I$451,MATCH($D193,'RFM input'!$E$402:$E$451,0),1),-SUM(I181:I192))</f>
        <v>-0.13703311779966731</v>
      </c>
      <c r="J193" s="1311">
        <f>IF(COUNT($H193:I193)&gt;='RFM input'!$AA$7,0,IF(OR('RFM input'!$E$396='RFM input'!$G$395,'RFM input'!$E$396='RFM input'!$G$396),-INDEX('RFM input'!J$402:J$451,MATCH($D193,'RFM input'!$E$402:$E$451,0),1),-SUM(J181:J192)))</f>
        <v>-0.14234163447534165</v>
      </c>
      <c r="K193" s="1311">
        <f>IF(COUNT($H193:J193)&gt;='RFM input'!$AA$7,0,IF(OR('RFM input'!$E$396='RFM input'!$G$395,'RFM input'!$E$396='RFM input'!$G$396),-INDEX('RFM input'!K$402:K$451,MATCH($D193,'RFM input'!$E$402:$E$451,0),1),-SUM(K181:K192)))</f>
        <v>-0.16511203726157822</v>
      </c>
      <c r="L193" s="1311">
        <f>IF(COUNT($H193:K193)&gt;='RFM input'!$AA$7,0,IF(OR('RFM input'!$E$396='RFM input'!$G$395,'RFM input'!$E$396='RFM input'!$G$396),-INDEX('RFM input'!L$402:L$451,MATCH($D193,'RFM input'!$E$402:$E$451,0),1),-SUM(L181:L192)))</f>
        <v>-0.17986863585192939</v>
      </c>
      <c r="M193" s="1311">
        <f>IF(COUNT($H193:L193)&gt;='RFM input'!$AA$7,0,IF(OR('RFM input'!$E$396='RFM input'!$G$395,'RFM input'!$E$396='RFM input'!$G$396),-INDEX('RFM input'!M$402:M$451,MATCH($D193,'RFM input'!$E$402:$E$451,0),1),-SUM(M181:M192)))</f>
        <v>-0.17986863585192939</v>
      </c>
      <c r="N193" s="1311">
        <f>IF(COUNT($H193:M193)&gt;='RFM input'!$AA$7,0,IF(OR('RFM input'!$E$396='RFM input'!$G$395,'RFM input'!$E$396='RFM input'!$G$396),-INDEX('RFM input'!N$402:N$451,MATCH($D193,'RFM input'!$E$402:$E$451,0),1),-SUM(N181:N192)))</f>
        <v>-0.17986863585192939</v>
      </c>
      <c r="O193" s="1311">
        <f>IF(COUNT($H193:N193)&gt;='RFM input'!$AA$7,0,IF(OR('RFM input'!$E$396='RFM input'!$G$395,'RFM input'!$E$396='RFM input'!$G$396),-INDEX('RFM input'!O$402:O$451,MATCH($D193,'RFM input'!$E$402:$E$451,0),1),-SUM(O181:O192)))</f>
        <v>-0.17986863585192939</v>
      </c>
      <c r="P193" s="1311">
        <f>IF(COUNT($H193:O193)&gt;='RFM input'!$AA$7,0,IF(OR('RFM input'!$E$396='RFM input'!$G$395,'RFM input'!$E$396='RFM input'!$G$396),-INDEX('RFM input'!P$402:P$451,MATCH($D193,'RFM input'!$E$402:$E$451,0),1),-SUM(P181:P192)))</f>
        <v>-0.17986863585192939</v>
      </c>
      <c r="Q193" s="1311">
        <f>IF(COUNT($H193:P193)&gt;='RFM input'!$AA$7,0,IF(OR('RFM input'!$E$396='RFM input'!$G$395,'RFM input'!$E$396='RFM input'!$G$396),-INDEX('RFM input'!Q$402:Q$451,MATCH($D193,'RFM input'!$E$402:$E$451,0),1),-SUM(Q181:Q192)))</f>
        <v>-0.17986863585192939</v>
      </c>
      <c r="R193" s="1312"/>
      <c r="S193" s="80"/>
      <c r="T193" s="80"/>
      <c r="U193" s="80"/>
      <c r="V193" s="80"/>
      <c r="W193" s="80"/>
      <c r="X193" s="80"/>
      <c r="Y193" s="80"/>
      <c r="Z193" s="80"/>
    </row>
    <row r="194" spans="1:26" hidden="1" outlineLevel="2">
      <c r="A194" s="279"/>
      <c r="B194" s="279"/>
      <c r="C194" s="284" t="str">
        <f>Asset7</f>
        <v>Buildings</v>
      </c>
      <c r="D194" s="111"/>
      <c r="E194" s="273" t="s">
        <v>508</v>
      </c>
      <c r="F194" s="19"/>
      <c r="G194" s="1313"/>
      <c r="H194" s="1308">
        <f>IF(H$3&gt;A7remlife,A7value-SUM($G194:G194),IF(A7remlife="N/A","n/a",A7value/A7remlife))</f>
        <v>6.7432237009387261E-2</v>
      </c>
      <c r="I194" s="1308">
        <f>IF(I$3&gt;A7remlife,A7value-SUM($G194:H194),IF(A7remlife="N/A","n/a",A7value/A7remlife))</f>
        <v>6.7432237009387261E-2</v>
      </c>
      <c r="J194" s="1308">
        <f>IF(J$3&gt;A7remlife,A7value-SUM($G194:I194),IF(A7remlife="N/A","n/a",A7value/A7remlife))</f>
        <v>6.7432237009387261E-2</v>
      </c>
      <c r="K194" s="1308">
        <f>IF(K$3&gt;A7remlife,A7value-SUM($G194:J194),IF(A7remlife="N/A","n/a",A7value/A7remlife))</f>
        <v>6.7432237009387261E-2</v>
      </c>
      <c r="L194" s="1308">
        <f>IF(L$3&gt;A7remlife,A7value-SUM($G194:K194),IF(A7remlife="N/A","n/a",A7value/A7remlife))</f>
        <v>6.7432237009387261E-2</v>
      </c>
      <c r="M194" s="1308">
        <f>IF(M$3&gt;A7remlife,A7value-SUM($G194:L194),IF(A7remlife="N/A","n/a",A7value/A7remlife))</f>
        <v>6.7432237009387261E-2</v>
      </c>
      <c r="N194" s="1308">
        <f>IF(N$3&gt;A7remlife,A7value-SUM($G194:M194),IF(A7remlife="N/A","n/a",A7value/A7remlife))</f>
        <v>6.7432237009387261E-2</v>
      </c>
      <c r="O194" s="1308">
        <f>IF(O$3&gt;A7remlife,A7value-SUM($G194:N194),IF(A7remlife="N/A","n/a",A7value/A7remlife))</f>
        <v>6.7432237009387261E-2</v>
      </c>
      <c r="P194" s="1308">
        <f>IF(P$3&gt;A7remlife,A7value-SUM($G194:O194),IF(A7remlife="N/A","n/a",A7value/A7remlife))</f>
        <v>6.7432237009387261E-2</v>
      </c>
      <c r="Q194" s="1308">
        <f>IF(Q$3&gt;A7remlife,A7value-SUM($G194:P194),IF(A7remlife="N/A","n/a",A7value/A7remlife))</f>
        <v>6.7432237009387261E-2</v>
      </c>
      <c r="R194" s="20"/>
      <c r="S194" s="78"/>
      <c r="T194" s="78"/>
      <c r="U194" s="78"/>
      <c r="V194" s="78"/>
      <c r="W194" s="78"/>
      <c r="X194" s="78"/>
      <c r="Y194" s="78"/>
      <c r="Z194" s="78"/>
    </row>
    <row r="195" spans="1:26" ht="12.75" hidden="1" customHeight="1" outlineLevel="2">
      <c r="A195" s="279"/>
      <c r="B195" s="279"/>
      <c r="C195" s="279"/>
      <c r="D195" s="16"/>
      <c r="E195" s="1500" t="s">
        <v>46</v>
      </c>
      <c r="F195" s="63"/>
      <c r="G195" s="1297"/>
      <c r="H195" s="1311"/>
      <c r="I195" s="1311"/>
      <c r="J195" s="1311"/>
      <c r="K195" s="1311"/>
      <c r="L195" s="1311"/>
      <c r="M195" s="1316"/>
      <c r="N195" s="1317"/>
      <c r="O195" s="1311"/>
      <c r="P195" s="1311"/>
      <c r="Q195" s="1311"/>
      <c r="R195" s="18"/>
      <c r="S195" s="78"/>
      <c r="T195" s="78"/>
      <c r="U195" s="78"/>
      <c r="V195" s="78"/>
      <c r="W195" s="78"/>
      <c r="X195" s="78"/>
      <c r="Y195" s="78"/>
      <c r="Z195" s="78"/>
    </row>
    <row r="196" spans="1:26" hidden="1" outlineLevel="2">
      <c r="A196" s="279"/>
      <c r="B196" s="279"/>
      <c r="C196" s="279"/>
      <c r="D196" s="16"/>
      <c r="E196" s="1501"/>
      <c r="F196" s="63">
        <v>1</v>
      </c>
      <c r="G196" s="1297"/>
      <c r="H196" s="1309"/>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78"/>
      <c r="U196" s="78"/>
      <c r="V196" s="78"/>
      <c r="W196" s="78"/>
      <c r="X196" s="78"/>
      <c r="Y196" s="78"/>
      <c r="Z196" s="78"/>
    </row>
    <row r="197" spans="1:26" hidden="1" outlineLevel="2">
      <c r="A197" s="279"/>
      <c r="B197" s="279"/>
      <c r="C197" s="279"/>
      <c r="D197" s="16"/>
      <c r="E197" s="1501"/>
      <c r="F197" s="63">
        <v>2</v>
      </c>
      <c r="G197" s="1297"/>
      <c r="H197" s="133"/>
      <c r="I197" s="135"/>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78"/>
      <c r="U197" s="78"/>
      <c r="V197" s="78"/>
      <c r="W197" s="78"/>
      <c r="X197" s="78"/>
      <c r="Y197" s="78"/>
      <c r="Z197" s="78"/>
    </row>
    <row r="198" spans="1:26" hidden="1" outlineLevel="2">
      <c r="A198" s="279"/>
      <c r="B198" s="279"/>
      <c r="C198" s="279"/>
      <c r="D198" s="16"/>
      <c r="E198" s="1501"/>
      <c r="F198" s="63">
        <v>3</v>
      </c>
      <c r="G198" s="1297"/>
      <c r="H198" s="133"/>
      <c r="I198" s="134"/>
      <c r="J198" s="135"/>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78"/>
      <c r="U198" s="78"/>
      <c r="V198" s="78"/>
      <c r="W198" s="78"/>
      <c r="X198" s="78"/>
      <c r="Y198" s="78"/>
      <c r="Z198" s="78"/>
    </row>
    <row r="199" spans="1:26" hidden="1" outlineLevel="2">
      <c r="A199" s="279"/>
      <c r="B199" s="279"/>
      <c r="C199" s="279"/>
      <c r="D199" s="16"/>
      <c r="E199" s="1501"/>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78"/>
      <c r="U199" s="78"/>
      <c r="V199" s="78"/>
      <c r="W199" s="78"/>
      <c r="X199" s="78"/>
      <c r="Y199" s="78"/>
      <c r="Z199" s="78"/>
    </row>
    <row r="200" spans="1:26" hidden="1" outlineLevel="2">
      <c r="A200" s="279"/>
      <c r="B200" s="279"/>
      <c r="C200" s="279"/>
      <c r="D200" s="16"/>
      <c r="E200" s="1501"/>
      <c r="F200" s="63">
        <v>5</v>
      </c>
      <c r="G200" s="1297"/>
      <c r="H200" s="133"/>
      <c r="I200" s="134"/>
      <c r="J200" s="134"/>
      <c r="K200" s="134"/>
      <c r="L200" s="135"/>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78"/>
      <c r="U200" s="78"/>
      <c r="V200" s="78"/>
      <c r="W200" s="78"/>
      <c r="X200" s="78"/>
      <c r="Y200" s="78"/>
      <c r="Z200" s="78"/>
    </row>
    <row r="201" spans="1:26" hidden="1" outlineLevel="2">
      <c r="A201" s="279"/>
      <c r="B201" s="279"/>
      <c r="C201" s="279"/>
      <c r="D201" s="16"/>
      <c r="E201" s="1501"/>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78"/>
      <c r="U201" s="78"/>
      <c r="V201" s="78"/>
      <c r="W201" s="78"/>
      <c r="X201" s="78"/>
      <c r="Y201" s="78"/>
      <c r="Z201" s="78"/>
    </row>
    <row r="202" spans="1:26" hidden="1" outlineLevel="2">
      <c r="A202" s="279"/>
      <c r="B202" s="279"/>
      <c r="C202" s="279"/>
      <c r="D202" s="16"/>
      <c r="E202" s="1501"/>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78"/>
      <c r="U202" s="78"/>
      <c r="V202" s="78"/>
      <c r="W202" s="78"/>
      <c r="X202" s="78"/>
      <c r="Y202" s="78"/>
      <c r="Z202" s="78"/>
    </row>
    <row r="203" spans="1:26" hidden="1" outlineLevel="2">
      <c r="A203" s="279"/>
      <c r="B203" s="279"/>
      <c r="C203" s="279"/>
      <c r="D203" s="16"/>
      <c r="E203" s="1501"/>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78"/>
      <c r="U203" s="78"/>
      <c r="V203" s="78"/>
      <c r="W203" s="78"/>
      <c r="X203" s="78"/>
      <c r="Y203" s="78"/>
      <c r="Z203" s="78"/>
    </row>
    <row r="204" spans="1:26" hidden="1" outlineLevel="2">
      <c r="A204" s="279"/>
      <c r="B204" s="279"/>
      <c r="C204" s="279"/>
      <c r="D204" s="16"/>
      <c r="E204" s="1501"/>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78"/>
      <c r="U204" s="78"/>
      <c r="V204" s="78"/>
      <c r="W204" s="78"/>
      <c r="X204" s="78"/>
      <c r="Y204" s="78"/>
      <c r="Z204" s="78"/>
    </row>
    <row r="205" spans="1:26" hidden="1" outlineLevel="2">
      <c r="A205" s="279"/>
      <c r="B205" s="279"/>
      <c r="C205" s="279"/>
      <c r="D205" s="16"/>
      <c r="E205" s="1501"/>
      <c r="F205" s="64">
        <v>10</v>
      </c>
      <c r="G205" s="1297"/>
      <c r="H205" s="133"/>
      <c r="I205" s="134"/>
      <c r="J205" s="134"/>
      <c r="K205" s="134"/>
      <c r="L205" s="134"/>
      <c r="M205" s="134"/>
      <c r="N205" s="134"/>
      <c r="O205" s="134"/>
      <c r="P205" s="134"/>
      <c r="Q205" s="135"/>
      <c r="R205" s="18"/>
      <c r="S205" s="78"/>
      <c r="T205" s="78"/>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-6.7432237009387261E-2</v>
      </c>
      <c r="I206" s="1310">
        <f>IF(OR('RFM input'!$E$396='RFM input'!$G$395,'RFM input'!$E$396='RFM input'!$G$396),-INDEX('RFM input'!I$402:I$451,MATCH($D206,'RFM input'!$E$402:$E$451,0),1),-SUM(I194:I205))</f>
        <v>-6.7432237009387261E-2</v>
      </c>
      <c r="J206" s="1311">
        <f>IF(COUNT($H206:I206)&gt;='RFM input'!$AA$7,0,IF(OR('RFM input'!$E$396='RFM input'!$G$395,'RFM input'!$E$396='RFM input'!$G$396),-INDEX('RFM input'!J$402:J$451,MATCH($D206,'RFM input'!$E$402:$E$451,0),1),-SUM(J194:J205)))</f>
        <v>-6.7432237009387261E-2</v>
      </c>
      <c r="K206" s="1311">
        <f>IF(COUNT($H206:J206)&gt;='RFM input'!$AA$7,0,IF(OR('RFM input'!$E$396='RFM input'!$G$395,'RFM input'!$E$396='RFM input'!$G$396),-INDEX('RFM input'!K$402:K$451,MATCH($D206,'RFM input'!$E$402:$E$451,0),1),-SUM(K194:K205)))</f>
        <v>-6.7432237009387261E-2</v>
      </c>
      <c r="L206" s="1311">
        <f>IF(COUNT($H206:K206)&gt;='RFM input'!$AA$7,0,IF(OR('RFM input'!$E$396='RFM input'!$G$395,'RFM input'!$E$396='RFM input'!$G$396),-INDEX('RFM input'!L$402:L$451,MATCH($D206,'RFM input'!$E$402:$E$451,0),1),-SUM(L194:L205)))</f>
        <v>-6.7432237009387261E-2</v>
      </c>
      <c r="M206" s="1311">
        <f>IF(COUNT($H206:L206)&gt;='RFM input'!$AA$7,0,IF(OR('RFM input'!$E$396='RFM input'!$G$395,'RFM input'!$E$396='RFM input'!$G$396),-INDEX('RFM input'!M$402:M$451,MATCH($D206,'RFM input'!$E$402:$E$451,0),1),-SUM(M194:M205)))</f>
        <v>-6.7432237009387261E-2</v>
      </c>
      <c r="N206" s="1311">
        <f>IF(COUNT($H206:M206)&gt;='RFM input'!$AA$7,0,IF(OR('RFM input'!$E$396='RFM input'!$G$395,'RFM input'!$E$396='RFM input'!$G$396),-INDEX('RFM input'!N$402:N$451,MATCH($D206,'RFM input'!$E$402:$E$451,0),1),-SUM(N194:N205)))</f>
        <v>-6.7432237009387261E-2</v>
      </c>
      <c r="O206" s="1311">
        <f>IF(COUNT($H206:N206)&gt;='RFM input'!$AA$7,0,IF(OR('RFM input'!$E$396='RFM input'!$G$395,'RFM input'!$E$396='RFM input'!$G$396),-INDEX('RFM input'!O$402:O$451,MATCH($D206,'RFM input'!$E$402:$E$451,0),1),-SUM(O194:O205)))</f>
        <v>-6.7432237009387261E-2</v>
      </c>
      <c r="P206" s="1311">
        <f>IF(COUNT($H206:O206)&gt;='RFM input'!$AA$7,0,IF(OR('RFM input'!$E$396='RFM input'!$G$395,'RFM input'!$E$396='RFM input'!$G$396),-INDEX('RFM input'!P$402:P$451,MATCH($D206,'RFM input'!$E$402:$E$451,0),1),-SUM(P194:P205)))</f>
        <v>-6.7432237009387261E-2</v>
      </c>
      <c r="Q206" s="1311">
        <f>IF(COUNT($H206:P206)&gt;='RFM input'!$AA$7,0,IF(OR('RFM input'!$E$396='RFM input'!$G$395,'RFM input'!$E$396='RFM input'!$G$396),-INDEX('RFM input'!Q$402:Q$451,MATCH($D206,'RFM input'!$E$402:$E$451,0),1),-SUM(Q194:Q205)))</f>
        <v>-6.7432237009387261E-2</v>
      </c>
      <c r="R206" s="1312"/>
      <c r="S206" s="80"/>
      <c r="T206" s="80"/>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78"/>
      <c r="U207" s="78"/>
      <c r="V207" s="78"/>
      <c r="W207" s="78"/>
      <c r="X207" s="78"/>
      <c r="Y207" s="78"/>
      <c r="Z207" s="78"/>
    </row>
    <row r="208" spans="1:26" ht="12.75" hidden="1" customHeight="1" outlineLevel="2">
      <c r="A208" s="279"/>
      <c r="B208" s="279"/>
      <c r="C208" s="279"/>
      <c r="D208" s="16"/>
      <c r="E208" s="1500" t="s">
        <v>46</v>
      </c>
      <c r="F208" s="63"/>
      <c r="G208" s="1297"/>
      <c r="H208" s="1311"/>
      <c r="I208" s="1311"/>
      <c r="J208" s="1311"/>
      <c r="K208" s="1311"/>
      <c r="L208" s="1311"/>
      <c r="M208" s="1316"/>
      <c r="N208" s="1317"/>
      <c r="O208" s="1311"/>
      <c r="P208" s="1311"/>
      <c r="Q208" s="1311"/>
      <c r="R208" s="18"/>
      <c r="S208" s="78"/>
      <c r="T208" s="78"/>
      <c r="U208" s="78"/>
      <c r="V208" s="78"/>
      <c r="W208" s="78"/>
      <c r="X208" s="78"/>
      <c r="Y208" s="78"/>
      <c r="Z208" s="78"/>
    </row>
    <row r="209" spans="1:26" hidden="1" outlineLevel="2">
      <c r="A209" s="279"/>
      <c r="B209" s="279"/>
      <c r="C209" s="279"/>
      <c r="D209" s="16"/>
      <c r="E209" s="1501"/>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78"/>
      <c r="U209" s="78"/>
      <c r="V209" s="78"/>
      <c r="W209" s="78"/>
      <c r="X209" s="78"/>
      <c r="Y209" s="78"/>
      <c r="Z209" s="78"/>
    </row>
    <row r="210" spans="1:26" hidden="1" outlineLevel="2">
      <c r="A210" s="279"/>
      <c r="B210" s="279"/>
      <c r="C210" s="279"/>
      <c r="D210" s="16"/>
      <c r="E210" s="1501"/>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78"/>
      <c r="U210" s="78"/>
      <c r="V210" s="78"/>
      <c r="W210" s="78"/>
      <c r="X210" s="78"/>
      <c r="Y210" s="78"/>
      <c r="Z210" s="78"/>
    </row>
    <row r="211" spans="1:26" hidden="1" outlineLevel="2">
      <c r="A211" s="279"/>
      <c r="B211" s="279"/>
      <c r="C211" s="279"/>
      <c r="D211" s="16"/>
      <c r="E211" s="1501"/>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78"/>
      <c r="U211" s="78"/>
      <c r="V211" s="78"/>
      <c r="W211" s="78"/>
      <c r="X211" s="78"/>
      <c r="Y211" s="78"/>
      <c r="Z211" s="78"/>
    </row>
    <row r="212" spans="1:26" hidden="1" outlineLevel="2">
      <c r="A212" s="279"/>
      <c r="B212" s="279"/>
      <c r="C212" s="279"/>
      <c r="D212" s="16"/>
      <c r="E212" s="1501"/>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78"/>
      <c r="U212" s="78"/>
      <c r="V212" s="78"/>
      <c r="W212" s="78"/>
      <c r="X212" s="78"/>
      <c r="Y212" s="78"/>
      <c r="Z212" s="78"/>
    </row>
    <row r="213" spans="1:26" hidden="1" outlineLevel="2">
      <c r="A213" s="279"/>
      <c r="B213" s="279"/>
      <c r="C213" s="279"/>
      <c r="D213" s="16"/>
      <c r="E213" s="1501"/>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78"/>
      <c r="U213" s="78"/>
      <c r="V213" s="78"/>
      <c r="W213" s="78"/>
      <c r="X213" s="78"/>
      <c r="Y213" s="78"/>
      <c r="Z213" s="78"/>
    </row>
    <row r="214" spans="1:26" hidden="1" outlineLevel="2">
      <c r="A214" s="279"/>
      <c r="B214" s="279"/>
      <c r="C214" s="279"/>
      <c r="D214" s="16"/>
      <c r="E214" s="1501"/>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78"/>
      <c r="U214" s="78"/>
      <c r="V214" s="78"/>
      <c r="W214" s="78"/>
      <c r="X214" s="78"/>
      <c r="Y214" s="78"/>
      <c r="Z214" s="78"/>
    </row>
    <row r="215" spans="1:26" hidden="1" outlineLevel="2">
      <c r="A215" s="279"/>
      <c r="B215" s="279"/>
      <c r="C215" s="279"/>
      <c r="D215" s="16"/>
      <c r="E215" s="1501"/>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78"/>
      <c r="U215" s="78"/>
      <c r="V215" s="78"/>
      <c r="W215" s="78"/>
      <c r="X215" s="78"/>
      <c r="Y215" s="78"/>
      <c r="Z215" s="78"/>
    </row>
    <row r="216" spans="1:26" hidden="1" outlineLevel="2">
      <c r="A216" s="279"/>
      <c r="B216" s="279"/>
      <c r="C216" s="279"/>
      <c r="D216" s="16"/>
      <c r="E216" s="1501"/>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78"/>
      <c r="U216" s="78"/>
      <c r="V216" s="78"/>
      <c r="W216" s="78"/>
      <c r="X216" s="78"/>
      <c r="Y216" s="78"/>
      <c r="Z216" s="78"/>
    </row>
    <row r="217" spans="1:26" hidden="1" outlineLevel="2">
      <c r="A217" s="279"/>
      <c r="B217" s="279"/>
      <c r="C217" s="279"/>
      <c r="D217" s="16"/>
      <c r="E217" s="1501"/>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78"/>
      <c r="U217" s="78"/>
      <c r="V217" s="78"/>
      <c r="W217" s="78"/>
      <c r="X217" s="78"/>
      <c r="Y217" s="78"/>
      <c r="Z217" s="78"/>
    </row>
    <row r="218" spans="1:26" hidden="1" outlineLevel="2">
      <c r="A218" s="279"/>
      <c r="B218" s="279"/>
      <c r="C218" s="279"/>
      <c r="D218" s="16"/>
      <c r="E218" s="1501"/>
      <c r="F218" s="64">
        <v>10</v>
      </c>
      <c r="G218" s="1297"/>
      <c r="H218" s="133"/>
      <c r="I218" s="134"/>
      <c r="J218" s="134"/>
      <c r="K218" s="134"/>
      <c r="L218" s="134"/>
      <c r="M218" s="134"/>
      <c r="N218" s="134"/>
      <c r="O218" s="134"/>
      <c r="P218" s="134"/>
      <c r="Q218" s="135"/>
      <c r="R218" s="18"/>
      <c r="S218" s="78"/>
      <c r="T218" s="78"/>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80"/>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f>IF(H$3&gt;A9remlife,A9value-SUM($G220:G220),IF(A9remlife="N/A","n/a",A9value/A9remlife))</f>
        <v>9.2825254992645989E-2</v>
      </c>
      <c r="I220" s="1308">
        <f>IF(I$3&gt;A9remlife,A9value-SUM($G220:H220),IF(A9remlife="N/A","n/a",A9value/A9remlife))</f>
        <v>9.2825254992645989E-2</v>
      </c>
      <c r="J220" s="1308">
        <f>IF(J$3&gt;A9remlife,A9value-SUM($G220:I220),IF(A9remlife="N/A","n/a",A9value/A9remlife))</f>
        <v>9.2825254992645989E-2</v>
      </c>
      <c r="K220" s="1308">
        <f>IF(K$3&gt;A9remlife,A9value-SUM($G220:J220),IF(A9remlife="N/A","n/a",A9value/A9remlife))</f>
        <v>9.2825254992645989E-2</v>
      </c>
      <c r="L220" s="1308">
        <f>IF(L$3&gt;A9remlife,A9value-SUM($G220:K220),IF(A9remlife="N/A","n/a",A9value/A9remlife))</f>
        <v>9.2825254992645989E-2</v>
      </c>
      <c r="M220" s="1308">
        <f>IF(M$3&gt;A9remlife,A9value-SUM($G220:L220),IF(A9remlife="N/A","n/a",A9value/A9remlife))</f>
        <v>9.2825254992645989E-2</v>
      </c>
      <c r="N220" s="1308">
        <f>IF(N$3&gt;A9remlife,A9value-SUM($G220:M220),IF(A9remlife="N/A","n/a",A9value/A9remlife))</f>
        <v>9.2825254992645989E-2</v>
      </c>
      <c r="O220" s="1308">
        <f>IF(O$3&gt;A9remlife,A9value-SUM($G220:N220),IF(A9remlife="N/A","n/a",A9value/A9remlife))</f>
        <v>9.2825254992645989E-2</v>
      </c>
      <c r="P220" s="1308">
        <f>IF(P$3&gt;A9remlife,A9value-SUM($G220:O220),IF(A9remlife="N/A","n/a",A9value/A9remlife))</f>
        <v>9.2825254992645989E-2</v>
      </c>
      <c r="Q220" s="1308">
        <f>IF(Q$3&gt;A9remlife,A9value-SUM($G220:P220),IF(A9remlife="N/A","n/a",A9value/A9remlife))</f>
        <v>9.2825254992645989E-2</v>
      </c>
      <c r="R220" s="20"/>
      <c r="S220" s="78"/>
      <c r="T220" s="78"/>
      <c r="U220" s="78"/>
      <c r="V220" s="78"/>
      <c r="W220" s="78"/>
      <c r="X220" s="78"/>
      <c r="Y220" s="78"/>
      <c r="Z220" s="78"/>
    </row>
    <row r="221" spans="1:26" ht="12.75" hidden="1" customHeight="1" outlineLevel="2">
      <c r="A221" s="3"/>
      <c r="B221" s="3"/>
      <c r="C221" s="3"/>
      <c r="D221" s="16"/>
      <c r="E221" s="1500" t="s">
        <v>46</v>
      </c>
      <c r="F221" s="63"/>
      <c r="G221" s="1297"/>
      <c r="H221" s="18"/>
      <c r="I221" s="18"/>
      <c r="J221" s="18"/>
      <c r="K221" s="18"/>
      <c r="L221" s="18"/>
      <c r="M221" s="1314"/>
      <c r="N221" s="1315"/>
      <c r="O221" s="18"/>
      <c r="P221" s="18"/>
      <c r="Q221" s="18"/>
      <c r="R221" s="18"/>
      <c r="S221" s="78"/>
      <c r="T221" s="78"/>
      <c r="U221" s="78"/>
      <c r="V221" s="78"/>
      <c r="W221" s="78"/>
      <c r="X221" s="78"/>
      <c r="Y221" s="78"/>
      <c r="Z221" s="78"/>
    </row>
    <row r="222" spans="1:26" hidden="1" outlineLevel="2">
      <c r="A222" s="3"/>
      <c r="B222" s="3"/>
      <c r="C222" s="3"/>
      <c r="D222" s="16"/>
      <c r="E222" s="1501"/>
      <c r="F222" s="63">
        <v>1</v>
      </c>
      <c r="G222" s="1297"/>
      <c r="H222" s="1309"/>
      <c r="I222" s="18">
        <f>IF(A9stdlife="n/a","n/a",IF(I$3&gt;(A9stdlife+$F222),('RFM input'!$H$339*(1+vanilla1)^0.5)-SUM($H222:H222),('RFM input'!$H$339*(1+vanilla1)^0.5)/A9stdlife))</f>
        <v>1.6923203142388079E-4</v>
      </c>
      <c r="J222" s="18">
        <f>IF(A9stdlife="n/a","n/a",IF(J$3&gt;(A9stdlife+$F222),('RFM input'!$H$339*(1+vanilla1)^0.5)-SUM($H222:I222),('RFM input'!$H$339*(1+vanilla1)^0.5)/A9stdlife))</f>
        <v>1.6923203142388079E-4</v>
      </c>
      <c r="K222" s="18">
        <f>IF(A9stdlife="n/a","n/a",IF(K$3&gt;(A9stdlife+$F222),('RFM input'!$H$339*(1+vanilla1)^0.5)-SUM($H222:J222),('RFM input'!$H$339*(1+vanilla1)^0.5)/A9stdlife))</f>
        <v>1.6923203142388079E-4</v>
      </c>
      <c r="L222" s="18">
        <f>IF(A9stdlife="n/a","n/a",IF(L$3&gt;(A9stdlife+$F222),('RFM input'!$H$339*(1+vanilla1)^0.5)-SUM($H222:K222),('RFM input'!$H$339*(1+vanilla1)^0.5)/A9stdlife))</f>
        <v>1.6923203142388079E-4</v>
      </c>
      <c r="M222" s="18">
        <f>IF(A9stdlife="n/a","n/a",IF(M$3&gt;(A9stdlife+$F222),('RFM input'!$H$339*(1+vanilla1)^0.5)-SUM($H222:L222),('RFM input'!$H$339*(1+vanilla1)^0.5)/A9stdlife))</f>
        <v>1.6923203142388079E-4</v>
      </c>
      <c r="N222" s="18">
        <f>IF(A9stdlife="n/a","n/a",IF(N$3&gt;(A9stdlife+$F222),('RFM input'!$H$339*(1+vanilla1)^0.5)-SUM($H222:M222),('RFM input'!$H$339*(1+vanilla1)^0.5)/A9stdlife))</f>
        <v>1.6923203142388079E-4</v>
      </c>
      <c r="O222" s="18">
        <f>IF(A9stdlife="n/a","n/a",IF(O$3&gt;(A9stdlife+$F222),('RFM input'!$H$339*(1+vanilla1)^0.5)-SUM($H222:N222),('RFM input'!$H$339*(1+vanilla1)^0.5)/A9stdlife))</f>
        <v>1.6923203142388079E-4</v>
      </c>
      <c r="P222" s="18">
        <f>IF(A9stdlife="n/a","n/a",IF(P$3&gt;(A9stdlife+$F222),('RFM input'!$H$339*(1+vanilla1)^0.5)-SUM($H222:O222),('RFM input'!$H$339*(1+vanilla1)^0.5)/A9stdlife))</f>
        <v>1.6923203142388079E-4</v>
      </c>
      <c r="Q222" s="18">
        <f>IF(A9stdlife="n/a","n/a",IF(Q$3&gt;(A9stdlife+$F222),('RFM input'!$H$339*(1+vanilla1)^0.5)-SUM($H222:P222),('RFM input'!$H$339*(1+vanilla1)^0.5)/A9stdlife))</f>
        <v>1.6923203142388079E-4</v>
      </c>
      <c r="R222" s="18"/>
      <c r="S222" s="78"/>
      <c r="T222" s="78"/>
      <c r="U222" s="78"/>
      <c r="V222" s="78"/>
      <c r="W222" s="78"/>
      <c r="X222" s="78"/>
      <c r="Y222" s="78"/>
      <c r="Z222" s="78"/>
    </row>
    <row r="223" spans="1:26" hidden="1" outlineLevel="2">
      <c r="A223" s="3"/>
      <c r="B223" s="3"/>
      <c r="C223" s="3"/>
      <c r="D223" s="16"/>
      <c r="E223" s="1501"/>
      <c r="F223" s="63">
        <v>2</v>
      </c>
      <c r="G223" s="1297"/>
      <c r="H223" s="133"/>
      <c r="I223" s="135"/>
      <c r="J223" s="18">
        <f>IF(A9stdlife="n/a","n/a",IF(J$3&gt;(A9stdlife+$F223),('RFM input'!$I$339*(1+vanilla2)^0.5)-SUM($I223:I223),('RFM input'!$I$339*(1+vanilla2)^0.5)/A9stdlife))</f>
        <v>4.3191240872670969E-3</v>
      </c>
      <c r="K223" s="18">
        <f>IF(A9stdlife="n/a","n/a",IF(K$3&gt;(A9stdlife+$F223),('RFM input'!$I$339*(1+vanilla2)^0.5)-SUM($I223:J223),('RFM input'!$I$339*(1+vanilla2)^0.5)/A9stdlife))</f>
        <v>4.3191240872670969E-3</v>
      </c>
      <c r="L223" s="18">
        <f>IF(A9stdlife="n/a","n/a",IF(L$3&gt;(A9stdlife+$F223),('RFM input'!$I$339*(1+vanilla2)^0.5)-SUM($I223:K223),('RFM input'!$I$339*(1+vanilla2)^0.5)/A9stdlife))</f>
        <v>4.3191240872670969E-3</v>
      </c>
      <c r="M223" s="18">
        <f>IF(A9stdlife="n/a","n/a",IF(M$3&gt;(A9stdlife+$F223),('RFM input'!$I$339*(1+vanilla2)^0.5)-SUM($I223:L223),('RFM input'!$I$339*(1+vanilla2)^0.5)/A9stdlife))</f>
        <v>4.3191240872670969E-3</v>
      </c>
      <c r="N223" s="18">
        <f>IF(A9stdlife="n/a","n/a",IF(N$3&gt;(A9stdlife+$F223),('RFM input'!$I$339*(1+vanilla2)^0.5)-SUM($I223:M223),('RFM input'!$I$339*(1+vanilla2)^0.5)/A9stdlife))</f>
        <v>4.3191240872670969E-3</v>
      </c>
      <c r="O223" s="18">
        <f>IF(A9stdlife="n/a","n/a",IF(O$3&gt;(A9stdlife+$F223),('RFM input'!$I$339*(1+vanilla2)^0.5)-SUM($I223:N223),('RFM input'!$I$339*(1+vanilla2)^0.5)/A9stdlife))</f>
        <v>4.3191240872670969E-3</v>
      </c>
      <c r="P223" s="18">
        <f>IF(A9stdlife="n/a","n/a",IF(P$3&gt;(A9stdlife+$F223),('RFM input'!$I$339*(1+vanilla2)^0.5)-SUM($I223:O223),('RFM input'!$I$339*(1+vanilla2)^0.5)/A9stdlife))</f>
        <v>4.3191240872670969E-3</v>
      </c>
      <c r="Q223" s="18">
        <f>IF(A9stdlife="n/a","n/a",IF(Q$3&gt;(A9stdlife+$F223),('RFM input'!$I$339*(1+vanilla2)^0.5)-SUM($I223:P223),('RFM input'!$I$339*(1+vanilla2)^0.5)/A9stdlife))</f>
        <v>4.3191240872670969E-3</v>
      </c>
      <c r="R223" s="18"/>
      <c r="S223" s="78"/>
      <c r="T223" s="78"/>
      <c r="U223" s="78"/>
      <c r="V223" s="78"/>
      <c r="W223" s="78"/>
      <c r="X223" s="78"/>
      <c r="Y223" s="78"/>
      <c r="Z223" s="78"/>
    </row>
    <row r="224" spans="1:26" hidden="1" outlineLevel="2">
      <c r="A224" s="3"/>
      <c r="B224" s="3"/>
      <c r="C224" s="3"/>
      <c r="D224" s="16"/>
      <c r="E224" s="1501"/>
      <c r="F224" s="63">
        <v>3</v>
      </c>
      <c r="G224" s="1297"/>
      <c r="H224" s="133"/>
      <c r="I224" s="134"/>
      <c r="J224" s="135"/>
      <c r="K224" s="18">
        <f>IF(A9stdlife="n/a","n/a",IF(K$3&gt;(A9stdlife+$F224),('RFM input'!$J$339*(1+vanilla3)^0.5)-SUM($J224:J224),('RFM input'!$J$339*(1+vanilla3)^0.5)/A9stdlife))</f>
        <v>2.4567117159676496E-3</v>
      </c>
      <c r="L224" s="18">
        <f>IF(A9stdlife="n/a","n/a",IF(L$3&gt;(A9stdlife+$F224),('RFM input'!$J$339*(1+vanilla3)^0.5)-SUM($J224:K224),('RFM input'!$J$339*(1+vanilla3)^0.5)/A9stdlife))</f>
        <v>2.4567117159676496E-3</v>
      </c>
      <c r="M224" s="18">
        <f>IF(A9stdlife="n/a","n/a",IF(M$3&gt;(A9stdlife+$F224),('RFM input'!$J$339*(1+vanilla3)^0.5)-SUM($J224:L224),('RFM input'!$J$339*(1+vanilla3)^0.5)/A9stdlife))</f>
        <v>2.4567117159676496E-3</v>
      </c>
      <c r="N224" s="18">
        <f>IF(A9stdlife="n/a","n/a",IF(N$3&gt;(A9stdlife+$F224),('RFM input'!$J$339*(1+vanilla3)^0.5)-SUM($J224:M224),('RFM input'!$J$339*(1+vanilla3)^0.5)/A9stdlife))</f>
        <v>2.4567117159676496E-3</v>
      </c>
      <c r="O224" s="18">
        <f>IF(A9stdlife="n/a","n/a",IF(O$3&gt;(A9stdlife+$F224),('RFM input'!$J$339*(1+vanilla3)^0.5)-SUM($J224:N224),('RFM input'!$J$339*(1+vanilla3)^0.5)/A9stdlife))</f>
        <v>2.4567117159676496E-3</v>
      </c>
      <c r="P224" s="18">
        <f>IF(A9stdlife="n/a","n/a",IF(P$3&gt;(A9stdlife+$F224),('RFM input'!$J$339*(1+vanilla3)^0.5)-SUM($J224:O224),('RFM input'!$J$339*(1+vanilla3)^0.5)/A9stdlife))</f>
        <v>2.4567117159676496E-3</v>
      </c>
      <c r="Q224" s="18">
        <f>IF(A9stdlife="n/a","n/a",IF(Q$3&gt;(A9stdlife+$F224),('RFM input'!$J$339*(1+vanilla3)^0.5)-SUM($J224:P224),('RFM input'!$J$339*(1+vanilla3)^0.5)/A9stdlife))</f>
        <v>2.4567117159676496E-3</v>
      </c>
      <c r="R224" s="18"/>
      <c r="S224" s="78"/>
      <c r="T224" s="78"/>
      <c r="U224" s="78"/>
      <c r="V224" s="78"/>
      <c r="W224" s="78"/>
      <c r="X224" s="78"/>
      <c r="Y224" s="78"/>
      <c r="Z224" s="78"/>
    </row>
    <row r="225" spans="1:26" hidden="1" outlineLevel="2">
      <c r="A225" s="3"/>
      <c r="B225" s="3"/>
      <c r="C225" s="3"/>
      <c r="D225" s="16"/>
      <c r="E225" s="1501"/>
      <c r="F225" s="63">
        <v>4</v>
      </c>
      <c r="G225" s="1297"/>
      <c r="H225" s="133"/>
      <c r="I225" s="134"/>
      <c r="J225" s="134"/>
      <c r="K225" s="135"/>
      <c r="L225" s="18">
        <f>IF(A9stdlife="n/a","n/a",IF(L$3&gt;(A9stdlife+$F225),('RFM input'!$K$339*(1+vanilla4)^0.5)-SUM($K225:K225),('RFM input'!$K$339*(1+vanilla4)^0.5)/A9stdlife))</f>
        <v>1.1325452232632007E-3</v>
      </c>
      <c r="M225" s="18">
        <f>IF(A9stdlife="n/a","n/a",IF(M$3&gt;(A9stdlife+$F225),('RFM input'!$K$339*(1+vanilla4)^0.5)-SUM($K225:L225),('RFM input'!$K$339*(1+vanilla4)^0.5)/A9stdlife))</f>
        <v>1.1325452232632007E-3</v>
      </c>
      <c r="N225" s="18">
        <f>IF(A9stdlife="n/a","n/a",IF(N$3&gt;(A9stdlife+$F225),('RFM input'!$K$339*(1+vanilla4)^0.5)-SUM($K225:M225),('RFM input'!$K$339*(1+vanilla4)^0.5)/A9stdlife))</f>
        <v>1.1325452232632007E-3</v>
      </c>
      <c r="O225" s="18">
        <f>IF(A9stdlife="n/a","n/a",IF(O$3&gt;(A9stdlife+$F225),('RFM input'!$K$339*(1+vanilla4)^0.5)-SUM($K225:N225),('RFM input'!$K$339*(1+vanilla4)^0.5)/A9stdlife))</f>
        <v>1.1325452232632007E-3</v>
      </c>
      <c r="P225" s="18">
        <f>IF(A9stdlife="n/a","n/a",IF(P$3&gt;(A9stdlife+$F225),('RFM input'!$K$339*(1+vanilla4)^0.5)-SUM($K225:O225),('RFM input'!$K$339*(1+vanilla4)^0.5)/A9stdlife))</f>
        <v>1.1325452232632007E-3</v>
      </c>
      <c r="Q225" s="18">
        <f>IF(A9stdlife="n/a","n/a",IF(Q$3&gt;(A9stdlife+$F225),('RFM input'!$K$339*(1+vanilla4)^0.5)-SUM($K225:P225),('RFM input'!$K$339*(1+vanilla4)^0.5)/A9stdlife))</f>
        <v>1.1325452232632007E-3</v>
      </c>
      <c r="R225" s="18"/>
      <c r="S225" s="78"/>
      <c r="T225" s="78"/>
      <c r="U225" s="78"/>
      <c r="V225" s="78"/>
      <c r="W225" s="78"/>
      <c r="X225" s="78"/>
      <c r="Y225" s="78"/>
      <c r="Z225" s="78"/>
    </row>
    <row r="226" spans="1:26" hidden="1" outlineLevel="2">
      <c r="A226" s="3"/>
      <c r="B226" s="3"/>
      <c r="C226" s="3"/>
      <c r="D226" s="16"/>
      <c r="E226" s="1501"/>
      <c r="F226" s="63">
        <v>5</v>
      </c>
      <c r="G226" s="1297"/>
      <c r="H226" s="133"/>
      <c r="I226" s="134"/>
      <c r="J226" s="134"/>
      <c r="K226" s="134"/>
      <c r="L226" s="135"/>
      <c r="M226" s="18">
        <f>IF(A9stdlife="n/a","n/a",IF(M$3&gt;(A9stdlife+$F226),('RFM input'!$L$339*(1+vanilla5)^0.5)-SUM($L226:L226),('RFM input'!$L$339*(1+vanilla5)^0.5)/A9stdlife))</f>
        <v>9.866029537737124E-4</v>
      </c>
      <c r="N226" s="18">
        <f>IF(A9stdlife="n/a","n/a",IF(N$3&gt;(A9stdlife+$F226),('RFM input'!$L$339*(1+vanilla5)^0.5)-SUM($L226:M226),('RFM input'!$L$339*(1+vanilla5)^0.5)/A9stdlife))</f>
        <v>9.866029537737124E-4</v>
      </c>
      <c r="O226" s="18">
        <f>IF(A9stdlife="n/a","n/a",IF(O$3&gt;(A9stdlife+$F226),('RFM input'!$L$339*(1+vanilla5)^0.5)-SUM($L226:N226),('RFM input'!$L$339*(1+vanilla5)^0.5)/A9stdlife))</f>
        <v>9.866029537737124E-4</v>
      </c>
      <c r="P226" s="18">
        <f>IF(A9stdlife="n/a","n/a",IF(P$3&gt;(A9stdlife+$F226),('RFM input'!$L$339*(1+vanilla5)^0.5)-SUM($L226:O226),('RFM input'!$L$339*(1+vanilla5)^0.5)/A9stdlife))</f>
        <v>9.866029537737124E-4</v>
      </c>
      <c r="Q226" s="18">
        <f>IF(A9stdlife="n/a","n/a",IF(Q$3&gt;(A9stdlife+$F226),('RFM input'!$L$339*(1+vanilla5)^0.5)-SUM($L226:P226),('RFM input'!$L$339*(1+vanilla5)^0.5)/A9stdlife))</f>
        <v>9.866029537737124E-4</v>
      </c>
      <c r="R226" s="18"/>
      <c r="S226" s="78"/>
      <c r="T226" s="78"/>
      <c r="U226" s="78"/>
      <c r="V226" s="78"/>
      <c r="W226" s="78"/>
      <c r="X226" s="78"/>
      <c r="Y226" s="78"/>
      <c r="Z226" s="78"/>
    </row>
    <row r="227" spans="1:26" hidden="1" outlineLevel="2">
      <c r="A227" s="3"/>
      <c r="B227" s="3"/>
      <c r="C227" s="3"/>
      <c r="D227" s="16"/>
      <c r="E227" s="1501"/>
      <c r="F227" s="63">
        <v>6</v>
      </c>
      <c r="G227" s="1297"/>
      <c r="H227" s="133"/>
      <c r="I227" s="134"/>
      <c r="J227" s="134"/>
      <c r="K227" s="134"/>
      <c r="L227" s="134"/>
      <c r="M227" s="135"/>
      <c r="N227" s="18">
        <f>IF(A9stdlife="n/a","n/a",IF(N$3&gt;(A9stdlife+$F227),('RFM input'!$M$339*(1+vanilla6)^0.5)-SUM($M227:M227),('RFM input'!$M$339*(1+vanilla6)^0.5)/A9stdlife))</f>
        <v>-1.3115361898612037E-3</v>
      </c>
      <c r="O227" s="18">
        <f>IF(A9stdlife="n/a","n/a",IF(O$3&gt;(A9stdlife+$F227),('RFM input'!$M$339*(1+vanilla6)^0.5)-SUM($M227:N227),('RFM input'!$M$339*(1+vanilla6)^0.5)/A9stdlife))</f>
        <v>-1.3115361898612037E-3</v>
      </c>
      <c r="P227" s="18">
        <f>IF(A9stdlife="n/a","n/a",IF(P$3&gt;(A9stdlife+$F227),('RFM input'!$M$339*(1+vanilla6)^0.5)-SUM($M227:O227),('RFM input'!$M$339*(1+vanilla6)^0.5)/A9stdlife))</f>
        <v>-1.3115361898612037E-3</v>
      </c>
      <c r="Q227" s="18">
        <f>IF(A9stdlife="n/a","n/a",IF(Q$3&gt;(A9stdlife+$F227),('RFM input'!$M$339*(1+vanilla6)^0.5)-SUM($M227:P227),('RFM input'!$M$339*(1+vanilla6)^0.5)/A9stdlife))</f>
        <v>-1.3115361898612037E-3</v>
      </c>
      <c r="R227" s="18"/>
      <c r="S227" s="78"/>
      <c r="T227" s="78"/>
      <c r="U227" s="78"/>
      <c r="V227" s="78"/>
      <c r="W227" s="78"/>
      <c r="X227" s="78"/>
      <c r="Y227" s="78"/>
      <c r="Z227" s="78"/>
    </row>
    <row r="228" spans="1:26" hidden="1" outlineLevel="2">
      <c r="A228" s="3"/>
      <c r="B228" s="3"/>
      <c r="C228" s="3"/>
      <c r="D228" s="16"/>
      <c r="E228" s="1501"/>
      <c r="F228" s="63">
        <v>7</v>
      </c>
      <c r="G228" s="1297"/>
      <c r="H228" s="133"/>
      <c r="I228" s="134"/>
      <c r="J228" s="134"/>
      <c r="K228" s="134"/>
      <c r="L228" s="134"/>
      <c r="M228" s="134"/>
      <c r="N228" s="135"/>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8"/>
      <c r="T228" s="78"/>
      <c r="U228" s="78"/>
      <c r="V228" s="78"/>
      <c r="W228" s="78"/>
      <c r="X228" s="78"/>
      <c r="Y228" s="78"/>
      <c r="Z228" s="78"/>
    </row>
    <row r="229" spans="1:26" hidden="1" outlineLevel="2">
      <c r="A229" s="3"/>
      <c r="B229" s="3"/>
      <c r="C229" s="3"/>
      <c r="D229" s="16"/>
      <c r="E229" s="1501"/>
      <c r="F229" s="63">
        <v>8</v>
      </c>
      <c r="G229" s="1297"/>
      <c r="H229" s="133"/>
      <c r="I229" s="134"/>
      <c r="J229" s="134"/>
      <c r="K229" s="134"/>
      <c r="L229" s="134"/>
      <c r="M229" s="134"/>
      <c r="N229" s="134"/>
      <c r="O229" s="135"/>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78"/>
      <c r="U229" s="78"/>
      <c r="V229" s="78"/>
      <c r="W229" s="78"/>
      <c r="X229" s="78"/>
      <c r="Y229" s="78"/>
      <c r="Z229" s="78"/>
    </row>
    <row r="230" spans="1:26" hidden="1" outlineLevel="2">
      <c r="A230" s="3"/>
      <c r="B230" s="3"/>
      <c r="C230" s="3"/>
      <c r="D230" s="16"/>
      <c r="E230" s="1501"/>
      <c r="F230" s="63">
        <v>9</v>
      </c>
      <c r="G230" s="1297"/>
      <c r="H230" s="133"/>
      <c r="I230" s="134"/>
      <c r="J230" s="134"/>
      <c r="K230" s="134"/>
      <c r="L230" s="134"/>
      <c r="M230" s="134"/>
      <c r="N230" s="134"/>
      <c r="O230" s="134"/>
      <c r="P230" s="135"/>
      <c r="Q230" s="18">
        <f>IF(A9stdlife="n/a","n/a",IF(Q$3&gt;(A9stdlife+$F230),('RFM input'!$P$339*(1+vanilla9)^0.5)-SUM($P230:P230),('RFM input'!$P$339*(1+vanilla9)^0.5)/A9stdlife))</f>
        <v>0</v>
      </c>
      <c r="R230" s="18"/>
      <c r="S230" s="78"/>
      <c r="T230" s="78"/>
      <c r="U230" s="78"/>
      <c r="V230" s="78"/>
      <c r="W230" s="78"/>
      <c r="X230" s="78"/>
      <c r="Y230" s="78"/>
      <c r="Z230" s="78"/>
    </row>
    <row r="231" spans="1:26" hidden="1" outlineLevel="2">
      <c r="A231" s="3"/>
      <c r="B231" s="3"/>
      <c r="C231" s="3"/>
      <c r="D231" s="16"/>
      <c r="E231" s="1501"/>
      <c r="F231" s="64">
        <v>10</v>
      </c>
      <c r="G231" s="1297"/>
      <c r="H231" s="133"/>
      <c r="I231" s="134"/>
      <c r="J231" s="134"/>
      <c r="K231" s="134"/>
      <c r="L231" s="134"/>
      <c r="M231" s="134"/>
      <c r="N231" s="134"/>
      <c r="O231" s="134"/>
      <c r="P231" s="134"/>
      <c r="Q231" s="135"/>
      <c r="R231" s="18"/>
      <c r="S231" s="78"/>
      <c r="T231" s="78"/>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-9.2825254992645989E-2</v>
      </c>
      <c r="I232" s="1310">
        <f>IF(OR('RFM input'!$E$396='RFM input'!$G$395,'RFM input'!$E$396='RFM input'!$G$396),-INDEX('RFM input'!I$402:I$451,MATCH($D232,'RFM input'!$E$402:$E$451,0),1),-SUM(I220:I231))</f>
        <v>-9.2994487024069872E-2</v>
      </c>
      <c r="J232" s="1311">
        <f>IF(COUNT($H232:I232)&gt;='RFM input'!$AA$7,0,IF(OR('RFM input'!$E$396='RFM input'!$G$395,'RFM input'!$E$396='RFM input'!$G$396),-INDEX('RFM input'!J$402:J$451,MATCH($D232,'RFM input'!$E$402:$E$451,0),1),-SUM(J220:J231)))</f>
        <v>-9.7313611111336962E-2</v>
      </c>
      <c r="K232" s="1311">
        <f>IF(COUNT($H232:J232)&gt;='RFM input'!$AA$7,0,IF(OR('RFM input'!$E$396='RFM input'!$G$395,'RFM input'!$E$396='RFM input'!$G$396),-INDEX('RFM input'!K$402:K$451,MATCH($D232,'RFM input'!$E$402:$E$451,0),1),-SUM(K220:K231)))</f>
        <v>-9.9770322827304608E-2</v>
      </c>
      <c r="L232" s="1311">
        <f>IF(COUNT($H232:K232)&gt;='RFM input'!$AA$7,0,IF(OR('RFM input'!$E$396='RFM input'!$G$395,'RFM input'!$E$396='RFM input'!$G$396),-INDEX('RFM input'!L$402:L$451,MATCH($D232,'RFM input'!$E$402:$E$451,0),1),-SUM(L220:L231)))</f>
        <v>-0.10090286805056781</v>
      </c>
      <c r="M232" s="1311">
        <f>IF(COUNT($H232:L232)&gt;='RFM input'!$AA$7,0,IF(OR('RFM input'!$E$396='RFM input'!$G$395,'RFM input'!$E$396='RFM input'!$G$396),-INDEX('RFM input'!M$402:M$451,MATCH($D232,'RFM input'!$E$402:$E$451,0),1),-SUM(M220:M231)))</f>
        <v>-0.10188947100434152</v>
      </c>
      <c r="N232" s="1311">
        <f>IF(COUNT($H232:M232)&gt;='RFM input'!$AA$7,0,IF(OR('RFM input'!$E$396='RFM input'!$G$395,'RFM input'!$E$396='RFM input'!$G$396),-INDEX('RFM input'!N$402:N$451,MATCH($D232,'RFM input'!$E$402:$E$451,0),1),-SUM(N220:N231)))</f>
        <v>-0.10057793481448032</v>
      </c>
      <c r="O232" s="1311">
        <f>IF(COUNT($H232:N232)&gt;='RFM input'!$AA$7,0,IF(OR('RFM input'!$E$396='RFM input'!$G$395,'RFM input'!$E$396='RFM input'!$G$396),-INDEX('RFM input'!O$402:O$451,MATCH($D232,'RFM input'!$E$402:$E$451,0),1),-SUM(O220:O231)))</f>
        <v>-0.10057793481448032</v>
      </c>
      <c r="P232" s="1311">
        <f>IF(COUNT($H232:O232)&gt;='RFM input'!$AA$7,0,IF(OR('RFM input'!$E$396='RFM input'!$G$395,'RFM input'!$E$396='RFM input'!$G$396),-INDEX('RFM input'!P$402:P$451,MATCH($D232,'RFM input'!$E$402:$E$451,0),1),-SUM(P220:P231)))</f>
        <v>-0.10057793481448032</v>
      </c>
      <c r="Q232" s="1311">
        <f>IF(COUNT($H232:P232)&gt;='RFM input'!$AA$7,0,IF(OR('RFM input'!$E$396='RFM input'!$G$395,'RFM input'!$E$396='RFM input'!$G$396),-INDEX('RFM input'!Q$402:Q$451,MATCH($D232,'RFM input'!$E$402:$E$451,0),1),-SUM(Q220:Q231)))</f>
        <v>-0.10057793481448032</v>
      </c>
      <c r="R232" s="1312"/>
      <c r="S232" s="80"/>
      <c r="T232" s="80"/>
      <c r="U232" s="80"/>
      <c r="V232" s="80"/>
      <c r="W232" s="80"/>
      <c r="X232" s="80"/>
      <c r="Y232" s="80"/>
      <c r="Z232" s="80"/>
    </row>
    <row r="233" spans="1:26" hidden="1" outlineLevel="2">
      <c r="A233" s="3"/>
      <c r="B233" s="3"/>
      <c r="C233" s="155" t="str">
        <f>Asset10</f>
        <v>IT Systems</v>
      </c>
      <c r="D233" s="111"/>
      <c r="E233" s="273" t="s">
        <v>508</v>
      </c>
      <c r="F233" s="19"/>
      <c r="G233" s="1313"/>
      <c r="H233" s="1308">
        <f>IF(H$3&gt;A10remlife,A10value-SUM($G233:G233),IF(A10remlife="N/A","n/a",A10value/A10remlife))</f>
        <v>0.44922692706855721</v>
      </c>
      <c r="I233" s="1308">
        <f>IF(I$3&gt;A10remlife,A10value-SUM($G233:H233),IF(A10remlife="N/A","n/a",A10value/A10remlife))</f>
        <v>0.1235381153599962</v>
      </c>
      <c r="J233" s="1308">
        <f>IF(J$3&gt;A10remlife,A10value-SUM($G233:I233),IF(A10remlife="N/A","n/a",A10value/A10remlife))</f>
        <v>0</v>
      </c>
      <c r="K233" s="1308">
        <f>IF(K$3&gt;A10remlife,A10value-SUM($G233:J233),IF(A10remlife="N/A","n/a",A10value/A10remlife))</f>
        <v>0</v>
      </c>
      <c r="L233" s="1308">
        <f>IF(L$3&gt;A10remlife,A10value-SUM($G233:K233),IF(A10remlife="N/A","n/a",A10value/A10remlife))</f>
        <v>0</v>
      </c>
      <c r="M233" s="1308">
        <f>IF(M$3&gt;A10remlife,A10value-SUM($G233:L233),IF(A10remlife="N/A","n/a",A10value/A10remlife))</f>
        <v>0</v>
      </c>
      <c r="N233" s="1308">
        <f>IF(N$3&gt;A10remlife,A10value-SUM($G233:M233),IF(A10remlife="N/A","n/a",A10value/A10remlife))</f>
        <v>0</v>
      </c>
      <c r="O233" s="1308">
        <f>IF(O$3&gt;A10remlife,A10value-SUM($G233:N233),IF(A10remlife="N/A","n/a",A10value/A10remlife))</f>
        <v>0</v>
      </c>
      <c r="P233" s="1308">
        <f>IF(P$3&gt;A10remlife,A10value-SUM($G233:O233),IF(A10remlife="N/A","n/a",A10value/A10remlife))</f>
        <v>0</v>
      </c>
      <c r="Q233" s="1308">
        <f>IF(Q$3&gt;A10remlife,A10value-SUM($G233:P233),IF(A10remlife="N/A","n/a",A10value/A10remlife))</f>
        <v>0</v>
      </c>
      <c r="R233" s="20"/>
      <c r="S233" s="78"/>
      <c r="T233" s="78"/>
      <c r="U233" s="78"/>
      <c r="V233" s="78"/>
      <c r="W233" s="78"/>
      <c r="X233" s="78"/>
      <c r="Y233" s="78"/>
      <c r="Z233" s="78"/>
    </row>
    <row r="234" spans="1:26" ht="12.75" hidden="1" customHeight="1" outlineLevel="2">
      <c r="A234" s="3"/>
      <c r="B234" s="3"/>
      <c r="C234" s="3"/>
      <c r="D234" s="112"/>
      <c r="E234" s="1500" t="s">
        <v>46</v>
      </c>
      <c r="F234" s="63"/>
      <c r="G234" s="1297"/>
      <c r="H234" s="18"/>
      <c r="I234" s="18"/>
      <c r="J234" s="18"/>
      <c r="K234" s="18"/>
      <c r="L234" s="18"/>
      <c r="M234" s="1314"/>
      <c r="N234" s="1315"/>
      <c r="O234" s="18"/>
      <c r="P234" s="18"/>
      <c r="Q234" s="18"/>
      <c r="R234" s="18"/>
      <c r="S234" s="78"/>
      <c r="T234" s="78"/>
      <c r="U234" s="78"/>
      <c r="V234" s="78"/>
      <c r="W234" s="78"/>
      <c r="X234" s="78"/>
      <c r="Y234" s="78"/>
      <c r="Z234" s="78"/>
    </row>
    <row r="235" spans="1:26" hidden="1" outlineLevel="2">
      <c r="A235" s="3"/>
      <c r="B235" s="3"/>
      <c r="C235" s="3"/>
      <c r="D235" s="16"/>
      <c r="E235" s="1501"/>
      <c r="F235" s="63">
        <v>1</v>
      </c>
      <c r="G235" s="1297"/>
      <c r="H235" s="1309"/>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78"/>
      <c r="U235" s="78"/>
      <c r="V235" s="78"/>
      <c r="W235" s="78"/>
      <c r="X235" s="78"/>
      <c r="Y235" s="78"/>
      <c r="Z235" s="78"/>
    </row>
    <row r="236" spans="1:26" hidden="1" outlineLevel="2">
      <c r="A236" s="3"/>
      <c r="B236" s="3"/>
      <c r="C236" s="3"/>
      <c r="D236" s="16"/>
      <c r="E236" s="1501"/>
      <c r="F236" s="63">
        <v>2</v>
      </c>
      <c r="G236" s="1297"/>
      <c r="H236" s="133"/>
      <c r="I236" s="135"/>
      <c r="J236" s="18">
        <f>IF(A10stdlife="n/a","n/a",IF(J$3&gt;(A10stdlife+$F236),('RFM input'!$I$340*(1+vanilla2)^0.5)-SUM($I236:I236),('RFM input'!$I$340*(1+vanilla2)^0.5)/A10stdlife))</f>
        <v>3.4561398986535796E-4</v>
      </c>
      <c r="K236" s="18">
        <f>IF(A10stdlife="n/a","n/a",IF(K$3&gt;(A10stdlife+$F236),('RFM input'!$I$340*(1+vanilla2)^0.5)-SUM($I236:J236),('RFM input'!$I$340*(1+vanilla2)^0.5)/A10stdlife))</f>
        <v>3.4561398986535796E-4</v>
      </c>
      <c r="L236" s="18">
        <f>IF(A10stdlife="n/a","n/a",IF(L$3&gt;(A10stdlife+$F236),('RFM input'!$I$340*(1+vanilla2)^0.5)-SUM($I236:K236),('RFM input'!$I$340*(1+vanilla2)^0.5)/A10stdlife))</f>
        <v>3.4561398986535796E-4</v>
      </c>
      <c r="M236" s="18">
        <f>IF(A10stdlife="n/a","n/a",IF(M$3&gt;(A10stdlife+$F236),('RFM input'!$I$340*(1+vanilla2)^0.5)-SUM($I236:L236),('RFM input'!$I$340*(1+vanilla2)^0.5)/A10stdlife))</f>
        <v>3.4561398986535796E-4</v>
      </c>
      <c r="N236" s="18">
        <f>IF(A10stdlife="n/a","n/a",IF(N$3&gt;(A10stdlife+$F236),('RFM input'!$I$340*(1+vanilla2)^0.5)-SUM($I236:M236),('RFM input'!$I$340*(1+vanilla2)^0.5)/A10stdlife))</f>
        <v>3.4561398986535796E-4</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78"/>
      <c r="U236" s="78"/>
      <c r="V236" s="78"/>
      <c r="W236" s="78"/>
      <c r="X236" s="78"/>
      <c r="Y236" s="78"/>
      <c r="Z236" s="78"/>
    </row>
    <row r="237" spans="1:26" hidden="1" outlineLevel="2">
      <c r="A237" s="3"/>
      <c r="B237" s="3"/>
      <c r="C237" s="3"/>
      <c r="D237" s="16"/>
      <c r="E237" s="1501"/>
      <c r="F237" s="63">
        <v>3</v>
      </c>
      <c r="G237" s="1297"/>
      <c r="H237" s="133"/>
      <c r="I237" s="134"/>
      <c r="J237" s="135"/>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8"/>
      <c r="T237" s="78"/>
      <c r="U237" s="78"/>
      <c r="V237" s="78"/>
      <c r="W237" s="78"/>
      <c r="X237" s="78"/>
      <c r="Y237" s="78"/>
      <c r="Z237" s="78"/>
    </row>
    <row r="238" spans="1:26" hidden="1" outlineLevel="2">
      <c r="A238" s="3"/>
      <c r="B238" s="3"/>
      <c r="C238" s="3"/>
      <c r="D238" s="16"/>
      <c r="E238" s="1501"/>
      <c r="F238" s="63">
        <v>4</v>
      </c>
      <c r="G238" s="1297"/>
      <c r="H238" s="133"/>
      <c r="I238" s="134"/>
      <c r="J238" s="134"/>
      <c r="K238" s="135"/>
      <c r="L238" s="18">
        <f>IF(A10stdlife="n/a","n/a",IF(L$3&gt;(A10stdlife+$F238),('RFM input'!$K$340*(1+vanilla4)^0.5)-SUM($K238:K238),('RFM input'!$K$340*(1+vanilla4)^0.5)/A10stdlife))</f>
        <v>0.19617415004234537</v>
      </c>
      <c r="M238" s="18">
        <f>IF(A10stdlife="n/a","n/a",IF(M$3&gt;(A10stdlife+$F238),('RFM input'!$K$340*(1+vanilla4)^0.5)-SUM($K238:L238),('RFM input'!$K$340*(1+vanilla4)^0.5)/A10stdlife))</f>
        <v>0.19617415004234537</v>
      </c>
      <c r="N238" s="18">
        <f>IF(A10stdlife="n/a","n/a",IF(N$3&gt;(A10stdlife+$F238),('RFM input'!$K$340*(1+vanilla4)^0.5)-SUM($K238:M238),('RFM input'!$K$340*(1+vanilla4)^0.5)/A10stdlife))</f>
        <v>0.19617415004234537</v>
      </c>
      <c r="O238" s="18">
        <f>IF(A10stdlife="n/a","n/a",IF(O$3&gt;(A10stdlife+$F238),('RFM input'!$K$340*(1+vanilla4)^0.5)-SUM($K238:N238),('RFM input'!$K$340*(1+vanilla4)^0.5)/A10stdlife))</f>
        <v>0.19617415004234537</v>
      </c>
      <c r="P238" s="18">
        <f>IF(A10stdlife="n/a","n/a",IF(P$3&gt;(A10stdlife+$F238),('RFM input'!$K$340*(1+vanilla4)^0.5)-SUM($K238:O238),('RFM input'!$K$340*(1+vanilla4)^0.5)/A10stdlife))</f>
        <v>0.19617415004234537</v>
      </c>
      <c r="Q238" s="18">
        <f>IF(A10stdlife="n/a","n/a",IF(Q$3&gt;(A10stdlife+$F238),('RFM input'!$K$340*(1+vanilla4)^0.5)-SUM($K238:P238),('RFM input'!$K$340*(1+vanilla4)^0.5)/A10stdlife))</f>
        <v>0</v>
      </c>
      <c r="R238" s="18"/>
      <c r="S238" s="78"/>
      <c r="T238" s="78"/>
      <c r="U238" s="78"/>
      <c r="V238" s="78"/>
      <c r="W238" s="78"/>
      <c r="X238" s="78"/>
      <c r="Y238" s="78"/>
      <c r="Z238" s="78"/>
    </row>
    <row r="239" spans="1:26" hidden="1" outlineLevel="2">
      <c r="A239" s="3"/>
      <c r="B239" s="3"/>
      <c r="C239" s="3"/>
      <c r="D239" s="16"/>
      <c r="E239" s="1501"/>
      <c r="F239" s="63">
        <v>5</v>
      </c>
      <c r="G239" s="17"/>
      <c r="H239" s="133"/>
      <c r="I239" s="134"/>
      <c r="J239" s="134"/>
      <c r="K239" s="134"/>
      <c r="L239" s="135"/>
      <c r="M239" s="18">
        <f>IF(A10stdlife="n/a","n/a",IF(M$3&gt;(A10stdlife+$F239),('RFM input'!$L$340*(1+vanilla5)^0.5)-SUM($L239:L239),('RFM input'!$L$340*(1+vanilla5)^0.5)/A10stdlife))</f>
        <v>1.1832550144247696E-9</v>
      </c>
      <c r="N239" s="18">
        <f>IF(A10stdlife="n/a","n/a",IF(N$3&gt;(A10stdlife+$F239),('RFM input'!$L$340*(1+vanilla5)^0.5)-SUM($L239:M239),('RFM input'!$L$340*(1+vanilla5)^0.5)/A10stdlife))</f>
        <v>1.1832550144247696E-9</v>
      </c>
      <c r="O239" s="18">
        <f>IF(A10stdlife="n/a","n/a",IF(O$3&gt;(A10stdlife+$F239),('RFM input'!$L$340*(1+vanilla5)^0.5)-SUM($L239:N239),('RFM input'!$L$340*(1+vanilla5)^0.5)/A10stdlife))</f>
        <v>1.1832550144247696E-9</v>
      </c>
      <c r="P239" s="18">
        <f>IF(A10stdlife="n/a","n/a",IF(P$3&gt;(A10stdlife+$F239),('RFM input'!$L$340*(1+vanilla5)^0.5)-SUM($L239:O239),('RFM input'!$L$340*(1+vanilla5)^0.5)/A10stdlife))</f>
        <v>1.1832550144247696E-9</v>
      </c>
      <c r="Q239" s="18">
        <f>IF(A10stdlife="n/a","n/a",IF(Q$3&gt;(A10stdlife+$F239),('RFM input'!$L$340*(1+vanilla5)^0.5)-SUM($L239:P239),('RFM input'!$L$340*(1+vanilla5)^0.5)/A10stdlife))</f>
        <v>1.1832550144247696E-9</v>
      </c>
      <c r="R239" s="18"/>
      <c r="S239" s="78"/>
      <c r="T239" s="78"/>
      <c r="U239" s="78"/>
      <c r="V239" s="78"/>
      <c r="W239" s="78"/>
      <c r="X239" s="78"/>
      <c r="Y239" s="78"/>
      <c r="Z239" s="78"/>
    </row>
    <row r="240" spans="1:26" hidden="1" outlineLevel="2">
      <c r="A240" s="3"/>
      <c r="B240" s="3"/>
      <c r="C240" s="3"/>
      <c r="D240" s="16"/>
      <c r="E240" s="1501"/>
      <c r="F240" s="63">
        <v>6</v>
      </c>
      <c r="G240" s="17"/>
      <c r="H240" s="133"/>
      <c r="I240" s="134"/>
      <c r="J240" s="134"/>
      <c r="K240" s="134"/>
      <c r="L240" s="134"/>
      <c r="M240" s="135"/>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78"/>
      <c r="U240" s="78"/>
      <c r="V240" s="78"/>
      <c r="W240" s="78"/>
      <c r="X240" s="78"/>
      <c r="Y240" s="78"/>
      <c r="Z240" s="78"/>
    </row>
    <row r="241" spans="1:26" hidden="1" outlineLevel="2">
      <c r="A241" s="3"/>
      <c r="B241" s="3"/>
      <c r="C241" s="3"/>
      <c r="D241" s="16"/>
      <c r="E241" s="1501"/>
      <c r="F241" s="63">
        <v>7</v>
      </c>
      <c r="G241" s="17"/>
      <c r="H241" s="133"/>
      <c r="I241" s="134"/>
      <c r="J241" s="134"/>
      <c r="K241" s="134"/>
      <c r="L241" s="134"/>
      <c r="M241" s="134"/>
      <c r="N241" s="135"/>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8"/>
      <c r="T241" s="78"/>
      <c r="U241" s="78"/>
      <c r="V241" s="78"/>
      <c r="W241" s="78"/>
      <c r="X241" s="78"/>
      <c r="Y241" s="78"/>
      <c r="Z241" s="78"/>
    </row>
    <row r="242" spans="1:26" hidden="1" outlineLevel="2">
      <c r="A242" s="3"/>
      <c r="B242" s="3"/>
      <c r="C242" s="3"/>
      <c r="D242" s="16"/>
      <c r="E242" s="1501"/>
      <c r="F242" s="63">
        <v>8</v>
      </c>
      <c r="G242" s="17"/>
      <c r="H242" s="133"/>
      <c r="I242" s="134"/>
      <c r="J242" s="134"/>
      <c r="K242" s="134"/>
      <c r="L242" s="134"/>
      <c r="M242" s="134"/>
      <c r="N242" s="134"/>
      <c r="O242" s="135"/>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78"/>
      <c r="U242" s="78"/>
      <c r="V242" s="78"/>
      <c r="W242" s="78"/>
      <c r="X242" s="78"/>
      <c r="Y242" s="78"/>
      <c r="Z242" s="78"/>
    </row>
    <row r="243" spans="1:26" hidden="1" outlineLevel="2">
      <c r="A243" s="3"/>
      <c r="B243" s="3"/>
      <c r="C243" s="3"/>
      <c r="D243" s="16"/>
      <c r="E243" s="1501"/>
      <c r="F243" s="63">
        <v>9</v>
      </c>
      <c r="G243" s="17"/>
      <c r="H243" s="133"/>
      <c r="I243" s="134"/>
      <c r="J243" s="134"/>
      <c r="K243" s="134"/>
      <c r="L243" s="134"/>
      <c r="M243" s="134"/>
      <c r="N243" s="134"/>
      <c r="O243" s="134"/>
      <c r="P243" s="135"/>
      <c r="Q243" s="18">
        <f>IF(A10stdlife="n/a","n/a",IF(Q$3&gt;(A10stdlife+$F243),('RFM input'!$P$340*(1+vanilla9)^0.5)-SUM($P243:P243),('RFM input'!$P$340*(1+vanilla9)^0.5)/A10stdlife))</f>
        <v>0</v>
      </c>
      <c r="R243" s="18"/>
      <c r="S243" s="78"/>
      <c r="T243" s="78"/>
      <c r="U243" s="78"/>
      <c r="V243" s="78"/>
      <c r="W243" s="78"/>
      <c r="X243" s="78"/>
      <c r="Y243" s="78"/>
      <c r="Z243" s="78"/>
    </row>
    <row r="244" spans="1:26" hidden="1" outlineLevel="2">
      <c r="A244" s="3"/>
      <c r="B244" s="3"/>
      <c r="C244" s="3"/>
      <c r="D244" s="16"/>
      <c r="E244" s="1501"/>
      <c r="F244" s="64">
        <v>10</v>
      </c>
      <c r="G244" s="17"/>
      <c r="H244" s="133"/>
      <c r="I244" s="134"/>
      <c r="J244" s="134"/>
      <c r="K244" s="134"/>
      <c r="L244" s="134"/>
      <c r="M244" s="134"/>
      <c r="N244" s="134"/>
      <c r="O244" s="134"/>
      <c r="P244" s="134"/>
      <c r="Q244" s="135"/>
      <c r="R244" s="18"/>
      <c r="S244" s="78"/>
      <c r="T244" s="78"/>
      <c r="U244" s="78"/>
      <c r="V244" s="78"/>
      <c r="W244" s="78"/>
      <c r="X244" s="78"/>
      <c r="Y244" s="78"/>
      <c r="Z244" s="78"/>
    </row>
    <row r="245" spans="1:26" hidden="1" outlineLevel="1" collapsed="1">
      <c r="A245" s="3"/>
      <c r="B245" s="3"/>
      <c r="C245" s="3"/>
      <c r="D245" s="154" t="str">
        <f>Asset10</f>
        <v>IT Systems</v>
      </c>
      <c r="F245" s="3"/>
      <c r="G245" s="1297"/>
      <c r="H245" s="1310">
        <f>IF(OR('RFM input'!$E$396='RFM input'!$G$395,'RFM input'!$E$396='RFM input'!$G$396),-INDEX('RFM input'!H$402:H$451,MATCH($D245,'RFM input'!$E$402:$E$451,0),1),-SUM(H233:H244))</f>
        <v>-0.44922692706855721</v>
      </c>
      <c r="I245" s="1310">
        <f>IF(OR('RFM input'!$E$396='RFM input'!$G$395,'RFM input'!$E$396='RFM input'!$G$396),-INDEX('RFM input'!I$402:I$451,MATCH($D245,'RFM input'!$E$402:$E$451,0),1),-SUM(I233:I244))</f>
        <v>-0.1235381153599962</v>
      </c>
      <c r="J245" s="1311">
        <f>IF(COUNT($H245:I245)&gt;='RFM input'!$AA$7,0,IF(OR('RFM input'!$E$396='RFM input'!$G$395,'RFM input'!$E$396='RFM input'!$G$396),-INDEX('RFM input'!J$402:J$451,MATCH($D245,'RFM input'!$E$402:$E$451,0),1),-SUM(J233:J244)))</f>
        <v>-3.4561398986535796E-4</v>
      </c>
      <c r="K245" s="1311">
        <f>IF(COUNT($H245:J245)&gt;='RFM input'!$AA$7,0,IF(OR('RFM input'!$E$396='RFM input'!$G$395,'RFM input'!$E$396='RFM input'!$G$396),-INDEX('RFM input'!K$402:K$451,MATCH($D245,'RFM input'!$E$402:$E$451,0),1),-SUM(K233:K244)))</f>
        <v>-3.4561398986535796E-4</v>
      </c>
      <c r="L245" s="1311">
        <f>IF(COUNT($H245:K245)&gt;='RFM input'!$AA$7,0,IF(OR('RFM input'!$E$396='RFM input'!$G$395,'RFM input'!$E$396='RFM input'!$G$396),-INDEX('RFM input'!L$402:L$451,MATCH($D245,'RFM input'!$E$402:$E$451,0),1),-SUM(L233:L244)))</f>
        <v>-0.19651976403221072</v>
      </c>
      <c r="M245" s="1311">
        <f>IF(COUNT($H245:L245)&gt;='RFM input'!$AA$7,0,IF(OR('RFM input'!$E$396='RFM input'!$G$395,'RFM input'!$E$396='RFM input'!$G$396),-INDEX('RFM input'!M$402:M$451,MATCH($D245,'RFM input'!$E$402:$E$451,0),1),-SUM(M233:M244)))</f>
        <v>-0.19651976521546574</v>
      </c>
      <c r="N245" s="1311">
        <f>IF(COUNT($H245:M245)&gt;='RFM input'!$AA$7,0,IF(OR('RFM input'!$E$396='RFM input'!$G$395,'RFM input'!$E$396='RFM input'!$G$396),-INDEX('RFM input'!N$402:N$451,MATCH($D245,'RFM input'!$E$402:$E$451,0),1),-SUM(N233:N244)))</f>
        <v>-0.19651976521546574</v>
      </c>
      <c r="O245" s="1311">
        <f>IF(COUNT($H245:N245)&gt;='RFM input'!$AA$7,0,IF(OR('RFM input'!$E$396='RFM input'!$G$395,'RFM input'!$E$396='RFM input'!$G$396),-INDEX('RFM input'!O$402:O$451,MATCH($D245,'RFM input'!$E$402:$E$451,0),1),-SUM(O233:O244)))</f>
        <v>-0.19617415122560039</v>
      </c>
      <c r="P245" s="1311">
        <f>IF(COUNT($H245:O245)&gt;='RFM input'!$AA$7,0,IF(OR('RFM input'!$E$396='RFM input'!$G$395,'RFM input'!$E$396='RFM input'!$G$396),-INDEX('RFM input'!P$402:P$451,MATCH($D245,'RFM input'!$E$402:$E$451,0),1),-SUM(P233:P244)))</f>
        <v>-0.19617415122560039</v>
      </c>
      <c r="Q245" s="1311">
        <f>IF(COUNT($H245:P245)&gt;='RFM input'!$AA$7,0,IF(OR('RFM input'!$E$396='RFM input'!$G$395,'RFM input'!$E$396='RFM input'!$G$396),-INDEX('RFM input'!Q$402:Q$451,MATCH($D245,'RFM input'!$E$402:$E$451,0),1),-SUM(Q233:Q244)))</f>
        <v>-1.1832550144247696E-9</v>
      </c>
      <c r="R245" s="1312"/>
      <c r="S245" s="80"/>
      <c r="T245" s="80"/>
      <c r="U245" s="80"/>
      <c r="V245" s="80"/>
      <c r="W245" s="80"/>
      <c r="X245" s="80"/>
      <c r="Y245" s="80"/>
      <c r="Z245" s="80"/>
    </row>
    <row r="246" spans="1:26" hidden="1" outlineLevel="2">
      <c r="A246" s="3"/>
      <c r="B246" s="3"/>
      <c r="C246" s="155" t="str">
        <f>Asset11</f>
        <v>Leased pipeline assets</v>
      </c>
      <c r="D246" s="111"/>
      <c r="E246" s="273" t="s">
        <v>508</v>
      </c>
      <c r="F246" s="19"/>
      <c r="G246" s="1313"/>
      <c r="H246" s="1308">
        <f>IF(H$3&gt;A11remlife,A11value-SUM($G246:G246),IF(A11remlife="N/A","n/a",A11value/A11remlife))</f>
        <v>0.2291511254539905</v>
      </c>
      <c r="I246" s="1308">
        <f>IF(I$3&gt;A11remlife,A11value-SUM($G246:H246),IF(A11remlife="N/A","n/a",A11value/A11remlife))</f>
        <v>0.2291511254539905</v>
      </c>
      <c r="J246" s="1308">
        <f>IF(J$3&gt;A11remlife,A11value-SUM($G246:I246),IF(A11remlife="N/A","n/a",A11value/A11remlife))</f>
        <v>0.2291511254539905</v>
      </c>
      <c r="K246" s="1308">
        <f>IF(K$3&gt;A11remlife,A11value-SUM($G246:J246),IF(A11remlife="N/A","n/a",A11value/A11remlife))</f>
        <v>0.2291511254539905</v>
      </c>
      <c r="L246" s="1308">
        <f>IF(L$3&gt;A11remlife,A11value-SUM($G246:K246),IF(A11remlife="N/A","n/a",A11value/A11remlife))</f>
        <v>0.2291511254539905</v>
      </c>
      <c r="M246" s="1308">
        <f>IF(M$3&gt;A11remlife,A11value-SUM($G246:L246),IF(A11remlife="N/A","n/a",A11value/A11remlife))</f>
        <v>0.2291511254539905</v>
      </c>
      <c r="N246" s="1308">
        <f>IF(N$3&gt;A11remlife,A11value-SUM($G246:M246),IF(A11remlife="N/A","n/a",A11value/A11remlife))</f>
        <v>0.12103387434732737</v>
      </c>
      <c r="O246" s="1308">
        <f>IF(O$3&gt;A11remlife,A11value-SUM($G246:N246),IF(A11remlife="N/A","n/a",A11value/A11remlife))</f>
        <v>0</v>
      </c>
      <c r="P246" s="1308">
        <f>IF(P$3&gt;A11remlife,A11value-SUM($G246:O246),IF(A11remlife="N/A","n/a",A11value/A11remlife))</f>
        <v>0</v>
      </c>
      <c r="Q246" s="1308">
        <f>IF(Q$3&gt;A11remlife,A11value-SUM($G246:P246),IF(A11remlife="N/A","n/a",A11value/A11remlife))</f>
        <v>0</v>
      </c>
      <c r="R246" s="20"/>
      <c r="S246" s="78"/>
      <c r="T246" s="78"/>
      <c r="U246" s="78"/>
      <c r="V246" s="78"/>
      <c r="W246" s="78"/>
      <c r="X246" s="78"/>
      <c r="Y246" s="78"/>
      <c r="Z246" s="78"/>
    </row>
    <row r="247" spans="1:26" ht="12.75" hidden="1" customHeight="1" outlineLevel="2">
      <c r="A247" s="3"/>
      <c r="B247" s="3"/>
      <c r="C247" s="3"/>
      <c r="D247" s="16"/>
      <c r="E247" s="1500" t="s">
        <v>46</v>
      </c>
      <c r="F247" s="63"/>
      <c r="G247" s="1297"/>
      <c r="H247" s="18"/>
      <c r="I247" s="18"/>
      <c r="J247" s="18"/>
      <c r="K247" s="18"/>
      <c r="L247" s="18"/>
      <c r="M247" s="1314"/>
      <c r="N247" s="1315"/>
      <c r="O247" s="18"/>
      <c r="P247" s="18"/>
      <c r="Q247" s="18"/>
      <c r="R247" s="18"/>
      <c r="S247" s="78"/>
      <c r="T247" s="78"/>
      <c r="U247" s="78"/>
      <c r="V247" s="78"/>
      <c r="W247" s="78"/>
      <c r="X247" s="78"/>
      <c r="Y247" s="78"/>
      <c r="Z247" s="78"/>
    </row>
    <row r="248" spans="1:26" hidden="1" outlineLevel="2">
      <c r="A248" s="3"/>
      <c r="B248" s="3"/>
      <c r="C248" s="3"/>
      <c r="D248" s="16"/>
      <c r="E248" s="1501"/>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78"/>
      <c r="U248" s="78"/>
      <c r="V248" s="78"/>
      <c r="W248" s="78"/>
      <c r="X248" s="78"/>
      <c r="Y248" s="78"/>
      <c r="Z248" s="78"/>
    </row>
    <row r="249" spans="1:26" hidden="1" outlineLevel="2">
      <c r="A249" s="3"/>
      <c r="B249" s="3"/>
      <c r="C249" s="3"/>
      <c r="D249" s="16"/>
      <c r="E249" s="1501"/>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78"/>
      <c r="U249" s="78"/>
      <c r="V249" s="78"/>
      <c r="W249" s="78"/>
      <c r="X249" s="78"/>
      <c r="Y249" s="78"/>
      <c r="Z249" s="78"/>
    </row>
    <row r="250" spans="1:26" hidden="1" outlineLevel="2">
      <c r="A250" s="3"/>
      <c r="B250" s="3"/>
      <c r="C250" s="3"/>
      <c r="D250" s="16"/>
      <c r="E250" s="1501"/>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78"/>
      <c r="U250" s="78"/>
      <c r="V250" s="78"/>
      <c r="W250" s="78"/>
      <c r="X250" s="78"/>
      <c r="Y250" s="78"/>
      <c r="Z250" s="78"/>
    </row>
    <row r="251" spans="1:26" hidden="1" outlineLevel="2">
      <c r="A251" s="3"/>
      <c r="B251" s="3"/>
      <c r="C251" s="3"/>
      <c r="D251" s="16"/>
      <c r="E251" s="1501"/>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78"/>
      <c r="U251" s="78"/>
      <c r="V251" s="78"/>
      <c r="W251" s="78"/>
      <c r="X251" s="78"/>
      <c r="Y251" s="78"/>
      <c r="Z251" s="78"/>
    </row>
    <row r="252" spans="1:26" hidden="1" outlineLevel="2">
      <c r="A252" s="3"/>
      <c r="B252" s="3"/>
      <c r="C252" s="3"/>
      <c r="D252" s="16"/>
      <c r="E252" s="1501"/>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78"/>
      <c r="U252" s="78"/>
      <c r="V252" s="78"/>
      <c r="W252" s="78"/>
      <c r="X252" s="78"/>
      <c r="Y252" s="78"/>
      <c r="Z252" s="78"/>
    </row>
    <row r="253" spans="1:26" hidden="1" outlineLevel="2">
      <c r="A253" s="3"/>
      <c r="B253" s="3"/>
      <c r="C253" s="3"/>
      <c r="D253" s="16"/>
      <c r="E253" s="1501"/>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78"/>
      <c r="U253" s="78"/>
      <c r="V253" s="78"/>
      <c r="W253" s="78"/>
      <c r="X253" s="78"/>
      <c r="Y253" s="78"/>
      <c r="Z253" s="78"/>
    </row>
    <row r="254" spans="1:26" hidden="1" outlineLevel="2">
      <c r="A254" s="3"/>
      <c r="B254" s="3"/>
      <c r="C254" s="3"/>
      <c r="D254" s="16"/>
      <c r="E254" s="1501"/>
      <c r="F254" s="63">
        <v>7</v>
      </c>
      <c r="G254" s="17"/>
      <c r="H254" s="133"/>
      <c r="I254" s="134"/>
      <c r="J254" s="134"/>
      <c r="K254" s="134"/>
      <c r="L254" s="134"/>
      <c r="M254" s="134"/>
      <c r="N254" s="135"/>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78"/>
      <c r="U254" s="78"/>
      <c r="V254" s="78"/>
      <c r="W254" s="78"/>
      <c r="X254" s="78"/>
      <c r="Y254" s="78"/>
      <c r="Z254" s="78"/>
    </row>
    <row r="255" spans="1:26" hidden="1" outlineLevel="2">
      <c r="A255" s="3"/>
      <c r="B255" s="3"/>
      <c r="C255" s="3"/>
      <c r="D255" s="16"/>
      <c r="E255" s="1501"/>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78"/>
      <c r="U255" s="78"/>
      <c r="V255" s="78"/>
      <c r="W255" s="78"/>
      <c r="X255" s="78"/>
      <c r="Y255" s="78"/>
      <c r="Z255" s="78"/>
    </row>
    <row r="256" spans="1:26" hidden="1" outlineLevel="2">
      <c r="A256" s="3"/>
      <c r="B256" s="3"/>
      <c r="C256" s="3"/>
      <c r="D256" s="16"/>
      <c r="E256" s="1501"/>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78"/>
      <c r="U256" s="78"/>
      <c r="V256" s="78"/>
      <c r="W256" s="78"/>
      <c r="X256" s="78"/>
      <c r="Y256" s="78"/>
      <c r="Z256" s="78"/>
    </row>
    <row r="257" spans="1:26" hidden="1" outlineLevel="2">
      <c r="A257" s="3"/>
      <c r="B257" s="3"/>
      <c r="C257" s="3"/>
      <c r="D257" s="16"/>
      <c r="E257" s="1501"/>
      <c r="F257" s="64">
        <v>10</v>
      </c>
      <c r="G257" s="17"/>
      <c r="H257" s="133"/>
      <c r="I257" s="134"/>
      <c r="J257" s="134"/>
      <c r="K257" s="134"/>
      <c r="L257" s="134"/>
      <c r="M257" s="134"/>
      <c r="N257" s="134"/>
      <c r="O257" s="134"/>
      <c r="P257" s="134"/>
      <c r="Q257" s="135"/>
      <c r="R257" s="18"/>
      <c r="S257" s="78"/>
      <c r="T257" s="78"/>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-0.2291511254539905</v>
      </c>
      <c r="I258" s="1310">
        <f>IF(OR('RFM input'!$E$396='RFM input'!$G$395,'RFM input'!$E$396='RFM input'!$G$396),-INDEX('RFM input'!I$402:I$451,MATCH($D258,'RFM input'!$E$402:$E$451,0),1),-SUM(I246:I257))</f>
        <v>-0.2291511254539905</v>
      </c>
      <c r="J258" s="1311">
        <f>IF(COUNT($H258:I258)&gt;='RFM input'!$AA$7,0,IF(OR('RFM input'!$E$396='RFM input'!$G$395,'RFM input'!$E$396='RFM input'!$G$396),-INDEX('RFM input'!J$402:J$451,MATCH($D258,'RFM input'!$E$402:$E$451,0),1),-SUM(J246:J257)))</f>
        <v>-0.2291511254539905</v>
      </c>
      <c r="K258" s="1311">
        <f>IF(COUNT($H258:J258)&gt;='RFM input'!$AA$7,0,IF(OR('RFM input'!$E$396='RFM input'!$G$395,'RFM input'!$E$396='RFM input'!$G$396),-INDEX('RFM input'!K$402:K$451,MATCH($D258,'RFM input'!$E$402:$E$451,0),1),-SUM(K246:K257)))</f>
        <v>-0.2291511254539905</v>
      </c>
      <c r="L258" s="1311">
        <f>IF(COUNT($H258:K258)&gt;='RFM input'!$AA$7,0,IF(OR('RFM input'!$E$396='RFM input'!$G$395,'RFM input'!$E$396='RFM input'!$G$396),-INDEX('RFM input'!L$402:L$451,MATCH($D258,'RFM input'!$E$402:$E$451,0),1),-SUM(L246:L257)))</f>
        <v>-0.2291511254539905</v>
      </c>
      <c r="M258" s="1311">
        <f>IF(COUNT($H258:L258)&gt;='RFM input'!$AA$7,0,IF(OR('RFM input'!$E$396='RFM input'!$G$395,'RFM input'!$E$396='RFM input'!$G$396),-INDEX('RFM input'!M$402:M$451,MATCH($D258,'RFM input'!$E$402:$E$451,0),1),-SUM(M246:M257)))</f>
        <v>-0.2291511254539905</v>
      </c>
      <c r="N258" s="1311">
        <f>IF(COUNT($H258:M258)&gt;='RFM input'!$AA$7,0,IF(OR('RFM input'!$E$396='RFM input'!$G$395,'RFM input'!$E$396='RFM input'!$G$396),-INDEX('RFM input'!N$402:N$451,MATCH($D258,'RFM input'!$E$402:$E$451,0),1),-SUM(N246:N257)))</f>
        <v>-0.12103387434732737</v>
      </c>
      <c r="O258" s="1311">
        <f>IF(COUNT($H258:N258)&gt;='RFM input'!$AA$7,0,IF(OR('RFM input'!$E$396='RFM input'!$G$395,'RFM input'!$E$396='RFM input'!$G$396),-INDEX('RFM input'!O$402:O$451,MATCH($D258,'RFM input'!$E$402:$E$451,0),1),-SUM(O246:O257)))</f>
        <v>0</v>
      </c>
      <c r="P258" s="1311">
        <f>IF(COUNT($H258:O258)&gt;='RFM input'!$AA$7,0,IF(OR('RFM input'!$E$396='RFM input'!$G$395,'RFM input'!$E$396='RFM input'!$G$396),-INDEX('RFM input'!P$402:P$451,MATCH($D258,'RFM input'!$E$402:$E$451,0),1),-SUM(P246:P257)))</f>
        <v>0</v>
      </c>
      <c r="Q258" s="1311">
        <f>IF(COUNT($H258:P258)&gt;='RFM input'!$AA$7,0,IF(OR('RFM input'!$E$396='RFM input'!$G$395,'RFM input'!$E$396='RFM input'!$G$396),-INDEX('RFM input'!Q$402:Q$451,MATCH($D258,'RFM input'!$E$402:$E$451,0),1),-SUM(Q246:Q257)))</f>
        <v>0</v>
      </c>
      <c r="R258" s="1312"/>
      <c r="S258" s="80"/>
      <c r="T258" s="80"/>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0.85756420720717252</v>
      </c>
      <c r="I259" s="1308">
        <f>IF(I$3&gt;A12remlife,A12value-SUM($G259:H259),IF(A12remlife="N/A","n/a",A12value/A12remlife))</f>
        <v>0.85756420720717252</v>
      </c>
      <c r="J259" s="1308">
        <f>IF(J$3&gt;A12remlife,A12value-SUM($G259:I259),IF(A12remlife="N/A","n/a",A12value/A12remlife))</f>
        <v>0.85756420720717252</v>
      </c>
      <c r="K259" s="1308">
        <f>IF(K$3&gt;A12remlife,A12value-SUM($G259:J259),IF(A12remlife="N/A","n/a",A12value/A12remlife))</f>
        <v>0.85756420720717252</v>
      </c>
      <c r="L259" s="1308">
        <f>IF(L$3&gt;A12remlife,A12value-SUM($G259:K259),IF(A12remlife="N/A","n/a",A12value/A12remlife))</f>
        <v>0.23154075807386709</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78"/>
      <c r="U259" s="78"/>
      <c r="V259" s="78"/>
      <c r="W259" s="78"/>
      <c r="X259" s="78"/>
      <c r="Y259" s="78"/>
      <c r="Z259" s="78"/>
    </row>
    <row r="260" spans="1:26" ht="12.75" hidden="1" customHeight="1" outlineLevel="2">
      <c r="A260" s="3"/>
      <c r="B260" s="3"/>
      <c r="C260" s="3"/>
      <c r="D260" s="16"/>
      <c r="E260" s="1500" t="s">
        <v>46</v>
      </c>
      <c r="F260" s="63"/>
      <c r="G260" s="1297"/>
      <c r="H260" s="18"/>
      <c r="I260" s="18"/>
      <c r="J260" s="18"/>
      <c r="K260" s="18"/>
      <c r="L260" s="18"/>
      <c r="M260" s="1314"/>
      <c r="N260" s="1315"/>
      <c r="O260" s="18"/>
      <c r="P260" s="18"/>
      <c r="Q260" s="18"/>
      <c r="R260" s="18"/>
      <c r="S260" s="78"/>
      <c r="T260" s="78"/>
      <c r="U260" s="78"/>
      <c r="V260" s="78"/>
      <c r="W260" s="78"/>
      <c r="X260" s="78"/>
      <c r="Y260" s="78"/>
      <c r="Z260" s="78"/>
    </row>
    <row r="261" spans="1:26" hidden="1" outlineLevel="2">
      <c r="A261" s="3"/>
      <c r="B261" s="3"/>
      <c r="C261" s="3"/>
      <c r="D261" s="16"/>
      <c r="E261" s="1501"/>
      <c r="F261" s="63">
        <v>1</v>
      </c>
      <c r="G261" s="1297"/>
      <c r="H261" s="1309"/>
      <c r="I261" s="18">
        <f>IF(A12stdlife="n/a","n/a",IF(I$3&gt;(A12stdlife+$F261),('RFM input'!$H$342*(1+vanilla1)^0.5)-SUM($H261:H261),('RFM input'!$H$342*(1+vanilla1)^0.5)/A12stdlife))</f>
        <v>0.12106123778460694</v>
      </c>
      <c r="J261" s="18">
        <f>IF(A12stdlife="n/a","n/a",IF(J$3&gt;(A12stdlife+$F261),('RFM input'!$H$342*(1+vanilla1)^0.5)-SUM($H261:I261),('RFM input'!$H$342*(1+vanilla1)^0.5)/A12stdlife))</f>
        <v>0.12106123778460694</v>
      </c>
      <c r="K261" s="18">
        <f>IF(A12stdlife="n/a","n/a",IF(K$3&gt;(A12stdlife+$F261),('RFM input'!$H$342*(1+vanilla1)^0.5)-SUM($H261:J261),('RFM input'!$H$342*(1+vanilla1)^0.5)/A12stdlife))</f>
        <v>0.12106123778460694</v>
      </c>
      <c r="L261" s="18">
        <f>IF(A12stdlife="n/a","n/a",IF(L$3&gt;(A12stdlife+$F261),('RFM input'!$H$342*(1+vanilla1)^0.5)-SUM($H261:K261),('RFM input'!$H$342*(1+vanilla1)^0.5)/A12stdlife))</f>
        <v>0.12106123778460694</v>
      </c>
      <c r="M261" s="18">
        <f>IF(A12stdlife="n/a","n/a",IF(M$3&gt;(A12stdlife+$F261),('RFM input'!$H$342*(1+vanilla1)^0.5)-SUM($H261:L261),('RFM input'!$H$342*(1+vanilla1)^0.5)/A12stdlife))</f>
        <v>0.12106123778460694</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78"/>
      <c r="U261" s="78"/>
      <c r="V261" s="78"/>
      <c r="W261" s="78"/>
      <c r="X261" s="78"/>
      <c r="Y261" s="78"/>
      <c r="Z261" s="78"/>
    </row>
    <row r="262" spans="1:26" hidden="1" outlineLevel="2">
      <c r="A262" s="3"/>
      <c r="B262" s="3"/>
      <c r="C262" s="3"/>
      <c r="D262" s="16"/>
      <c r="E262" s="1501"/>
      <c r="F262" s="63">
        <v>2</v>
      </c>
      <c r="G262" s="1297"/>
      <c r="H262" s="133"/>
      <c r="I262" s="135"/>
      <c r="J262" s="18">
        <f>IF(A12stdlife="n/a","n/a",IF(J$3&gt;(A12stdlife+$F262),('RFM input'!$I$342*(1+vanilla2)^0.5)-SUM($I262:I262),('RFM input'!$I$342*(1+vanilla2)^0.5)/A12stdlife))</f>
        <v>0.19846472652807517</v>
      </c>
      <c r="K262" s="18">
        <f>IF(A12stdlife="n/a","n/a",IF(K$3&gt;(A12stdlife+$F262),('RFM input'!$I$342*(1+vanilla2)^0.5)-SUM($I262:J262),('RFM input'!$I$342*(1+vanilla2)^0.5)/A12stdlife))</f>
        <v>0.19846472652807517</v>
      </c>
      <c r="L262" s="18">
        <f>IF(A12stdlife="n/a","n/a",IF(L$3&gt;(A12stdlife+$F262),('RFM input'!$I$342*(1+vanilla2)^0.5)-SUM($I262:K262),('RFM input'!$I$342*(1+vanilla2)^0.5)/A12stdlife))</f>
        <v>0.19846472652807517</v>
      </c>
      <c r="M262" s="18">
        <f>IF(A12stdlife="n/a","n/a",IF(M$3&gt;(A12stdlife+$F262),('RFM input'!$I$342*(1+vanilla2)^0.5)-SUM($I262:L262),('RFM input'!$I$342*(1+vanilla2)^0.5)/A12stdlife))</f>
        <v>0.19846472652807517</v>
      </c>
      <c r="N262" s="18">
        <f>IF(A12stdlife="n/a","n/a",IF(N$3&gt;(A12stdlife+$F262),('RFM input'!$I$342*(1+vanilla2)^0.5)-SUM($I262:M262),('RFM input'!$I$342*(1+vanilla2)^0.5)/A12stdlife))</f>
        <v>0.19846472652807517</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78"/>
      <c r="U262" s="78"/>
      <c r="V262" s="78"/>
      <c r="W262" s="78"/>
      <c r="X262" s="78"/>
      <c r="Y262" s="78"/>
      <c r="Z262" s="78"/>
    </row>
    <row r="263" spans="1:26" hidden="1" outlineLevel="2">
      <c r="A263" s="3"/>
      <c r="B263" s="3"/>
      <c r="C263" s="3"/>
      <c r="D263" s="16"/>
      <c r="E263" s="1501"/>
      <c r="F263" s="63">
        <v>3</v>
      </c>
      <c r="G263" s="1297"/>
      <c r="H263" s="133"/>
      <c r="I263" s="134"/>
      <c r="J263" s="135"/>
      <c r="K263" s="18">
        <f>IF(A12stdlife="n/a","n/a",IF(K$3&gt;(A12stdlife+$F263),('RFM input'!$J$342*(1+vanilla3)^0.5)-SUM($J263:J263),('RFM input'!$J$342*(1+vanilla3)^0.5)/A12stdlife))</f>
        <v>0.30732862134162747</v>
      </c>
      <c r="L263" s="18">
        <f>IF(A12stdlife="n/a","n/a",IF(L$3&gt;(A12stdlife+$F263),('RFM input'!$J$342*(1+vanilla3)^0.5)-SUM($J263:K263),('RFM input'!$J$342*(1+vanilla3)^0.5)/A12stdlife))</f>
        <v>0.30732862134162747</v>
      </c>
      <c r="M263" s="18">
        <f>IF(A12stdlife="n/a","n/a",IF(M$3&gt;(A12stdlife+$F263),('RFM input'!$J$342*(1+vanilla3)^0.5)-SUM($J263:L263),('RFM input'!$J$342*(1+vanilla3)^0.5)/A12stdlife))</f>
        <v>0.30732862134162747</v>
      </c>
      <c r="N263" s="18">
        <f>IF(A12stdlife="n/a","n/a",IF(N$3&gt;(A12stdlife+$F263),('RFM input'!$J$342*(1+vanilla3)^0.5)-SUM($J263:M263),('RFM input'!$J$342*(1+vanilla3)^0.5)/A12stdlife))</f>
        <v>0.30732862134162747</v>
      </c>
      <c r="O263" s="18">
        <f>IF(A12stdlife="n/a","n/a",IF(O$3&gt;(A12stdlife+$F263),('RFM input'!$J$342*(1+vanilla3)^0.5)-SUM($J263:N263),('RFM input'!$J$342*(1+vanilla3)^0.5)/A12stdlife))</f>
        <v>0.30732862134162747</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78"/>
      <c r="U263" s="78"/>
      <c r="V263" s="78"/>
      <c r="W263" s="78"/>
      <c r="X263" s="78"/>
      <c r="Y263" s="78"/>
      <c r="Z263" s="78"/>
    </row>
    <row r="264" spans="1:26" hidden="1" outlineLevel="2">
      <c r="A264" s="3"/>
      <c r="B264" s="3"/>
      <c r="C264" s="3"/>
      <c r="D264" s="16"/>
      <c r="E264" s="1501"/>
      <c r="F264" s="63">
        <v>4</v>
      </c>
      <c r="G264" s="1297"/>
      <c r="H264" s="133"/>
      <c r="I264" s="134"/>
      <c r="J264" s="134"/>
      <c r="K264" s="135"/>
      <c r="L264" s="18">
        <f>IF(A12stdlife="n/a","n/a",IF(L$3&gt;(A12stdlife+$F264),('RFM input'!$K$342*(1+vanilla4)^0.5)-SUM($K264:K264),('RFM input'!$K$342*(1+vanilla4)^0.5)/A12stdlife))</f>
        <v>0.2038226033637614</v>
      </c>
      <c r="M264" s="18">
        <f>IF(A12stdlife="n/a","n/a",IF(M$3&gt;(A12stdlife+$F264),('RFM input'!$K$342*(1+vanilla4)^0.5)-SUM($K264:L264),('RFM input'!$K$342*(1+vanilla4)^0.5)/A12stdlife))</f>
        <v>0.2038226033637614</v>
      </c>
      <c r="N264" s="18">
        <f>IF(A12stdlife="n/a","n/a",IF(N$3&gt;(A12stdlife+$F264),('RFM input'!$K$342*(1+vanilla4)^0.5)-SUM($K264:M264),('RFM input'!$K$342*(1+vanilla4)^0.5)/A12stdlife))</f>
        <v>0.2038226033637614</v>
      </c>
      <c r="O264" s="18">
        <f>IF(A12stdlife="n/a","n/a",IF(O$3&gt;(A12stdlife+$F264),('RFM input'!$K$342*(1+vanilla4)^0.5)-SUM($K264:N264),('RFM input'!$K$342*(1+vanilla4)^0.5)/A12stdlife))</f>
        <v>0.2038226033637614</v>
      </c>
      <c r="P264" s="18">
        <f>IF(A12stdlife="n/a","n/a",IF(P$3&gt;(A12stdlife+$F264),('RFM input'!$K$342*(1+vanilla4)^0.5)-SUM($K264:O264),('RFM input'!$K$342*(1+vanilla4)^0.5)/A12stdlife))</f>
        <v>0.2038226033637614</v>
      </c>
      <c r="Q264" s="18">
        <f>IF(A12stdlife="n/a","n/a",IF(Q$3&gt;(A12stdlife+$F264),('RFM input'!$K$342*(1+vanilla4)^0.5)-SUM($K264:P264),('RFM input'!$K$342*(1+vanilla4)^0.5)/A12stdlife))</f>
        <v>0</v>
      </c>
      <c r="R264" s="18"/>
      <c r="S264" s="78"/>
      <c r="T264" s="78"/>
      <c r="U264" s="78"/>
      <c r="V264" s="78"/>
      <c r="W264" s="78"/>
      <c r="X264" s="78"/>
      <c r="Y264" s="78"/>
      <c r="Z264" s="78"/>
    </row>
    <row r="265" spans="1:26" hidden="1" outlineLevel="2">
      <c r="A265" s="3"/>
      <c r="B265" s="3"/>
      <c r="C265" s="3"/>
      <c r="D265" s="16"/>
      <c r="E265" s="1501"/>
      <c r="F265" s="63">
        <v>5</v>
      </c>
      <c r="G265" s="17"/>
      <c r="H265" s="133"/>
      <c r="I265" s="134"/>
      <c r="J265" s="134"/>
      <c r="K265" s="134"/>
      <c r="L265" s="135"/>
      <c r="M265" s="18">
        <f>IF(A12stdlife="n/a","n/a",IF(M$3&gt;(A12stdlife+$F265),('RFM input'!$L$342*(1+vanilla5)^0.5)-SUM($L265:L265),('RFM input'!$L$342*(1+vanilla5)^0.5)/A12stdlife))</f>
        <v>0.12060806700680649</v>
      </c>
      <c r="N265" s="18">
        <f>IF(A12stdlife="n/a","n/a",IF(N$3&gt;(A12stdlife+$F265),('RFM input'!$L$342*(1+vanilla5)^0.5)-SUM($L265:M265),('RFM input'!$L$342*(1+vanilla5)^0.5)/A12stdlife))</f>
        <v>0.12060806700680649</v>
      </c>
      <c r="O265" s="18">
        <f>IF(A12stdlife="n/a","n/a",IF(O$3&gt;(A12stdlife+$F265),('RFM input'!$L$342*(1+vanilla5)^0.5)-SUM($L265:N265),('RFM input'!$L$342*(1+vanilla5)^0.5)/A12stdlife))</f>
        <v>0.12060806700680649</v>
      </c>
      <c r="P265" s="18">
        <f>IF(A12stdlife="n/a","n/a",IF(P$3&gt;(A12stdlife+$F265),('RFM input'!$L$342*(1+vanilla5)^0.5)-SUM($L265:O265),('RFM input'!$L$342*(1+vanilla5)^0.5)/A12stdlife))</f>
        <v>0.12060806700680649</v>
      </c>
      <c r="Q265" s="18">
        <f>IF(A12stdlife="n/a","n/a",IF(Q$3&gt;(A12stdlife+$F265),('RFM input'!$L$342*(1+vanilla5)^0.5)-SUM($L265:P265),('RFM input'!$L$342*(1+vanilla5)^0.5)/A12stdlife))</f>
        <v>0.12060806700680649</v>
      </c>
      <c r="R265" s="18"/>
      <c r="S265" s="78"/>
      <c r="T265" s="78"/>
      <c r="U265" s="78"/>
      <c r="V265" s="78"/>
      <c r="W265" s="78"/>
      <c r="X265" s="78"/>
      <c r="Y265" s="78"/>
      <c r="Z265" s="78"/>
    </row>
    <row r="266" spans="1:26" hidden="1" outlineLevel="2">
      <c r="A266" s="3"/>
      <c r="B266" s="3"/>
      <c r="C266" s="3"/>
      <c r="D266" s="16"/>
      <c r="E266" s="1501"/>
      <c r="F266" s="63">
        <v>6</v>
      </c>
      <c r="G266" s="17"/>
      <c r="H266" s="133"/>
      <c r="I266" s="134"/>
      <c r="J266" s="134"/>
      <c r="K266" s="134"/>
      <c r="L266" s="134"/>
      <c r="M266" s="135"/>
      <c r="N266" s="18">
        <f>IF(A12stdlife="n/a","n/a",IF(N$3&gt;(A12stdlife+$F266),('RFM input'!$M$342*(1+vanilla6)^0.5)-SUM($M266:M266),('RFM input'!$M$342*(1+vanilla6)^0.5)/A12stdlife))</f>
        <v>0.57716043090517333</v>
      </c>
      <c r="O266" s="18">
        <f>IF(A12stdlife="n/a","n/a",IF(O$3&gt;(A12stdlife+$F266),('RFM input'!$M$342*(1+vanilla6)^0.5)-SUM($M266:N266),('RFM input'!$M$342*(1+vanilla6)^0.5)/A12stdlife))</f>
        <v>0.57716043090517333</v>
      </c>
      <c r="P266" s="18">
        <f>IF(A12stdlife="n/a","n/a",IF(P$3&gt;(A12stdlife+$F266),('RFM input'!$M$342*(1+vanilla6)^0.5)-SUM($M266:O266),('RFM input'!$M$342*(1+vanilla6)^0.5)/A12stdlife))</f>
        <v>0.57716043090517333</v>
      </c>
      <c r="Q266" s="18">
        <f>IF(A12stdlife="n/a","n/a",IF(Q$3&gt;(A12stdlife+$F266),('RFM input'!$M$342*(1+vanilla6)^0.5)-SUM($M266:P266),('RFM input'!$M$342*(1+vanilla6)^0.5)/A12stdlife))</f>
        <v>0.57716043090517333</v>
      </c>
      <c r="R266" s="18"/>
      <c r="S266" s="78"/>
      <c r="T266" s="78"/>
      <c r="U266" s="78"/>
      <c r="V266" s="78"/>
      <c r="W266" s="78"/>
      <c r="X266" s="78"/>
      <c r="Y266" s="78"/>
      <c r="Z266" s="78"/>
    </row>
    <row r="267" spans="1:26" hidden="1" outlineLevel="2">
      <c r="A267" s="3"/>
      <c r="B267" s="3"/>
      <c r="C267" s="3"/>
      <c r="D267" s="16"/>
      <c r="E267" s="1501"/>
      <c r="F267" s="63">
        <v>7</v>
      </c>
      <c r="G267" s="17"/>
      <c r="H267" s="133"/>
      <c r="I267" s="134"/>
      <c r="J267" s="134"/>
      <c r="K267" s="134"/>
      <c r="L267" s="134"/>
      <c r="M267" s="134"/>
      <c r="N267" s="135"/>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8"/>
      <c r="T267" s="78"/>
      <c r="U267" s="78"/>
      <c r="V267" s="78"/>
      <c r="W267" s="78"/>
      <c r="X267" s="78"/>
      <c r="Y267" s="78"/>
      <c r="Z267" s="78"/>
    </row>
    <row r="268" spans="1:26" hidden="1" outlineLevel="2">
      <c r="A268" s="3"/>
      <c r="B268" s="3"/>
      <c r="C268" s="3"/>
      <c r="D268" s="16"/>
      <c r="E268" s="1501"/>
      <c r="F268" s="63">
        <v>8</v>
      </c>
      <c r="G268" s="17"/>
      <c r="H268" s="133"/>
      <c r="I268" s="134"/>
      <c r="J268" s="134"/>
      <c r="K268" s="134"/>
      <c r="L268" s="134"/>
      <c r="M268" s="134"/>
      <c r="N268" s="134"/>
      <c r="O268" s="135"/>
      <c r="P268" s="18">
        <f>IF(A12stdlife="n/a","n/a",IF(P$3&gt;(A12stdlife+$F268),('RFM input'!$O$342*(1+vanilla8)^0.5)-SUM($O268:O268),('RFM input'!$O$342*(1+vanilla8)^0.5)/A12stdlife))</f>
        <v>0</v>
      </c>
      <c r="Q268" s="18">
        <f>IF(A12stdlife="n/a","n/a",IF(Q$3&gt;(A12stdlife+$F268),('RFM input'!$O$342*(1+vanilla8)^0.5)-SUM($O268:P268),('RFM input'!$O$342*(1+vanilla8)^0.5)/A12stdlife))</f>
        <v>0</v>
      </c>
      <c r="R268" s="18"/>
      <c r="S268" s="78"/>
      <c r="T268" s="78"/>
      <c r="U268" s="78"/>
      <c r="V268" s="78"/>
      <c r="W268" s="78"/>
      <c r="X268" s="78"/>
      <c r="Y268" s="78"/>
      <c r="Z268" s="78"/>
    </row>
    <row r="269" spans="1:26" hidden="1" outlineLevel="2">
      <c r="A269" s="3"/>
      <c r="B269" s="3"/>
      <c r="C269" s="3"/>
      <c r="D269" s="16"/>
      <c r="E269" s="1501"/>
      <c r="F269" s="63">
        <v>9</v>
      </c>
      <c r="G269" s="17"/>
      <c r="H269" s="133"/>
      <c r="I269" s="134"/>
      <c r="J269" s="134"/>
      <c r="K269" s="134"/>
      <c r="L269" s="134"/>
      <c r="M269" s="134"/>
      <c r="N269" s="134"/>
      <c r="O269" s="134"/>
      <c r="P269" s="135"/>
      <c r="Q269" s="18">
        <f>IF(A12stdlife="n/a","n/a",IF(Q$3&gt;(A12stdlife+$F269),('RFM input'!$P$342*(1+vanilla9)^0.5)-SUM($P269:P269),('RFM input'!$P$342*(1+vanilla9)^0.5)/A12stdlife))</f>
        <v>0</v>
      </c>
      <c r="R269" s="18"/>
      <c r="S269" s="78"/>
      <c r="T269" s="78"/>
      <c r="U269" s="78"/>
      <c r="V269" s="78"/>
      <c r="W269" s="78"/>
      <c r="X269" s="78"/>
      <c r="Y269" s="78"/>
      <c r="Z269" s="78"/>
    </row>
    <row r="270" spans="1:26" hidden="1" outlineLevel="2">
      <c r="A270" s="3"/>
      <c r="B270" s="3"/>
      <c r="C270" s="3"/>
      <c r="D270" s="16"/>
      <c r="E270" s="1501"/>
      <c r="F270" s="64">
        <v>10</v>
      </c>
      <c r="G270" s="17"/>
      <c r="H270" s="133"/>
      <c r="I270" s="134"/>
      <c r="J270" s="134"/>
      <c r="K270" s="134"/>
      <c r="L270" s="134"/>
      <c r="M270" s="134"/>
      <c r="N270" s="134"/>
      <c r="O270" s="134"/>
      <c r="P270" s="134"/>
      <c r="Q270" s="135"/>
      <c r="R270" s="18"/>
      <c r="S270" s="78"/>
      <c r="T270" s="78"/>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-0.85756420720717252</v>
      </c>
      <c r="I271" s="1310">
        <f>IF(OR('RFM input'!$E$396='RFM input'!$G$395,'RFM input'!$E$396='RFM input'!$G$396),-INDEX('RFM input'!I$402:I$451,MATCH($D271,'RFM input'!$E$402:$E$451,0),1),-SUM(I259:I270))</f>
        <v>-0.9786254449917795</v>
      </c>
      <c r="J271" s="1311">
        <f>IF(COUNT($H271:I271)&gt;='RFM input'!$AA$7,0,IF(OR('RFM input'!$E$396='RFM input'!$G$395,'RFM input'!$E$396='RFM input'!$G$396),-INDEX('RFM input'!J$402:J$451,MATCH($D271,'RFM input'!$E$402:$E$451,0),1),-SUM(J259:J270)))</f>
        <v>-1.1770901715198547</v>
      </c>
      <c r="K271" s="1311">
        <f>IF(COUNT($H271:J271)&gt;='RFM input'!$AA$7,0,IF(OR('RFM input'!$E$396='RFM input'!$G$395,'RFM input'!$E$396='RFM input'!$G$396),-INDEX('RFM input'!K$402:K$451,MATCH($D271,'RFM input'!$E$402:$E$451,0),1),-SUM(K259:K270)))</f>
        <v>-1.4844187928614823</v>
      </c>
      <c r="L271" s="1311">
        <f>IF(COUNT($H271:K271)&gt;='RFM input'!$AA$7,0,IF(OR('RFM input'!$E$396='RFM input'!$G$395,'RFM input'!$E$396='RFM input'!$G$396),-INDEX('RFM input'!L$402:L$451,MATCH($D271,'RFM input'!$E$402:$E$451,0),1),-SUM(L259:L270)))</f>
        <v>-1.062217947091938</v>
      </c>
      <c r="M271" s="1311">
        <f>IF(COUNT($H271:L271)&gt;='RFM input'!$AA$7,0,IF(OR('RFM input'!$E$396='RFM input'!$G$395,'RFM input'!$E$396='RFM input'!$G$396),-INDEX('RFM input'!M$402:M$451,MATCH($D271,'RFM input'!$E$402:$E$451,0),1),-SUM(M259:M270)))</f>
        <v>-0.95128525602487735</v>
      </c>
      <c r="N271" s="1311">
        <f>IF(COUNT($H271:M271)&gt;='RFM input'!$AA$7,0,IF(OR('RFM input'!$E$396='RFM input'!$G$395,'RFM input'!$E$396='RFM input'!$G$396),-INDEX('RFM input'!N$402:N$451,MATCH($D271,'RFM input'!$E$402:$E$451,0),1),-SUM(N259:N270)))</f>
        <v>-1.4073844491454439</v>
      </c>
      <c r="O271" s="1311">
        <f>IF(COUNT($H271:N271)&gt;='RFM input'!$AA$7,0,IF(OR('RFM input'!$E$396='RFM input'!$G$395,'RFM input'!$E$396='RFM input'!$G$396),-INDEX('RFM input'!O$402:O$451,MATCH($D271,'RFM input'!$E$402:$E$451,0),1),-SUM(O259:O270)))</f>
        <v>-1.2089197226173687</v>
      </c>
      <c r="P271" s="1311">
        <f>IF(COUNT($H271:O271)&gt;='RFM input'!$AA$7,0,IF(OR('RFM input'!$E$396='RFM input'!$G$395,'RFM input'!$E$396='RFM input'!$G$396),-INDEX('RFM input'!P$402:P$451,MATCH($D271,'RFM input'!$E$402:$E$451,0),1),-SUM(P259:P270)))</f>
        <v>-0.90159110127574116</v>
      </c>
      <c r="Q271" s="1311">
        <f>IF(COUNT($H271:P271)&gt;='RFM input'!$AA$7,0,IF(OR('RFM input'!$E$396='RFM input'!$G$395,'RFM input'!$E$396='RFM input'!$G$396),-INDEX('RFM input'!Q$402:Q$451,MATCH($D271,'RFM input'!$E$402:$E$451,0),1),-SUM(Q259:Q270)))</f>
        <v>-0.69776849791197981</v>
      </c>
      <c r="R271" s="1312"/>
      <c r="S271" s="80"/>
      <c r="T271" s="80"/>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0</v>
      </c>
      <c r="I272" s="1308">
        <f>IF(I$3&gt;A13remlife,A13value-SUM($G272:H272),IF(A13remlife="N/A","n/a",A13value/A13remlife))</f>
        <v>0</v>
      </c>
      <c r="J272" s="1308">
        <f>IF(J$3&gt;A13remlife,A13value-SUM($G272:I272),IF(A13remlife="N/A","n/a",A13value/A13remlife))</f>
        <v>0</v>
      </c>
      <c r="K272" s="1308">
        <f>IF(K$3&gt;A13remlife,A13value-SUM($G272:J272),IF(A13remlife="N/A","n/a",A13value/A13remlife))</f>
        <v>0</v>
      </c>
      <c r="L272" s="1308">
        <f>IF(L$3&gt;A13remlife,A13value-SUM($G272:K272),IF(A13remlife="N/A","n/a",A13value/A13remlife))</f>
        <v>0</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78"/>
      <c r="U272" s="78"/>
      <c r="V272" s="78"/>
      <c r="W272" s="78"/>
      <c r="X272" s="78"/>
      <c r="Y272" s="78"/>
      <c r="Z272" s="78"/>
    </row>
    <row r="273" spans="1:26" ht="12.75" hidden="1" customHeight="1" outlineLevel="2">
      <c r="A273" s="3"/>
      <c r="B273" s="3"/>
      <c r="C273" s="3"/>
      <c r="D273" s="16"/>
      <c r="E273" s="1500" t="s">
        <v>46</v>
      </c>
      <c r="F273" s="63"/>
      <c r="G273" s="1297"/>
      <c r="H273" s="18"/>
      <c r="I273" s="18"/>
      <c r="J273" s="18"/>
      <c r="K273" s="18"/>
      <c r="L273" s="18"/>
      <c r="M273" s="1314"/>
      <c r="N273" s="1315"/>
      <c r="O273" s="18"/>
      <c r="P273" s="18"/>
      <c r="Q273" s="18"/>
      <c r="R273" s="18"/>
      <c r="S273" s="78"/>
      <c r="T273" s="78"/>
      <c r="U273" s="78"/>
      <c r="V273" s="78"/>
      <c r="W273" s="78"/>
      <c r="X273" s="78"/>
      <c r="Y273" s="78"/>
      <c r="Z273" s="78"/>
    </row>
    <row r="274" spans="1:26" hidden="1" outlineLevel="2">
      <c r="A274" s="3"/>
      <c r="B274" s="3"/>
      <c r="C274" s="3"/>
      <c r="D274" s="16"/>
      <c r="E274" s="1501"/>
      <c r="F274" s="63">
        <v>1</v>
      </c>
      <c r="G274" s="1297"/>
      <c r="H274" s="1309"/>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78"/>
      <c r="U274" s="78"/>
      <c r="V274" s="78"/>
      <c r="W274" s="78"/>
      <c r="X274" s="78"/>
      <c r="Y274" s="78"/>
      <c r="Z274" s="78"/>
    </row>
    <row r="275" spans="1:26" hidden="1" outlineLevel="2">
      <c r="A275" s="3"/>
      <c r="B275" s="3"/>
      <c r="C275" s="3"/>
      <c r="D275" s="16"/>
      <c r="E275" s="1501"/>
      <c r="F275" s="63">
        <v>2</v>
      </c>
      <c r="G275" s="1297"/>
      <c r="H275" s="133"/>
      <c r="I275" s="135"/>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78"/>
      <c r="U275" s="78"/>
      <c r="V275" s="78"/>
      <c r="W275" s="78"/>
      <c r="X275" s="78"/>
      <c r="Y275" s="78"/>
      <c r="Z275" s="78"/>
    </row>
    <row r="276" spans="1:26" hidden="1" outlineLevel="2">
      <c r="A276" s="3"/>
      <c r="B276" s="3"/>
      <c r="C276" s="3"/>
      <c r="D276" s="16"/>
      <c r="E276" s="1501"/>
      <c r="F276" s="63">
        <v>3</v>
      </c>
      <c r="G276" s="1297"/>
      <c r="H276" s="133"/>
      <c r="I276" s="134"/>
      <c r="J276" s="135"/>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8"/>
      <c r="T276" s="78"/>
      <c r="U276" s="78"/>
      <c r="V276" s="78"/>
      <c r="W276" s="78"/>
      <c r="X276" s="78"/>
      <c r="Y276" s="78"/>
      <c r="Z276" s="78"/>
    </row>
    <row r="277" spans="1:26" hidden="1" outlineLevel="2">
      <c r="A277" s="3"/>
      <c r="B277" s="3"/>
      <c r="C277" s="3"/>
      <c r="D277" s="16"/>
      <c r="E277" s="1501"/>
      <c r="F277" s="63">
        <v>4</v>
      </c>
      <c r="G277" s="1297"/>
      <c r="H277" s="133"/>
      <c r="I277" s="134"/>
      <c r="J277" s="134"/>
      <c r="K277" s="135"/>
      <c r="L277" s="18">
        <f>IF(A13stdlife="n/a","n/a",IF(L$3&gt;(A13stdlife+$F277),('RFM input'!$K$343*(1+vanilla4)^0.5)-SUM($K277:K277),('RFM input'!$K$343*(1+vanilla4)^0.5)/A13stdlife))</f>
        <v>0.16616276713292505</v>
      </c>
      <c r="M277" s="18">
        <f>IF(A13stdlife="n/a","n/a",IF(M$3&gt;(A13stdlife+$F277),('RFM input'!$K$343*(1+vanilla4)^0.5)-SUM($K277:L277),('RFM input'!$K$343*(1+vanilla4)^0.5)/A13stdlife))</f>
        <v>0.16616276713292505</v>
      </c>
      <c r="N277" s="18">
        <f>IF(A13stdlife="n/a","n/a",IF(N$3&gt;(A13stdlife+$F277),('RFM input'!$K$343*(1+vanilla4)^0.5)-SUM($K277:M277),('RFM input'!$K$343*(1+vanilla4)^0.5)/A13stdlife))</f>
        <v>0.16616276713292505</v>
      </c>
      <c r="O277" s="18">
        <f>IF(A13stdlife="n/a","n/a",IF(O$3&gt;(A13stdlife+$F277),('RFM input'!$K$343*(1+vanilla4)^0.5)-SUM($K277:N277),('RFM input'!$K$343*(1+vanilla4)^0.5)/A13stdlife))</f>
        <v>0.16616276713292505</v>
      </c>
      <c r="P277" s="18">
        <f>IF(A13stdlife="n/a","n/a",IF(P$3&gt;(A13stdlife+$F277),('RFM input'!$K$343*(1+vanilla4)^0.5)-SUM($K277:O277),('RFM input'!$K$343*(1+vanilla4)^0.5)/A13stdlife))</f>
        <v>0.16616276713292505</v>
      </c>
      <c r="Q277" s="18">
        <f>IF(A13stdlife="n/a","n/a",IF(Q$3&gt;(A13stdlife+$F277),('RFM input'!$K$343*(1+vanilla4)^0.5)-SUM($K277:P277),('RFM input'!$K$343*(1+vanilla4)^0.5)/A13stdlife))</f>
        <v>0</v>
      </c>
      <c r="R277" s="18"/>
      <c r="S277" s="78"/>
      <c r="T277" s="78"/>
      <c r="U277" s="78"/>
      <c r="V277" s="78"/>
      <c r="W277" s="78"/>
      <c r="X277" s="78"/>
      <c r="Y277" s="78"/>
      <c r="Z277" s="78"/>
    </row>
    <row r="278" spans="1:26" hidden="1" outlineLevel="2">
      <c r="A278" s="3"/>
      <c r="B278" s="3"/>
      <c r="C278" s="3"/>
      <c r="D278" s="16"/>
      <c r="E278" s="1501"/>
      <c r="F278" s="63">
        <v>5</v>
      </c>
      <c r="G278" s="17"/>
      <c r="H278" s="133"/>
      <c r="I278" s="134"/>
      <c r="J278" s="134"/>
      <c r="K278" s="134"/>
      <c r="L278" s="135"/>
      <c r="M278" s="18">
        <f>IF(A13stdlife="n/a","n/a",IF(M$3&gt;(A13stdlife+$F278),('RFM input'!$L$343*(1+vanilla5)^0.5)-SUM($L278:L278),('RFM input'!$L$343*(1+vanilla5)^0.5)/A13stdlife))</f>
        <v>3.8843621829691977E-2</v>
      </c>
      <c r="N278" s="18">
        <f>IF(A13stdlife="n/a","n/a",IF(N$3&gt;(A13stdlife+$F278),('RFM input'!$L$343*(1+vanilla5)^0.5)-SUM($L278:M278),('RFM input'!$L$343*(1+vanilla5)^0.5)/A13stdlife))</f>
        <v>3.8843621829691977E-2</v>
      </c>
      <c r="O278" s="18">
        <f>IF(A13stdlife="n/a","n/a",IF(O$3&gt;(A13stdlife+$F278),('RFM input'!$L$343*(1+vanilla5)^0.5)-SUM($L278:N278),('RFM input'!$L$343*(1+vanilla5)^0.5)/A13stdlife))</f>
        <v>3.8843621829691977E-2</v>
      </c>
      <c r="P278" s="18">
        <f>IF(A13stdlife="n/a","n/a",IF(P$3&gt;(A13stdlife+$F278),('RFM input'!$L$343*(1+vanilla5)^0.5)-SUM($L278:O278),('RFM input'!$L$343*(1+vanilla5)^0.5)/A13stdlife))</f>
        <v>3.8843621829691977E-2</v>
      </c>
      <c r="Q278" s="18">
        <f>IF(A13stdlife="n/a","n/a",IF(Q$3&gt;(A13stdlife+$F278),('RFM input'!$L$343*(1+vanilla5)^0.5)-SUM($L278:P278),('RFM input'!$L$343*(1+vanilla5)^0.5)/A13stdlife))</f>
        <v>3.8843621829691977E-2</v>
      </c>
      <c r="R278" s="18"/>
      <c r="S278" s="78"/>
      <c r="T278" s="78"/>
      <c r="U278" s="78"/>
      <c r="V278" s="78"/>
      <c r="W278" s="78"/>
      <c r="X278" s="78"/>
      <c r="Y278" s="78"/>
      <c r="Z278" s="78"/>
    </row>
    <row r="279" spans="1:26" hidden="1" outlineLevel="2">
      <c r="A279" s="3"/>
      <c r="B279" s="3"/>
      <c r="C279" s="3"/>
      <c r="D279" s="16"/>
      <c r="E279" s="1501"/>
      <c r="F279" s="63">
        <v>6</v>
      </c>
      <c r="G279" s="17"/>
      <c r="H279" s="133"/>
      <c r="I279" s="134"/>
      <c r="J279" s="134"/>
      <c r="K279" s="134"/>
      <c r="L279" s="134"/>
      <c r="M279" s="135"/>
      <c r="N279" s="18">
        <f>IF(A13stdlife="n/a","n/a",IF(N$3&gt;(A13stdlife+$F279),('RFM input'!$M$343*(1+vanilla6)^0.5)-SUM($M279:M279),('RFM input'!$M$343*(1+vanilla6)^0.5)/A13stdlife))</f>
        <v>4.3652310411847237E-2</v>
      </c>
      <c r="O279" s="18">
        <f>IF(A13stdlife="n/a","n/a",IF(O$3&gt;(A13stdlife+$F279),('RFM input'!$M$343*(1+vanilla6)^0.5)-SUM($M279:N279),('RFM input'!$M$343*(1+vanilla6)^0.5)/A13stdlife))</f>
        <v>4.3652310411847237E-2</v>
      </c>
      <c r="P279" s="18">
        <f>IF(A13stdlife="n/a","n/a",IF(P$3&gt;(A13stdlife+$F279),('RFM input'!$M$343*(1+vanilla6)^0.5)-SUM($M279:O279),('RFM input'!$M$343*(1+vanilla6)^0.5)/A13stdlife))</f>
        <v>4.3652310411847237E-2</v>
      </c>
      <c r="Q279" s="18">
        <f>IF(A13stdlife="n/a","n/a",IF(Q$3&gt;(A13stdlife+$F279),('RFM input'!$M$343*(1+vanilla6)^0.5)-SUM($M279:P279),('RFM input'!$M$343*(1+vanilla6)^0.5)/A13stdlife))</f>
        <v>4.3652310411847237E-2</v>
      </c>
      <c r="R279" s="18"/>
      <c r="S279" s="78"/>
      <c r="T279" s="78"/>
      <c r="U279" s="78"/>
      <c r="V279" s="78"/>
      <c r="W279" s="78"/>
      <c r="X279" s="78"/>
      <c r="Y279" s="78"/>
      <c r="Z279" s="78"/>
    </row>
    <row r="280" spans="1:26" hidden="1" outlineLevel="2">
      <c r="A280" s="3"/>
      <c r="B280" s="3"/>
      <c r="C280" s="3"/>
      <c r="D280" s="16"/>
      <c r="E280" s="1501"/>
      <c r="F280" s="63">
        <v>7</v>
      </c>
      <c r="G280" s="17"/>
      <c r="H280" s="133"/>
      <c r="I280" s="134"/>
      <c r="J280" s="134"/>
      <c r="K280" s="134"/>
      <c r="L280" s="134"/>
      <c r="M280" s="134"/>
      <c r="N280" s="135"/>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8"/>
      <c r="T280" s="78"/>
      <c r="U280" s="78"/>
      <c r="V280" s="78"/>
      <c r="W280" s="78"/>
      <c r="X280" s="78"/>
      <c r="Y280" s="78"/>
      <c r="Z280" s="78"/>
    </row>
    <row r="281" spans="1:26" hidden="1" outlineLevel="2">
      <c r="A281" s="3"/>
      <c r="B281" s="3"/>
      <c r="C281" s="3"/>
      <c r="D281" s="16"/>
      <c r="E281" s="1501"/>
      <c r="F281" s="63">
        <v>8</v>
      </c>
      <c r="G281" s="17"/>
      <c r="H281" s="133"/>
      <c r="I281" s="134"/>
      <c r="J281" s="134"/>
      <c r="K281" s="134"/>
      <c r="L281" s="134"/>
      <c r="M281" s="134"/>
      <c r="N281" s="134"/>
      <c r="O281" s="135"/>
      <c r="P281" s="18">
        <f>IF(A13stdlife="n/a","n/a",IF(P$3&gt;(A13stdlife+$F281),('RFM input'!$O$343*(1+vanilla8)^0.5)-SUM($O281:O281),('RFM input'!$O$343*(1+vanilla8)^0.5)/A13stdlife))</f>
        <v>0</v>
      </c>
      <c r="Q281" s="18">
        <f>IF(A13stdlife="n/a","n/a",IF(Q$3&gt;(A13stdlife+$F281),('RFM input'!$O$343*(1+vanilla8)^0.5)-SUM($O281:P281),('RFM input'!$O$343*(1+vanilla8)^0.5)/A13stdlife))</f>
        <v>0</v>
      </c>
      <c r="R281" s="18"/>
      <c r="S281" s="78"/>
      <c r="T281" s="78"/>
      <c r="U281" s="78"/>
      <c r="V281" s="78"/>
      <c r="W281" s="78"/>
      <c r="X281" s="78"/>
      <c r="Y281" s="78"/>
      <c r="Z281" s="78"/>
    </row>
    <row r="282" spans="1:26" hidden="1" outlineLevel="2">
      <c r="A282" s="3"/>
      <c r="B282" s="3"/>
      <c r="C282" s="3"/>
      <c r="D282" s="16"/>
      <c r="E282" s="1501"/>
      <c r="F282" s="63">
        <v>9</v>
      </c>
      <c r="G282" s="17"/>
      <c r="H282" s="133"/>
      <c r="I282" s="134"/>
      <c r="J282" s="134"/>
      <c r="K282" s="134"/>
      <c r="L282" s="134"/>
      <c r="M282" s="134"/>
      <c r="N282" s="134"/>
      <c r="O282" s="134"/>
      <c r="P282" s="135"/>
      <c r="Q282" s="18">
        <f>IF(A13stdlife="n/a","n/a",IF(Q$3&gt;(A13stdlife+$F282),('RFM input'!$P$343*(1+vanilla9)^0.5)-SUM($P282:P282),('RFM input'!$P$343*(1+vanilla9)^0.5)/A13stdlife))</f>
        <v>0</v>
      </c>
      <c r="R282" s="18"/>
      <c r="S282" s="78"/>
      <c r="T282" s="78"/>
      <c r="U282" s="78"/>
      <c r="V282" s="78"/>
      <c r="W282" s="78"/>
      <c r="X282" s="78"/>
      <c r="Y282" s="78"/>
      <c r="Z282" s="78"/>
    </row>
    <row r="283" spans="1:26" hidden="1" outlineLevel="2">
      <c r="A283" s="3"/>
      <c r="B283" s="3"/>
      <c r="C283" s="3"/>
      <c r="D283" s="16"/>
      <c r="E283" s="1501"/>
      <c r="F283" s="64">
        <v>10</v>
      </c>
      <c r="G283" s="17"/>
      <c r="H283" s="133"/>
      <c r="I283" s="134"/>
      <c r="J283" s="134"/>
      <c r="K283" s="134"/>
      <c r="L283" s="134"/>
      <c r="M283" s="134"/>
      <c r="N283" s="134"/>
      <c r="O283" s="134"/>
      <c r="P283" s="134"/>
      <c r="Q283" s="135"/>
      <c r="R283" s="18"/>
      <c r="S283" s="78"/>
      <c r="T283" s="78"/>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0</v>
      </c>
      <c r="I284" s="1310">
        <f>IF(OR('RFM input'!$E$396='RFM input'!$G$395,'RFM input'!$E$396='RFM input'!$G$396),-INDEX('RFM input'!I$402:I$451,MATCH($D284,'RFM input'!$E$402:$E$451,0),1),-SUM(I272:I283))</f>
        <v>0</v>
      </c>
      <c r="J284" s="1311">
        <f>IF(COUNT($H284:I284)&gt;='RFM input'!$AA$7,0,IF(OR('RFM input'!$E$396='RFM input'!$G$395,'RFM input'!$E$396='RFM input'!$G$396),-INDEX('RFM input'!J$402:J$451,MATCH($D284,'RFM input'!$E$402:$E$451,0),1),-SUM(J272:J283)))</f>
        <v>0</v>
      </c>
      <c r="K284" s="1311">
        <f>IF(COUNT($H284:J284)&gt;='RFM input'!$AA$7,0,IF(OR('RFM input'!$E$396='RFM input'!$G$395,'RFM input'!$E$396='RFM input'!$G$396),-INDEX('RFM input'!K$402:K$451,MATCH($D284,'RFM input'!$E$402:$E$451,0),1),-SUM(K272:K283)))</f>
        <v>0</v>
      </c>
      <c r="L284" s="1311">
        <f>IF(COUNT($H284:K284)&gt;='RFM input'!$AA$7,0,IF(OR('RFM input'!$E$396='RFM input'!$G$395,'RFM input'!$E$396='RFM input'!$G$396),-INDEX('RFM input'!L$402:L$451,MATCH($D284,'RFM input'!$E$402:$E$451,0),1),-SUM(L272:L283)))</f>
        <v>-0.16616276713292505</v>
      </c>
      <c r="M284" s="1311">
        <f>IF(COUNT($H284:L284)&gt;='RFM input'!$AA$7,0,IF(OR('RFM input'!$E$396='RFM input'!$G$395,'RFM input'!$E$396='RFM input'!$G$396),-INDEX('RFM input'!M$402:M$451,MATCH($D284,'RFM input'!$E$402:$E$451,0),1),-SUM(M272:M283)))</f>
        <v>-0.20500638896261703</v>
      </c>
      <c r="N284" s="1311">
        <f>IF(COUNT($H284:M284)&gt;='RFM input'!$AA$7,0,IF(OR('RFM input'!$E$396='RFM input'!$G$395,'RFM input'!$E$396='RFM input'!$G$396),-INDEX('RFM input'!N$402:N$451,MATCH($D284,'RFM input'!$E$402:$E$451,0),1),-SUM(N272:N283)))</f>
        <v>-0.24865869937446428</v>
      </c>
      <c r="O284" s="1311">
        <f>IF(COUNT($H284:N284)&gt;='RFM input'!$AA$7,0,IF(OR('RFM input'!$E$396='RFM input'!$G$395,'RFM input'!$E$396='RFM input'!$G$396),-INDEX('RFM input'!O$402:O$451,MATCH($D284,'RFM input'!$E$402:$E$451,0),1),-SUM(O272:O283)))</f>
        <v>-0.24865869937446428</v>
      </c>
      <c r="P284" s="1311">
        <f>IF(COUNT($H284:O284)&gt;='RFM input'!$AA$7,0,IF(OR('RFM input'!$E$396='RFM input'!$G$395,'RFM input'!$E$396='RFM input'!$G$396),-INDEX('RFM input'!P$402:P$451,MATCH($D284,'RFM input'!$E$402:$E$451,0),1),-SUM(P272:P283)))</f>
        <v>-0.24865869937446428</v>
      </c>
      <c r="Q284" s="1311">
        <f>IF(COUNT($H284:P284)&gt;='RFM input'!$AA$7,0,IF(OR('RFM input'!$E$396='RFM input'!$G$395,'RFM input'!$E$396='RFM input'!$G$396),-INDEX('RFM input'!Q$402:Q$451,MATCH($D284,'RFM input'!$E$402:$E$451,0),1),-SUM(Q272:Q283)))</f>
        <v>-8.2495932241539213E-2</v>
      </c>
      <c r="R284" s="1312"/>
      <c r="S284" s="80"/>
      <c r="T284" s="80"/>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2.4149934880913411</v>
      </c>
      <c r="I285" s="1308">
        <f>IF(I$3&gt;A14remlife,A14value-SUM($G285:H285),IF(A14remlife="N/A","n/a",A14value/A14remlife))</f>
        <v>2.4149934880913411</v>
      </c>
      <c r="J285" s="1308">
        <f>IF(J$3&gt;A14remlife,A14value-SUM($G285:I285),IF(A14remlife="N/A","n/a",A14value/A14remlife))</f>
        <v>2.4149934880913411</v>
      </c>
      <c r="K285" s="1308">
        <f>IF(K$3&gt;A14remlife,A14value-SUM($G285:J285),IF(A14remlife="N/A","n/a",A14value/A14remlife))</f>
        <v>2.4149934880913411</v>
      </c>
      <c r="L285" s="1308">
        <f>IF(L$3&gt;A14remlife,A14value-SUM($G285:K285),IF(A14remlife="N/A","n/a",A14value/A14remlife))</f>
        <v>0</v>
      </c>
      <c r="M285" s="1308">
        <f>IF(M$3&gt;A14remlife,A14value-SUM($G285:L285),IF(A14remlife="N/A","n/a",A14value/A14remlife))</f>
        <v>0</v>
      </c>
      <c r="N285" s="1308">
        <f>IF(N$3&gt;A14remlife,A14value-SUM($G285:M285),IF(A14remlife="N/A","n/a",A14value/A14remlife))</f>
        <v>0</v>
      </c>
      <c r="O285" s="1308">
        <f>IF(O$3&gt;A14remlife,A14value-SUM($G285:N285),IF(A14remlife="N/A","n/a",A14value/A14remlife))</f>
        <v>0</v>
      </c>
      <c r="P285" s="1308">
        <f>IF(P$3&gt;A14remlife,A14value-SUM($G285:O285),IF(A14remlife="N/A","n/a",A14value/A14remlife))</f>
        <v>0</v>
      </c>
      <c r="Q285" s="1308">
        <f>IF(Q$3&gt;A14remlife,A14value-SUM($G285:P285),IF(A14remlife="N/A","n/a",A14value/A14remlife))</f>
        <v>0</v>
      </c>
      <c r="R285" s="20"/>
      <c r="S285" s="78"/>
      <c r="T285" s="78"/>
      <c r="U285" s="78"/>
      <c r="V285" s="78"/>
      <c r="W285" s="78"/>
      <c r="X285" s="78"/>
      <c r="Y285" s="78"/>
      <c r="Z285" s="78"/>
    </row>
    <row r="286" spans="1:26" ht="12.75" hidden="1" customHeight="1" outlineLevel="2">
      <c r="A286" s="3"/>
      <c r="B286" s="3"/>
      <c r="C286" s="3"/>
      <c r="D286" s="16"/>
      <c r="E286" s="1500" t="s">
        <v>46</v>
      </c>
      <c r="F286" s="63"/>
      <c r="G286" s="1297"/>
      <c r="H286" s="18"/>
      <c r="I286" s="18"/>
      <c r="J286" s="18"/>
      <c r="K286" s="18"/>
      <c r="L286" s="18"/>
      <c r="M286" s="1314"/>
      <c r="N286" s="1315"/>
      <c r="O286" s="18"/>
      <c r="P286" s="18"/>
      <c r="Q286" s="18"/>
      <c r="R286" s="18"/>
      <c r="S286" s="78"/>
      <c r="T286" s="78"/>
      <c r="U286" s="78"/>
      <c r="V286" s="78"/>
      <c r="W286" s="78"/>
      <c r="X286" s="78"/>
      <c r="Y286" s="78"/>
      <c r="Z286" s="78"/>
    </row>
    <row r="287" spans="1:26" hidden="1" outlineLevel="2">
      <c r="A287" s="3"/>
      <c r="B287" s="3"/>
      <c r="C287" s="3"/>
      <c r="D287" s="16"/>
      <c r="E287" s="1501"/>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78"/>
      <c r="U287" s="78"/>
      <c r="V287" s="78"/>
      <c r="W287" s="78"/>
      <c r="X287" s="78"/>
      <c r="Y287" s="78"/>
      <c r="Z287" s="78"/>
    </row>
    <row r="288" spans="1:26" hidden="1" outlineLevel="2">
      <c r="A288" s="3"/>
      <c r="B288" s="3"/>
      <c r="C288" s="3"/>
      <c r="D288" s="16"/>
      <c r="E288" s="1501"/>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78"/>
      <c r="U288" s="78"/>
      <c r="V288" s="78"/>
      <c r="W288" s="78"/>
      <c r="X288" s="78"/>
      <c r="Y288" s="78"/>
      <c r="Z288" s="78"/>
    </row>
    <row r="289" spans="1:26" hidden="1" outlineLevel="2">
      <c r="A289" s="3"/>
      <c r="B289" s="3"/>
      <c r="C289" s="3"/>
      <c r="D289" s="16"/>
      <c r="E289" s="1501"/>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78"/>
      <c r="U289" s="78"/>
      <c r="V289" s="78"/>
      <c r="W289" s="78"/>
      <c r="X289" s="78"/>
      <c r="Y289" s="78"/>
      <c r="Z289" s="78"/>
    </row>
    <row r="290" spans="1:26" hidden="1" outlineLevel="2">
      <c r="A290" s="3"/>
      <c r="B290" s="3"/>
      <c r="C290" s="3"/>
      <c r="D290" s="16"/>
      <c r="E290" s="1501"/>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78"/>
      <c r="U290" s="78"/>
      <c r="V290" s="78"/>
      <c r="W290" s="78"/>
      <c r="X290" s="78"/>
      <c r="Y290" s="78"/>
      <c r="Z290" s="78"/>
    </row>
    <row r="291" spans="1:26" hidden="1" outlineLevel="2">
      <c r="A291" s="3"/>
      <c r="B291" s="3"/>
      <c r="C291" s="3"/>
      <c r="D291" s="16"/>
      <c r="E291" s="1501"/>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78"/>
      <c r="U291" s="78"/>
      <c r="V291" s="78"/>
      <c r="W291" s="78"/>
      <c r="X291" s="78"/>
      <c r="Y291" s="78"/>
      <c r="Z291" s="78"/>
    </row>
    <row r="292" spans="1:26" hidden="1" outlineLevel="2">
      <c r="A292" s="3"/>
      <c r="B292" s="3"/>
      <c r="C292" s="3"/>
      <c r="D292" s="16"/>
      <c r="E292" s="1501"/>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78"/>
      <c r="U292" s="78"/>
      <c r="V292" s="78"/>
      <c r="W292" s="78"/>
      <c r="X292" s="78"/>
      <c r="Y292" s="78"/>
      <c r="Z292" s="78"/>
    </row>
    <row r="293" spans="1:26" hidden="1" outlineLevel="2">
      <c r="A293" s="3"/>
      <c r="B293" s="3"/>
      <c r="C293" s="3"/>
      <c r="D293" s="16"/>
      <c r="E293" s="1501"/>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78"/>
      <c r="U293" s="78"/>
      <c r="V293" s="78"/>
      <c r="W293" s="78"/>
      <c r="X293" s="78"/>
      <c r="Y293" s="78"/>
      <c r="Z293" s="78"/>
    </row>
    <row r="294" spans="1:26" hidden="1" outlineLevel="2">
      <c r="A294" s="3"/>
      <c r="B294" s="3"/>
      <c r="C294" s="3"/>
      <c r="D294" s="16"/>
      <c r="E294" s="1501"/>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78"/>
      <c r="U294" s="78"/>
      <c r="V294" s="78"/>
      <c r="W294" s="78"/>
      <c r="X294" s="78"/>
      <c r="Y294" s="78"/>
      <c r="Z294" s="78"/>
    </row>
    <row r="295" spans="1:26" hidden="1" outlineLevel="2">
      <c r="A295" s="3"/>
      <c r="B295" s="3"/>
      <c r="C295" s="3"/>
      <c r="D295" s="16"/>
      <c r="E295" s="1501"/>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78"/>
      <c r="U295" s="78"/>
      <c r="V295" s="78"/>
      <c r="W295" s="78"/>
      <c r="X295" s="78"/>
      <c r="Y295" s="78"/>
      <c r="Z295" s="78"/>
    </row>
    <row r="296" spans="1:26" hidden="1" outlineLevel="2">
      <c r="A296" s="3"/>
      <c r="B296" s="3"/>
      <c r="C296" s="3"/>
      <c r="D296" s="16"/>
      <c r="E296" s="1501"/>
      <c r="F296" s="64">
        <v>10</v>
      </c>
      <c r="G296" s="17"/>
      <c r="H296" s="133"/>
      <c r="I296" s="134"/>
      <c r="J296" s="134"/>
      <c r="K296" s="134"/>
      <c r="L296" s="134"/>
      <c r="M296" s="134"/>
      <c r="N296" s="134"/>
      <c r="O296" s="134"/>
      <c r="P296" s="134"/>
      <c r="Q296" s="135"/>
      <c r="R296" s="18"/>
      <c r="S296" s="78"/>
      <c r="T296" s="78"/>
      <c r="U296" s="78"/>
      <c r="V296" s="78"/>
      <c r="W296" s="78"/>
      <c r="X296" s="78"/>
      <c r="Y296" s="78"/>
      <c r="Z296" s="78"/>
    </row>
    <row r="297" spans="1:26" hidden="1" outlineLevel="1" collapsed="1">
      <c r="A297" s="3"/>
      <c r="B297" s="3"/>
      <c r="C297" s="3"/>
      <c r="D297" s="154" t="str">
        <f>Asset14</f>
        <v>PMA - Buyout contract</v>
      </c>
      <c r="F297" s="3"/>
      <c r="G297" s="1297"/>
      <c r="H297" s="1310">
        <f>IF(OR('RFM input'!$E$396='RFM input'!$G$395,'RFM input'!$E$396='RFM input'!$G$396),-INDEX('RFM input'!H$402:H$451,MATCH($D297,'RFM input'!$E$402:$E$451,0),1),-SUM(H285:H296))</f>
        <v>-2.4149934880913411</v>
      </c>
      <c r="I297" s="1310">
        <f>IF(OR('RFM input'!$E$396='RFM input'!$G$395,'RFM input'!$E$396='RFM input'!$G$396),-INDEX('RFM input'!I$402:I$451,MATCH($D297,'RFM input'!$E$402:$E$451,0),1),-SUM(I285:I296))</f>
        <v>-2.4149934880913411</v>
      </c>
      <c r="J297" s="1311">
        <f>IF(COUNT($H297:I297)&gt;='RFM input'!$AA$7,0,IF(OR('RFM input'!$E$396='RFM input'!$G$395,'RFM input'!$E$396='RFM input'!$G$396),-INDEX('RFM input'!J$402:J$451,MATCH($D297,'RFM input'!$E$402:$E$451,0),1),-SUM(J285:J296)))</f>
        <v>-2.4149934880913411</v>
      </c>
      <c r="K297" s="1311">
        <f>IF(COUNT($H297:J297)&gt;='RFM input'!$AA$7,0,IF(OR('RFM input'!$E$396='RFM input'!$G$395,'RFM input'!$E$396='RFM input'!$G$396),-INDEX('RFM input'!K$402:K$451,MATCH($D297,'RFM input'!$E$402:$E$451,0),1),-SUM(K285:K296)))</f>
        <v>-2.4149934880913411</v>
      </c>
      <c r="L297" s="1311">
        <f>IF(COUNT($H297:K297)&gt;='RFM input'!$AA$7,0,IF(OR('RFM input'!$E$396='RFM input'!$G$395,'RFM input'!$E$396='RFM input'!$G$396),-INDEX('RFM input'!L$402:L$451,MATCH($D297,'RFM input'!$E$402:$E$451,0),1),-SUM(L285:L296)))</f>
        <v>0</v>
      </c>
      <c r="M297" s="1311">
        <f>IF(COUNT($H297:L297)&gt;='RFM input'!$AA$7,0,IF(OR('RFM input'!$E$396='RFM input'!$G$395,'RFM input'!$E$396='RFM input'!$G$396),-INDEX('RFM input'!M$402:M$451,MATCH($D297,'RFM input'!$E$402:$E$451,0),1),-SUM(M285:M296)))</f>
        <v>0</v>
      </c>
      <c r="N297" s="1311">
        <f>IF(COUNT($H297:M297)&gt;='RFM input'!$AA$7,0,IF(OR('RFM input'!$E$396='RFM input'!$G$395,'RFM input'!$E$396='RFM input'!$G$396),-INDEX('RFM input'!N$402:N$451,MATCH($D297,'RFM input'!$E$402:$E$451,0),1),-SUM(N285:N296)))</f>
        <v>0</v>
      </c>
      <c r="O297" s="1311">
        <f>IF(COUNT($H297:N297)&gt;='RFM input'!$AA$7,0,IF(OR('RFM input'!$E$396='RFM input'!$G$395,'RFM input'!$E$396='RFM input'!$G$396),-INDEX('RFM input'!O$402:O$451,MATCH($D297,'RFM input'!$E$402:$E$451,0),1),-SUM(O285:O296)))</f>
        <v>0</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80"/>
      <c r="U297" s="80"/>
      <c r="V297" s="80"/>
      <c r="W297" s="80"/>
      <c r="X297" s="80"/>
      <c r="Y297" s="80"/>
      <c r="Z297" s="80"/>
    </row>
    <row r="298" spans="1:26" hidden="1" outlineLevel="2">
      <c r="A298" s="3"/>
      <c r="B298" s="3"/>
      <c r="C298" s="155">
        <f>Asset15</f>
        <v>0</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78"/>
      <c r="U298" s="78"/>
      <c r="V298" s="78"/>
      <c r="W298" s="78"/>
      <c r="X298" s="78"/>
      <c r="Y298" s="78"/>
      <c r="Z298" s="78"/>
    </row>
    <row r="299" spans="1:26" ht="12.75" hidden="1" customHeight="1" outlineLevel="2">
      <c r="A299" s="3"/>
      <c r="B299" s="3"/>
      <c r="C299" s="3"/>
      <c r="D299" s="16"/>
      <c r="E299" s="1500" t="s">
        <v>46</v>
      </c>
      <c r="F299" s="63"/>
      <c r="G299" s="1297"/>
      <c r="H299" s="18"/>
      <c r="I299" s="18"/>
      <c r="J299" s="18"/>
      <c r="K299" s="18"/>
      <c r="L299" s="18"/>
      <c r="M299" s="1314"/>
      <c r="N299" s="1315"/>
      <c r="O299" s="18"/>
      <c r="P299" s="18"/>
      <c r="Q299" s="18"/>
      <c r="R299" s="18"/>
      <c r="S299" s="78"/>
      <c r="T299" s="78"/>
      <c r="U299" s="78"/>
      <c r="V299" s="78"/>
      <c r="W299" s="78"/>
      <c r="X299" s="78"/>
      <c r="Y299" s="78"/>
      <c r="Z299" s="78"/>
    </row>
    <row r="300" spans="1:26" hidden="1" outlineLevel="2">
      <c r="A300" s="3"/>
      <c r="B300" s="3"/>
      <c r="C300" s="3"/>
      <c r="D300" s="16"/>
      <c r="E300" s="1501"/>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78"/>
      <c r="U300" s="78"/>
      <c r="V300" s="78"/>
      <c r="W300" s="78"/>
      <c r="X300" s="78"/>
      <c r="Y300" s="78"/>
      <c r="Z300" s="78"/>
    </row>
    <row r="301" spans="1:26" hidden="1" outlineLevel="2">
      <c r="A301" s="3"/>
      <c r="B301" s="3"/>
      <c r="C301" s="3"/>
      <c r="D301" s="16"/>
      <c r="E301" s="1501"/>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78"/>
      <c r="U301" s="78"/>
      <c r="V301" s="78"/>
      <c r="W301" s="78"/>
      <c r="X301" s="78"/>
      <c r="Y301" s="78"/>
      <c r="Z301" s="78"/>
    </row>
    <row r="302" spans="1:26" hidden="1" outlineLevel="2">
      <c r="A302" s="3"/>
      <c r="B302" s="3"/>
      <c r="C302" s="3"/>
      <c r="D302" s="16"/>
      <c r="E302" s="1501"/>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78"/>
      <c r="U302" s="78"/>
      <c r="V302" s="78"/>
      <c r="W302" s="78"/>
      <c r="X302" s="78"/>
      <c r="Y302" s="78"/>
      <c r="Z302" s="78"/>
    </row>
    <row r="303" spans="1:26" hidden="1" outlineLevel="2">
      <c r="A303" s="3"/>
      <c r="B303" s="3"/>
      <c r="C303" s="3"/>
      <c r="D303" s="16"/>
      <c r="E303" s="1501"/>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78"/>
      <c r="U303" s="78"/>
      <c r="V303" s="78"/>
      <c r="W303" s="78"/>
      <c r="X303" s="78"/>
      <c r="Y303" s="78"/>
      <c r="Z303" s="78"/>
    </row>
    <row r="304" spans="1:26" hidden="1" outlineLevel="2">
      <c r="A304" s="3"/>
      <c r="B304" s="3"/>
      <c r="C304" s="3"/>
      <c r="D304" s="16"/>
      <c r="E304" s="1501"/>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78"/>
      <c r="U304" s="78"/>
      <c r="V304" s="78"/>
      <c r="W304" s="78"/>
      <c r="X304" s="78"/>
      <c r="Y304" s="78"/>
      <c r="Z304" s="78"/>
    </row>
    <row r="305" spans="1:26" hidden="1" outlineLevel="2">
      <c r="A305" s="3"/>
      <c r="B305" s="3"/>
      <c r="C305" s="3"/>
      <c r="D305" s="16"/>
      <c r="E305" s="1501"/>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78"/>
      <c r="U305" s="78"/>
      <c r="V305" s="78"/>
      <c r="W305" s="78"/>
      <c r="X305" s="78"/>
      <c r="Y305" s="78"/>
      <c r="Z305" s="78"/>
    </row>
    <row r="306" spans="1:26" hidden="1" outlineLevel="2">
      <c r="A306" s="3"/>
      <c r="B306" s="3"/>
      <c r="C306" s="3"/>
      <c r="D306" s="16"/>
      <c r="E306" s="1501"/>
      <c r="F306" s="63">
        <v>7</v>
      </c>
      <c r="G306" s="17"/>
      <c r="H306" s="133"/>
      <c r="I306" s="134"/>
      <c r="J306" s="134"/>
      <c r="K306" s="134"/>
      <c r="L306" s="134"/>
      <c r="M306" s="134"/>
      <c r="N306" s="135"/>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78"/>
      <c r="U306" s="78"/>
      <c r="V306" s="78"/>
      <c r="W306" s="78"/>
      <c r="X306" s="78"/>
      <c r="Y306" s="78"/>
      <c r="Z306" s="78"/>
    </row>
    <row r="307" spans="1:26" hidden="1" outlineLevel="2">
      <c r="A307" s="3"/>
      <c r="B307" s="3"/>
      <c r="C307" s="3"/>
      <c r="D307" s="16"/>
      <c r="E307" s="1501"/>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78"/>
      <c r="U307" s="78"/>
      <c r="V307" s="78"/>
      <c r="W307" s="78"/>
      <c r="X307" s="78"/>
      <c r="Y307" s="78"/>
      <c r="Z307" s="78"/>
    </row>
    <row r="308" spans="1:26" hidden="1" outlineLevel="2">
      <c r="A308" s="3"/>
      <c r="B308" s="3"/>
      <c r="C308" s="3"/>
      <c r="D308" s="16"/>
      <c r="E308" s="1501"/>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78"/>
      <c r="U308" s="78"/>
      <c r="V308" s="78"/>
      <c r="W308" s="78"/>
      <c r="X308" s="78"/>
      <c r="Y308" s="78"/>
      <c r="Z308" s="78"/>
    </row>
    <row r="309" spans="1:26" hidden="1" outlineLevel="2">
      <c r="A309" s="3"/>
      <c r="B309" s="3"/>
      <c r="C309" s="3"/>
      <c r="D309" s="16"/>
      <c r="E309" s="1501"/>
      <c r="F309" s="64">
        <v>10</v>
      </c>
      <c r="G309" s="17"/>
      <c r="H309" s="133"/>
      <c r="I309" s="134"/>
      <c r="J309" s="134"/>
      <c r="K309" s="134"/>
      <c r="L309" s="134"/>
      <c r="M309" s="134"/>
      <c r="N309" s="134"/>
      <c r="O309" s="134"/>
      <c r="P309" s="134"/>
      <c r="Q309" s="135"/>
      <c r="R309" s="18"/>
      <c r="S309" s="78"/>
      <c r="T309" s="78"/>
      <c r="U309" s="78"/>
      <c r="V309" s="78"/>
      <c r="W309" s="78"/>
      <c r="X309" s="78"/>
      <c r="Y309" s="78"/>
      <c r="Z309" s="78"/>
    </row>
    <row r="310" spans="1:26" hidden="1" outlineLevel="1" collapsed="1">
      <c r="A310" s="3"/>
      <c r="B310" s="3"/>
      <c r="C310" s="3"/>
      <c r="D310" s="154">
        <f>Asset15</f>
        <v>0</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0</v>
      </c>
      <c r="P310" s="1311">
        <f>IF(COUNT($H310:O310)&gt;='RFM input'!$AA$7,0,IF(OR('RFM input'!$E$396='RFM input'!$G$395,'RFM input'!$E$396='RFM input'!$G$396),-INDEX('RFM input'!P$402:P$451,MATCH($D310,'RFM input'!$E$402:$E$451,0),1),-SUM(P298:P309)))</f>
        <v>0</v>
      </c>
      <c r="Q310" s="1311">
        <f>IF(COUNT($H310:P310)&gt;='RFM input'!$AA$7,0,IF(OR('RFM input'!$E$396='RFM input'!$G$395,'RFM input'!$E$396='RFM input'!$G$396),-INDEX('RFM input'!Q$402:Q$451,MATCH($D310,'RFM input'!$E$402:$E$451,0),1),-SUM(Q298:Q309)))</f>
        <v>0</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0"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1"/>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1"/>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1"/>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1"/>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1"/>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1"/>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1"/>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1"/>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1"/>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1"/>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0"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1"/>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1"/>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1"/>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1"/>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1"/>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1"/>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1"/>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1"/>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1"/>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1"/>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0"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1"/>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1"/>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1"/>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1"/>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1"/>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1"/>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1"/>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1"/>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1"/>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1"/>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0"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1"/>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1"/>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1"/>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1"/>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1"/>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1"/>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1"/>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1"/>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1"/>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1"/>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0"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1"/>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1"/>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1"/>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1"/>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1"/>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1"/>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1"/>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1"/>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1"/>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1"/>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0"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1"/>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1"/>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1"/>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1"/>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1"/>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1"/>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1"/>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1"/>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1"/>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1"/>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0"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1"/>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1"/>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1"/>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1"/>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1"/>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1"/>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1"/>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1"/>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1"/>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1"/>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0"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1"/>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1"/>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1"/>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1"/>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1"/>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1"/>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1"/>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1"/>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1"/>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1"/>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0"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1"/>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1"/>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1"/>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1"/>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1"/>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1"/>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1"/>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1"/>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1"/>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1"/>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0"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1"/>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1"/>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1"/>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1"/>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1"/>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1"/>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1"/>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1"/>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1"/>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1"/>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0"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1"/>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1"/>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1"/>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1"/>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1"/>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1"/>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1"/>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1"/>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1"/>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1"/>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0"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1"/>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1"/>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1"/>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1"/>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1"/>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1"/>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1"/>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1"/>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1"/>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1"/>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0"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1"/>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1"/>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1"/>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1"/>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1"/>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1"/>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1"/>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1"/>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1"/>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1"/>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0"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1"/>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1"/>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1"/>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1"/>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1"/>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1"/>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1"/>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1"/>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1"/>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1"/>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0"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1"/>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1"/>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1"/>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1"/>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1"/>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1"/>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1"/>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1"/>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1"/>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1"/>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0"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1"/>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1"/>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1"/>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1"/>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1"/>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1"/>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1"/>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1"/>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1"/>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1"/>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0"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1"/>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1"/>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1"/>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1"/>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1"/>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1"/>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1"/>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1"/>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1"/>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1"/>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0"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1"/>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1"/>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1"/>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1"/>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1"/>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1"/>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1"/>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1"/>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1"/>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1"/>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0"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1"/>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1"/>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1"/>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1"/>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1"/>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1"/>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1"/>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1"/>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1"/>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1"/>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0"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1"/>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1"/>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1"/>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1"/>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1"/>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1"/>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1"/>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1"/>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1"/>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1"/>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0"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1"/>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1"/>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1"/>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1"/>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1"/>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1"/>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1"/>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1"/>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1"/>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1"/>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0"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1"/>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1"/>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1"/>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1"/>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1"/>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1"/>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1"/>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1"/>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1"/>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1"/>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0"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1"/>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1"/>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1"/>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1"/>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1"/>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1"/>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1"/>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1"/>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1"/>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1"/>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0"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1"/>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1"/>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1"/>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1"/>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1"/>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1"/>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1"/>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1"/>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1"/>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1"/>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0"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1"/>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1"/>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1"/>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1"/>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1"/>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1"/>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1"/>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1"/>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1"/>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1"/>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0"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1"/>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1"/>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1"/>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1"/>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1"/>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1"/>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1"/>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1"/>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1"/>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1"/>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0"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1"/>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1"/>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1"/>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1"/>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1"/>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1"/>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1"/>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1"/>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1"/>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1"/>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0"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1"/>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1"/>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1"/>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1"/>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1"/>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1"/>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1"/>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1"/>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1"/>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1"/>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0"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1"/>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1"/>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1"/>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1"/>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1"/>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1"/>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1"/>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1"/>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1"/>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1"/>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0"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1"/>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1"/>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1"/>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1"/>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1"/>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1"/>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1"/>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1"/>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1"/>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1"/>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0"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1"/>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1"/>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1"/>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1"/>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1"/>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1"/>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1"/>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1"/>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1"/>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1"/>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0"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1"/>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1"/>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1"/>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1"/>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1"/>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1"/>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1"/>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1"/>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1"/>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1"/>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0"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1"/>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1"/>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1"/>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1"/>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1"/>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1"/>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1"/>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1"/>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1"/>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1"/>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0"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1"/>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1"/>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1"/>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1"/>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1"/>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1"/>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1"/>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1"/>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1"/>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c r="U750" s="78"/>
      <c r="V750" s="78"/>
      <c r="W750" s="78"/>
      <c r="X750" s="78"/>
      <c r="Y750" s="78"/>
      <c r="Z750" s="78"/>
    </row>
    <row r="751" spans="1:26" ht="12.75" hidden="1" customHeight="1" outlineLevel="2">
      <c r="A751" s="3"/>
      <c r="B751" s="3"/>
      <c r="C751" s="3"/>
      <c r="D751" s="16"/>
      <c r="E751" s="1501"/>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0"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1"/>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1"/>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1"/>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1"/>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1"/>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1"/>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1"/>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1"/>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1"/>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1"/>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321.6276646888191</v>
      </c>
      <c r="H769" s="1306">
        <f t="shared" ref="H769:R769" si="4">SUM(H770:H819)</f>
        <v>317.93338228609718</v>
      </c>
      <c r="I769" s="1306">
        <f t="shared" si="4"/>
        <v>315.28597857627835</v>
      </c>
      <c r="J769" s="1306">
        <f t="shared" si="4"/>
        <v>313.28202847942038</v>
      </c>
      <c r="K769" s="1306">
        <f t="shared" si="4"/>
        <v>310.45164460201283</v>
      </c>
      <c r="L769" s="1306">
        <f t="shared" si="4"/>
        <v>303.42945151658427</v>
      </c>
      <c r="M769" s="1306">
        <f t="shared" si="4"/>
        <v>309.06945790417899</v>
      </c>
      <c r="N769" s="1306">
        <f t="shared" si="4"/>
        <v>323.32460716569256</v>
      </c>
      <c r="O769" s="1306">
        <f t="shared" si="4"/>
        <v>313.8531535020046</v>
      </c>
      <c r="P769" s="1306">
        <f t="shared" si="4"/>
        <v>304.7568845405911</v>
      </c>
      <c r="Q769" s="1306">
        <f t="shared" si="4"/>
        <v>296.02111919918843</v>
      </c>
      <c r="R769" s="1306">
        <f t="shared" si="4"/>
        <v>287.9494721418788</v>
      </c>
      <c r="S769" s="74"/>
      <c r="T769" s="74"/>
      <c r="U769" s="74"/>
      <c r="V769" s="74"/>
      <c r="W769" s="74"/>
      <c r="X769" s="74"/>
      <c r="Y769" s="74"/>
      <c r="Z769" s="74"/>
    </row>
    <row r="770" spans="1:26" hidden="1" outlineLevel="1">
      <c r="A770" s="3"/>
      <c r="B770" s="3"/>
      <c r="C770" s="3"/>
      <c r="D770" s="153" t="str">
        <f>Asset1</f>
        <v>Pipelines</v>
      </c>
      <c r="E770" s="3"/>
      <c r="F770" s="3"/>
      <c r="G770" s="1296">
        <f>'RFM input'!I7</f>
        <v>239.56529446685127</v>
      </c>
      <c r="H770" s="1297">
        <f t="shared" ref="H770:H799" si="5">G770+G822+G874+G926+G978+G1030</f>
        <v>238.35232489350605</v>
      </c>
      <c r="I770" s="1297">
        <f t="shared" ref="I770:J779" si="6">H770+H822+H874</f>
        <v>239.09124323499697</v>
      </c>
      <c r="J770" s="1297">
        <f t="shared" si="6"/>
        <v>240.11387118356811</v>
      </c>
      <c r="K770" s="1297">
        <f>IF(COUNT($H770:J770)&gt;'RFM input'!$AA$7,0, J770+J822+J874)</f>
        <v>239.92922416605845</v>
      </c>
      <c r="L770" s="1297">
        <f>IF(COUNT($H770:K770)&gt;'RFM input'!$AA$7,0, K770+K822+K874)</f>
        <v>236.34280502728978</v>
      </c>
      <c r="M770" s="1297">
        <f>IF(COUNT($H770:L770)&gt;'RFM input'!$AA$7,0, L770+L822+L874)</f>
        <v>241.97342675790549</v>
      </c>
      <c r="N770" s="1297">
        <f>IF(COUNT($H770:M770)&gt;'RFM input'!$AA$7,0, M770+M822+M874)</f>
        <v>252.58276281175188</v>
      </c>
      <c r="O770" s="1297">
        <f>IF(COUNT($H770:N770)&gt;'RFM input'!$AA$7,0, N770+N822+N874)</f>
        <v>248.06163046568182</v>
      </c>
      <c r="P770" s="1297">
        <f>IF(COUNT($H770:O770)&gt;'RFM input'!$AA$7,0, O770+O822+O874)</f>
        <v>243.54049811961175</v>
      </c>
      <c r="Q770" s="1297">
        <f>IF(COUNT($H770:P770)&gt;'RFM input'!$AA$7,0, P770+P822+P874)</f>
        <v>239.01936577354169</v>
      </c>
      <c r="R770" s="1297">
        <f>IF(COUNT($H770:Q770)&gt;'RFM input'!$AA$7,0, Q770+Q822+Q874)</f>
        <v>234.49823342747163</v>
      </c>
      <c r="S770" s="3"/>
      <c r="T770" s="74"/>
      <c r="U770" s="74"/>
      <c r="V770" s="74"/>
      <c r="W770" s="74"/>
      <c r="X770" s="74"/>
      <c r="Y770" s="74"/>
      <c r="Z770" s="3"/>
    </row>
    <row r="771" spans="1:26" hidden="1" outlineLevel="1">
      <c r="A771" s="3"/>
      <c r="B771" s="3"/>
      <c r="C771" s="29"/>
      <c r="D771" s="153" t="str">
        <f>Asset2</f>
        <v>Compressors</v>
      </c>
      <c r="E771" s="3"/>
      <c r="F771" s="3"/>
      <c r="G771" s="1296">
        <f>'RFM input'!I8</f>
        <v>44.311963353037747</v>
      </c>
      <c r="H771" s="1297">
        <f t="shared" si="5"/>
        <v>43.128644987341033</v>
      </c>
      <c r="I771" s="1297">
        <f t="shared" si="6"/>
        <v>42.929875834125703</v>
      </c>
      <c r="J771" s="1297">
        <f t="shared" si="6"/>
        <v>42.149539559766431</v>
      </c>
      <c r="K771" s="1297">
        <f>IF(COUNT($H771:J771)&gt;'RFM input'!$AA$7,0, J771+J823+J875)</f>
        <v>41.40829031110664</v>
      </c>
      <c r="L771" s="1297">
        <f>IF(COUNT($H771:K771)&gt;'RFM input'!$AA$7,0, K771+K823+K875)</f>
        <v>39.725355300630874</v>
      </c>
      <c r="M771" s="1297">
        <f>IF(COUNT($H771:L771)&gt;'RFM input'!$AA$7,0, L771+L823+L875)</f>
        <v>40.123270124608815</v>
      </c>
      <c r="N771" s="1297">
        <f>IF(COUNT($H771:M771)&gt;'RFM input'!$AA$7,0, M771+M823+M875)</f>
        <v>40.751027908714221</v>
      </c>
      <c r="O771" s="1297">
        <f>IF(COUNT($H771:N771)&gt;'RFM input'!$AA$7,0, N771+N823+N875)</f>
        <v>38.800374108746674</v>
      </c>
      <c r="P771" s="1297">
        <f>IF(COUNT($H771:O771)&gt;'RFM input'!$AA$7,0, O771+O823+O875)</f>
        <v>36.849720308779126</v>
      </c>
      <c r="Q771" s="1297">
        <f>IF(COUNT($H771:P771)&gt;'RFM input'!$AA$7,0, P771+P823+P875)</f>
        <v>34.899066508811579</v>
      </c>
      <c r="R771" s="1297">
        <f>IF(COUNT($H771:Q771)&gt;'RFM input'!$AA$7,0, Q771+Q823+Q875)</f>
        <v>32.948412708844032</v>
      </c>
      <c r="S771" s="75"/>
      <c r="T771" s="74"/>
      <c r="U771" s="74"/>
      <c r="V771" s="74"/>
      <c r="W771" s="74"/>
      <c r="X771" s="74"/>
      <c r="Y771" s="74"/>
      <c r="Z771" s="75"/>
    </row>
    <row r="772" spans="1:26" hidden="1" outlineLevel="1">
      <c r="A772" s="3"/>
      <c r="B772" s="3"/>
      <c r="C772" s="29"/>
      <c r="D772" s="153" t="str">
        <f>Asset3</f>
        <v>City Gates, supply regulators and valve stations</v>
      </c>
      <c r="E772" s="3"/>
      <c r="F772" s="3"/>
      <c r="G772" s="1296">
        <f>'RFM input'!I9</f>
        <v>0.11101439770758323</v>
      </c>
      <c r="H772" s="1297">
        <f t="shared" si="5"/>
        <v>0.11871236856194015</v>
      </c>
      <c r="I772" s="1297">
        <f t="shared" si="6"/>
        <v>0.11826738355421404</v>
      </c>
      <c r="J772" s="1297">
        <f t="shared" si="6"/>
        <v>0.11793108844965508</v>
      </c>
      <c r="K772" s="1297">
        <f>IF(COUNT($H772:J772)&gt;'RFM input'!$AA$7,0, J772+J824+J876)</f>
        <v>0.11695807442954378</v>
      </c>
      <c r="L772" s="1297">
        <f>IF(COUNT($H772:K772)&gt;'RFM input'!$AA$7,0, K772+K824+K876)</f>
        <v>0.11365356955795748</v>
      </c>
      <c r="M772" s="1297">
        <f>IF(COUNT($H772:L772)&gt;'RFM input'!$AA$7,0, L772+L824+L876)</f>
        <v>0.11513796927226805</v>
      </c>
      <c r="N772" s="1297">
        <f>IF(COUNT($H772:M772)&gt;'RFM input'!$AA$7,0, M772+M824+M876)</f>
        <v>0.11921501979057827</v>
      </c>
      <c r="O772" s="1297">
        <f>IF(COUNT($H772:N772)&gt;'RFM input'!$AA$7,0, N772+N824+N876)</f>
        <v>0.11603287810892154</v>
      </c>
      <c r="P772" s="1297">
        <f>IF(COUNT($H772:O772)&gt;'RFM input'!$AA$7,0, O772+O824+O876)</f>
        <v>0.11285073642726481</v>
      </c>
      <c r="Q772" s="1297">
        <f>IF(COUNT($H772:P772)&gt;'RFM input'!$AA$7,0, P772+P824+P876)</f>
        <v>0.10966859474560808</v>
      </c>
      <c r="R772" s="1297">
        <f>IF(COUNT($H772:Q772)&gt;'RFM input'!$AA$7,0, Q772+Q824+Q876)</f>
        <v>0.10648645306395135</v>
      </c>
      <c r="S772" s="75"/>
      <c r="T772" s="74"/>
      <c r="U772" s="74"/>
      <c r="V772" s="74"/>
      <c r="W772" s="74"/>
      <c r="X772" s="74"/>
      <c r="Y772" s="74"/>
      <c r="Z772" s="75"/>
    </row>
    <row r="773" spans="1:26" hidden="1" outlineLevel="1">
      <c r="A773" s="3"/>
      <c r="B773" s="3"/>
      <c r="C773" s="29"/>
      <c r="D773" s="153" t="str">
        <f>Asset4</f>
        <v>Metering</v>
      </c>
      <c r="E773" s="3"/>
      <c r="F773" s="3"/>
      <c r="G773" s="1296">
        <f>'RFM input'!I10</f>
        <v>8.0913494859486885</v>
      </c>
      <c r="H773" s="1297">
        <f t="shared" si="5"/>
        <v>7.9377255785502125</v>
      </c>
      <c r="I773" s="1297">
        <f t="shared" si="6"/>
        <v>7.8650727172916781</v>
      </c>
      <c r="J773" s="1297">
        <f t="shared" si="6"/>
        <v>7.7979665876311053</v>
      </c>
      <c r="K773" s="1297">
        <f>IF(COUNT($H773:J773)&gt;'RFM input'!$AA$7,0, J773+J825+J877)</f>
        <v>7.6868747881573922</v>
      </c>
      <c r="L773" s="1297">
        <f>IF(COUNT($H773:K773)&gt;'RFM input'!$AA$7,0, K773+K825+K877)</f>
        <v>7.421035799638771</v>
      </c>
      <c r="M773" s="1297">
        <f>IF(COUNT($H773:L773)&gt;'RFM input'!$AA$7,0, L773+L825+L877)</f>
        <v>7.4682377466277705</v>
      </c>
      <c r="N773" s="1297">
        <f>IF(COUNT($H773:M773)&gt;'RFM input'!$AA$7,0, M773+M825+M877)</f>
        <v>8.1120166069317321</v>
      </c>
      <c r="O773" s="1297">
        <f>IF(COUNT($H773:N773)&gt;'RFM input'!$AA$7,0, N773+N825+N877)</f>
        <v>7.8402540716712048</v>
      </c>
      <c r="P773" s="1297">
        <f>IF(COUNT($H773:O773)&gt;'RFM input'!$AA$7,0, O773+O825+O877)</f>
        <v>7.5684915364106775</v>
      </c>
      <c r="Q773" s="1297">
        <f>IF(COUNT($H773:P773)&gt;'RFM input'!$AA$7,0, P773+P825+P877)</f>
        <v>7.2967290011501502</v>
      </c>
      <c r="R773" s="1297">
        <f>IF(COUNT($H773:Q773)&gt;'RFM input'!$AA$7,0, Q773+Q825+Q877)</f>
        <v>7.0249664658896229</v>
      </c>
      <c r="S773" s="75"/>
      <c r="T773" s="74"/>
      <c r="U773" s="74"/>
      <c r="V773" s="74"/>
      <c r="W773" s="74"/>
      <c r="X773" s="74"/>
      <c r="Y773" s="74"/>
      <c r="Z773" s="75"/>
    </row>
    <row r="774" spans="1:26" hidden="1" outlineLevel="1">
      <c r="A774" s="3"/>
      <c r="B774" s="3"/>
      <c r="C774" s="29"/>
      <c r="D774" s="153" t="str">
        <f>Asset5</f>
        <v>Odourant plants</v>
      </c>
      <c r="E774" s="3"/>
      <c r="F774" s="3"/>
      <c r="G774" s="1296">
        <f>'RFM input'!I11</f>
        <v>0.10522313436725229</v>
      </c>
      <c r="H774" s="1297">
        <f t="shared" si="5"/>
        <v>0.1049274748379232</v>
      </c>
      <c r="I774" s="1297">
        <f t="shared" si="6"/>
        <v>0.10559747003844691</v>
      </c>
      <c r="J774" s="1297">
        <f t="shared" si="6"/>
        <v>0.10640618749945682</v>
      </c>
      <c r="K774" s="1297">
        <f>IF(COUNT($H774:J774)&gt;'RFM input'!$AA$7,0, J774+J826+J878)</f>
        <v>0.10668710386583365</v>
      </c>
      <c r="L774" s="1297">
        <f>IF(COUNT($H774:K774)&gt;'RFM input'!$AA$7,0, K774+K826+K878)</f>
        <v>0.10487879766287667</v>
      </c>
      <c r="M774" s="1297">
        <f>IF(COUNT($H774:L774)&gt;'RFM input'!$AA$7,0, L774+L826+L878)</f>
        <v>0.10748102892403578</v>
      </c>
      <c r="N774" s="1297">
        <f>IF(COUNT($H774:M774)&gt;'RFM input'!$AA$7,0, M774+M826+M878)</f>
        <v>0.11259887394197321</v>
      </c>
      <c r="O774" s="1297">
        <f>IF(COUNT($H774:N774)&gt;'RFM input'!$AA$7,0, N774+N826+N878)</f>
        <v>0.11102089486301529</v>
      </c>
      <c r="P774" s="1297">
        <f>IF(COUNT($H774:O774)&gt;'RFM input'!$AA$7,0, O774+O826+O878)</f>
        <v>0.10944291578405738</v>
      </c>
      <c r="Q774" s="1297">
        <f>IF(COUNT($H774:P774)&gt;'RFM input'!$AA$7,0, P774+P826+P878)</f>
        <v>0.10786493670509946</v>
      </c>
      <c r="R774" s="1297">
        <f>IF(COUNT($H774:Q774)&gt;'RFM input'!$AA$7,0, Q774+Q826+Q878)</f>
        <v>0.10628695762614154</v>
      </c>
      <c r="S774" s="75"/>
      <c r="T774" s="74"/>
      <c r="U774" s="74"/>
      <c r="V774" s="74"/>
      <c r="W774" s="74"/>
      <c r="X774" s="74"/>
      <c r="Y774" s="74"/>
      <c r="Z774" s="75"/>
    </row>
    <row r="775" spans="1:26" hidden="1" outlineLevel="1">
      <c r="A775" s="3"/>
      <c r="B775" s="3"/>
      <c r="C775" s="29"/>
      <c r="D775" s="153" t="str">
        <f>Asset6</f>
        <v>SCADA (Communications)</v>
      </c>
      <c r="E775" s="3"/>
      <c r="F775" s="3"/>
      <c r="G775" s="1296">
        <f>'RFM input'!I12</f>
        <v>0.87117360034144375</v>
      </c>
      <c r="H775" s="1297">
        <f t="shared" si="5"/>
        <v>1.8625275471170539</v>
      </c>
      <c r="I775" s="1297">
        <f t="shared" si="6"/>
        <v>1.7644379290462022</v>
      </c>
      <c r="J775" s="1297">
        <f t="shared" si="6"/>
        <v>1.7419832557380865</v>
      </c>
      <c r="K775" s="1297">
        <f>IF(COUNT($H775:J775)&gt;'RFM input'!$AA$7,0, J775+J827+J879)</f>
        <v>1.9791384339254914</v>
      </c>
      <c r="L775" s="1297">
        <f>IF(COUNT($H775:K775)&gt;'RFM input'!$AA$7,0, K775+K827+K879)</f>
        <v>2.0322983034726998</v>
      </c>
      <c r="M775" s="1297">
        <f>IF(COUNT($H775:L775)&gt;'RFM input'!$AA$7,0, L775+L827+L879)</f>
        <v>1.9190499303583297</v>
      </c>
      <c r="N775" s="1297">
        <f>IF(COUNT($H775:M775)&gt;'RFM input'!$AA$7,0, M775+M827+M879)</f>
        <v>1.8381955910638847</v>
      </c>
      <c r="O775" s="1297">
        <f>IF(COUNT($H775:N775)&gt;'RFM input'!$AA$7,0, N775+N827+N879)</f>
        <v>1.6272054982180402</v>
      </c>
      <c r="P775" s="1297">
        <f>IF(COUNT($H775:O775)&gt;'RFM input'!$AA$7,0, O775+O827+O879)</f>
        <v>1.4162154053721956</v>
      </c>
      <c r="Q775" s="1297">
        <f>IF(COUNT($H775:P775)&gt;'RFM input'!$AA$7,0, P775+P827+P879)</f>
        <v>1.205225312526351</v>
      </c>
      <c r="R775" s="1297">
        <f>IF(COUNT($H775:Q775)&gt;'RFM input'!$AA$7,0, Q775+Q827+Q879)</f>
        <v>0.99423521968050643</v>
      </c>
      <c r="S775" s="75"/>
      <c r="T775" s="74"/>
      <c r="U775" s="74"/>
      <c r="V775" s="74"/>
      <c r="W775" s="74"/>
      <c r="X775" s="74"/>
      <c r="Y775" s="74"/>
      <c r="Z775" s="75"/>
    </row>
    <row r="776" spans="1:26" hidden="1" outlineLevel="1">
      <c r="A776" s="3"/>
      <c r="B776" s="3"/>
      <c r="C776" s="29"/>
      <c r="D776" s="153" t="str">
        <f>Asset7</f>
        <v>Buildings</v>
      </c>
      <c r="E776" s="3"/>
      <c r="F776" s="3"/>
      <c r="G776" s="1296">
        <f>'RFM input'!I13</f>
        <v>4.2714159907899152</v>
      </c>
      <c r="H776" s="1297">
        <f t="shared" si="5"/>
        <v>4.2455440809339686</v>
      </c>
      <c r="I776" s="1297">
        <f t="shared" si="6"/>
        <v>4.2595179959000582</v>
      </c>
      <c r="J776" s="1297">
        <f t="shared" si="6"/>
        <v>4.2785779442521621</v>
      </c>
      <c r="K776" s="1297">
        <f>IF(COUNT($H776:J776)&gt;'RFM input'!$AA$7,0, J776+J828+J880)</f>
        <v>4.2758500247493778</v>
      </c>
      <c r="L776" s="1297">
        <f>IF(COUNT($H776:K776)&gt;'RFM input'!$AA$7,0, K776+K828+K880)</f>
        <v>4.1889402362476016</v>
      </c>
      <c r="M776" s="1297">
        <f>IF(COUNT($H776:L776)&gt;'RFM input'!$AA$7,0, L776+L828+L880)</f>
        <v>4.2782928765466695</v>
      </c>
      <c r="N776" s="1297">
        <f>IF(COUNT($H776:M776)&gt;'RFM input'!$AA$7,0, M776+M828+M880)</f>
        <v>4.466664147690059</v>
      </c>
      <c r="O776" s="1297">
        <f>IF(COUNT($H776:N776)&gt;'RFM input'!$AA$7,0, N776+N828+N880)</f>
        <v>4.387564565486489</v>
      </c>
      <c r="P776" s="1297">
        <f>IF(COUNT($H776:O776)&gt;'RFM input'!$AA$7,0, O776+O828+O880)</f>
        <v>4.3084649832829189</v>
      </c>
      <c r="Q776" s="1297">
        <f>IF(COUNT($H776:P776)&gt;'RFM input'!$AA$7,0, P776+P828+P880)</f>
        <v>4.2293654010793489</v>
      </c>
      <c r="R776" s="1297">
        <f>IF(COUNT($H776:Q776)&gt;'RFM input'!$AA$7,0, Q776+Q828+Q880)</f>
        <v>4.1502658188757788</v>
      </c>
      <c r="S776" s="75"/>
      <c r="T776" s="74"/>
      <c r="U776" s="74"/>
      <c r="V776" s="74"/>
      <c r="W776" s="74"/>
      <c r="X776" s="74"/>
      <c r="Y776" s="74"/>
      <c r="Z776" s="75"/>
    </row>
    <row r="777" spans="1:26" hidden="1" outlineLevel="1">
      <c r="A777" s="3"/>
      <c r="B777" s="3"/>
      <c r="C777" s="29"/>
      <c r="D777" s="153" t="str">
        <f>Asset8</f>
        <v>Land and easements</v>
      </c>
      <c r="E777" s="3"/>
      <c r="F777" s="3"/>
      <c r="G777" s="1296">
        <f>'RFM input'!I14</f>
        <v>1.3334824275865296E-2</v>
      </c>
      <c r="H777" s="1297">
        <f t="shared" si="5"/>
        <v>1.3471273640548568E-2</v>
      </c>
      <c r="I777" s="1297">
        <f t="shared" si="6"/>
        <v>1.3731767882216634E-2</v>
      </c>
      <c r="J777" s="1297">
        <f t="shared" si="6"/>
        <v>1.401707109928166E-2</v>
      </c>
      <c r="K777" s="1297">
        <f>IF(COUNT($H777:J777)&gt;'RFM input'!$AA$7,0, J777+J829+J881)</f>
        <v>1.4240351877854289E-2</v>
      </c>
      <c r="L777" s="1297">
        <f>IF(COUNT($H777:K777)&gt;'RFM input'!$AA$7,0, K777+K829+K881)</f>
        <v>1.4190733927060372E-2</v>
      </c>
      <c r="M777" s="1297">
        <f>IF(COUNT($H777:L777)&gt;'RFM input'!$AA$7,0, L777+L829+L881)</f>
        <v>1.473653138579346E-2</v>
      </c>
      <c r="N777" s="1297">
        <f>IF(COUNT($H777:M777)&gt;'RFM input'!$AA$7,0, M777+M829+M881)</f>
        <v>1.5642058987782453E-2</v>
      </c>
      <c r="O777" s="1297">
        <f>IF(COUNT($H777:N777)&gt;'RFM input'!$AA$7,0, N777+N829+N881)</f>
        <v>1.5642058987782453E-2</v>
      </c>
      <c r="P777" s="1297">
        <f>IF(COUNT($H777:O777)&gt;'RFM input'!$AA$7,0, O777+O829+O881)</f>
        <v>1.5642058987782453E-2</v>
      </c>
      <c r="Q777" s="1297">
        <f>IF(COUNT($H777:P777)&gt;'RFM input'!$AA$7,0, P777+P829+P881)</f>
        <v>1.5642058987782453E-2</v>
      </c>
      <c r="R777" s="1297">
        <f>IF(COUNT($H777:Q777)&gt;'RFM input'!$AA$7,0, Q777+Q829+Q881)</f>
        <v>1.5642058987782453E-2</v>
      </c>
      <c r="S777" s="75"/>
      <c r="T777" s="74"/>
      <c r="U777" s="74"/>
      <c r="V777" s="74"/>
      <c r="W777" s="74"/>
      <c r="X777" s="74"/>
      <c r="Y777" s="74"/>
      <c r="Z777" s="75"/>
    </row>
    <row r="778" spans="1:26" hidden="1" outlineLevel="1">
      <c r="A778" s="3"/>
      <c r="B778" s="3"/>
      <c r="C778" s="29"/>
      <c r="D778" s="153" t="str">
        <f>Asset9</f>
        <v>Other depreciable pipeline assets</v>
      </c>
      <c r="E778" s="3"/>
      <c r="F778" s="3"/>
      <c r="G778" s="1296">
        <f>'RFM input'!I15</f>
        <v>6.6973907050025856</v>
      </c>
      <c r="H778" s="1297">
        <f t="shared" si="5"/>
        <v>6.7790268728406859</v>
      </c>
      <c r="I778" s="1297">
        <f t="shared" si="6"/>
        <v>6.8300150296711521</v>
      </c>
      <c r="J778" s="1297">
        <f t="shared" si="6"/>
        <v>7.2319741683185343</v>
      </c>
      <c r="K778" s="1297">
        <f>IF(COUNT($H778:J778)&gt;'RFM input'!$AA$7,0, J778+J830+J882)</f>
        <v>7.4514736252754599</v>
      </c>
      <c r="L778" s="1297">
        <f>IF(COUNT($H778:K778)&gt;'RFM input'!$AA$7,0, K778+K830+K882)</f>
        <v>7.4157211143520954</v>
      </c>
      <c r="M778" s="1297">
        <f>IF(COUNT($H778:L778)&gt;'RFM input'!$AA$7,0, L778+L830+L882)</f>
        <v>7.6775560607276239</v>
      </c>
      <c r="N778" s="1297">
        <f>IF(COUNT($H778:M778)&gt;'RFM input'!$AA$7,0, M778+M830+M882)</f>
        <v>7.9207733653341315</v>
      </c>
      <c r="O778" s="1297">
        <f>IF(COUNT($H778:N778)&gt;'RFM input'!$AA$7,0, N778+N830+N882)</f>
        <v>7.8027931087750062</v>
      </c>
      <c r="P778" s="1297">
        <f>IF(COUNT($H778:O778)&gt;'RFM input'!$AA$7,0, O778+O830+O882)</f>
        <v>7.684812852215881</v>
      </c>
      <c r="Q778" s="1297">
        <f>IF(COUNT($H778:P778)&gt;'RFM input'!$AA$7,0, P778+P830+P882)</f>
        <v>7.5668325956567557</v>
      </c>
      <c r="R778" s="1297">
        <f>IF(COUNT($H778:Q778)&gt;'RFM input'!$AA$7,0, Q778+Q830+Q882)</f>
        <v>7.4488523390976304</v>
      </c>
      <c r="S778" s="75"/>
      <c r="T778" s="74"/>
      <c r="U778" s="74"/>
      <c r="V778" s="74"/>
      <c r="W778" s="74"/>
      <c r="X778" s="74"/>
      <c r="Y778" s="74"/>
      <c r="Z778" s="75"/>
    </row>
    <row r="779" spans="1:26" hidden="1" outlineLevel="1">
      <c r="A779" s="3"/>
      <c r="B779" s="3"/>
      <c r="C779" s="29"/>
      <c r="D779" s="153" t="str">
        <f>Asset10</f>
        <v>IT Systems</v>
      </c>
      <c r="E779" s="3"/>
      <c r="F779" s="3"/>
      <c r="G779" s="1296">
        <f>'RFM input'!I16</f>
        <v>1.0586431896429707</v>
      </c>
      <c r="H779" s="1297">
        <f t="shared" si="5"/>
        <v>0.57276504242855342</v>
      </c>
      <c r="I779" s="1297">
        <f t="shared" si="6"/>
        <v>0.1300169418297068</v>
      </c>
      <c r="J779" s="1297">
        <f t="shared" si="6"/>
        <v>7.2822686491266636E-3</v>
      </c>
      <c r="K779" s="1297">
        <f>IF(COUNT($H779:J779)&gt;'RFM input'!$AA$7,0, J779+J831+J883)</f>
        <v>7.0349728225792474E-3</v>
      </c>
      <c r="L779" s="1297">
        <f>IF(COUNT($H779:K779)&gt;'RFM input'!$AA$7,0, K779+K831+K883)</f>
        <v>1.0541200945665214</v>
      </c>
      <c r="M779" s="1297">
        <f>IF(COUNT($H779:L779)&gt;'RFM input'!$AA$7,0, L779+L831+L883)</f>
        <v>0.88552959067595327</v>
      </c>
      <c r="N779" s="1297">
        <f>IF(COUNT($H779:M779)&gt;'RFM input'!$AA$7,0, M779+M831+M883)</f>
        <v>0.72276625429668706</v>
      </c>
      <c r="O779" s="1297">
        <f>IF(COUNT($H779:N779)&gt;'RFM input'!$AA$7,0, N779+N831+N883)</f>
        <v>0.49224399947184772</v>
      </c>
      <c r="P779" s="1297">
        <f>IF(COUNT($H779:O779)&gt;'RFM input'!$AA$7,0, O779+O831+O883)</f>
        <v>0.26212715789465513</v>
      </c>
      <c r="Q779" s="1297">
        <f>IF(COUNT($H779:P779)&gt;'RFM input'!$AA$7,0, P779+P831+P883)</f>
        <v>3.2010316317462512E-2</v>
      </c>
      <c r="R779" s="1297">
        <f>IF(COUNT($H779:Q779)&gt;'RFM input'!$AA$7,0, Q779+Q831+Q883)</f>
        <v>3.2010314929476862E-2</v>
      </c>
      <c r="S779" s="75"/>
      <c r="T779" s="74"/>
      <c r="U779" s="74"/>
      <c r="V779" s="74"/>
      <c r="W779" s="74"/>
      <c r="X779" s="74"/>
      <c r="Y779" s="74"/>
      <c r="Z779" s="75"/>
    </row>
    <row r="780" spans="1:26" hidden="1" outlineLevel="1">
      <c r="A780" s="3"/>
      <c r="B780" s="3"/>
      <c r="C780" s="29"/>
      <c r="D780" s="153" t="str">
        <f>Asset11</f>
        <v>Leased pipeline assets</v>
      </c>
      <c r="E780" s="3"/>
      <c r="F780" s="3"/>
      <c r="G780" s="1296">
        <f>'RFM input'!I17</f>
        <v>1.7092659212322057</v>
      </c>
      <c r="H780" s="1297">
        <f t="shared" si="5"/>
        <v>1.4959406270712703</v>
      </c>
      <c r="I780" s="1297">
        <f t="shared" ref="I780:J789" si="7">H780+H832+H884</f>
        <v>1.2933717281036052</v>
      </c>
      <c r="J780" s="1297">
        <f t="shared" si="7"/>
        <v>1.0842715818385222</v>
      </c>
      <c r="K780" s="1297">
        <f>IF(COUNT($H780:J780)&gt;'RFM input'!$AA$7,0, J780+J832+J884)</f>
        <v>0.8606680280343445</v>
      </c>
      <c r="L780" s="1297">
        <f>IF(COUNT($H780:K780)&gt;'RFM input'!$AA$7,0, K780+K832+K884)</f>
        <v>0.6129570991299903</v>
      </c>
      <c r="M780" s="1297">
        <f>IF(COUNT($H780:L780)&gt;'RFM input'!$AA$7,0, L780+L832+L884)</f>
        <v>0.39267294192287916</v>
      </c>
      <c r="N780" s="1297">
        <f>IF(COUNT($H780:M780)&gt;'RFM input'!$AA$7,0, M780+M832+M884)</f>
        <v>0.16356319571245023</v>
      </c>
      <c r="O780" s="1297">
        <f>IF(COUNT($H780:N780)&gt;'RFM input'!$AA$7,0, N780+N832+N884)</f>
        <v>2.1587646361771351E-2</v>
      </c>
      <c r="P780" s="1297">
        <f>IF(COUNT($H780:O780)&gt;'RFM input'!$AA$7,0, O780+O832+O884)</f>
        <v>2.1587646361771351E-2</v>
      </c>
      <c r="Q780" s="1297">
        <f>IF(COUNT($H780:P780)&gt;'RFM input'!$AA$7,0, P780+P832+P884)</f>
        <v>2.1587646361771351E-2</v>
      </c>
      <c r="R780" s="1297">
        <f>IF(COUNT($H780:Q780)&gt;'RFM input'!$AA$7,0, Q780+Q832+Q884)</f>
        <v>2.1587646361771351E-2</v>
      </c>
      <c r="S780" s="75"/>
      <c r="T780" s="74"/>
      <c r="U780" s="74"/>
      <c r="V780" s="74"/>
      <c r="W780" s="74"/>
      <c r="X780" s="74"/>
      <c r="Y780" s="74"/>
      <c r="Z780" s="75"/>
    </row>
    <row r="781" spans="1:26" hidden="1" outlineLevel="1">
      <c r="A781" s="3"/>
      <c r="B781" s="3"/>
      <c r="C781" s="29"/>
      <c r="D781" s="153" t="str">
        <f>Asset12</f>
        <v>Shared supporting assets</v>
      </c>
      <c r="E781" s="3"/>
      <c r="F781" s="3"/>
      <c r="G781" s="1296">
        <f>'RFM input'!I18</f>
        <v>2.6665477359291296</v>
      </c>
      <c r="H781" s="1297">
        <f t="shared" si="5"/>
        <v>3.6617975869025572</v>
      </c>
      <c r="I781" s="1297">
        <f t="shared" si="7"/>
        <v>3.4777665644108753</v>
      </c>
      <c r="J781" s="1297">
        <f t="shared" si="7"/>
        <v>3.5641296312883304</v>
      </c>
      <c r="K781" s="1297">
        <f>IF(COUNT($H781:J781)&gt;'RFM input'!$AA$7,0, J781+J833+J885)</f>
        <v>3.9988520443834918</v>
      </c>
      <c r="L781" s="1297">
        <f>IF(COUNT($H781:K781)&gt;'RFM input'!$AA$7,0, K781+K833+K885)</f>
        <v>3.4880154774435397</v>
      </c>
      <c r="M781" s="1297">
        <f>IF(COUNT($H781:L781)&gt;'RFM input'!$AA$7,0, L781+L833+L885)</f>
        <v>3.1335195112611229</v>
      </c>
      <c r="N781" s="1297">
        <f>IF(COUNT($H781:M781)&gt;'RFM input'!$AA$7,0, M781+M833+M885)</f>
        <v>5.4639335440261352</v>
      </c>
      <c r="O781" s="1297">
        <f>IF(COUNT($H781:N781)&gt;'RFM input'!$AA$7,0, N781+N833+N885)</f>
        <v>3.8130388553076191</v>
      </c>
      <c r="P781" s="1297">
        <f>IF(COUNT($H781:O781)&gt;'RFM input'!$AA$7,0, O781+O833+O885)</f>
        <v>2.3949479062652923</v>
      </c>
      <c r="Q781" s="1297">
        <f>IF(COUNT($H781:P781)&gt;'RFM input'!$AA$7,0, P781+P833+P885)</f>
        <v>1.3373605772339348</v>
      </c>
      <c r="R781" s="1297">
        <f>IF(COUNT($H781:Q781)&gt;'RFM input'!$AA$7,0, Q781+Q833+Q885)</f>
        <v>0.51886190200881255</v>
      </c>
      <c r="S781" s="75"/>
      <c r="T781" s="74"/>
      <c r="U781" s="74"/>
      <c r="V781" s="74"/>
      <c r="W781" s="74"/>
      <c r="X781" s="74"/>
      <c r="Y781" s="74"/>
      <c r="Z781" s="75"/>
    </row>
    <row r="782" spans="1:26" hidden="1" outlineLevel="1">
      <c r="A782" s="3"/>
      <c r="B782" s="3"/>
      <c r="C782" s="29"/>
      <c r="D782" s="153" t="str">
        <f>Asset13</f>
        <v>Shared leased assets</v>
      </c>
      <c r="E782" s="3"/>
      <c r="F782" s="3"/>
      <c r="G782" s="1296">
        <f>'RFM input'!I19</f>
        <v>0</v>
      </c>
      <c r="H782" s="1297">
        <f t="shared" si="5"/>
        <v>0</v>
      </c>
      <c r="I782" s="1297">
        <f t="shared" si="7"/>
        <v>0</v>
      </c>
      <c r="J782" s="1297">
        <f t="shared" si="7"/>
        <v>0</v>
      </c>
      <c r="K782" s="1297">
        <f>IF(COUNT($H782:J782)&gt;'RFM input'!$AA$7,0, J782+J834+J886)</f>
        <v>0</v>
      </c>
      <c r="L782" s="1297">
        <f>IF(COUNT($H782:K782)&gt;'RFM input'!$AA$7,0, K782+K834+K886)</f>
        <v>0.887231891481851</v>
      </c>
      <c r="M782" s="1297">
        <f>IF(COUNT($H782:L782)&gt;'RFM input'!$AA$7,0, L782+L834+L886)</f>
        <v>0.95121229850342703</v>
      </c>
      <c r="N782" s="1297">
        <f>IF(COUNT($H782:M782)&gt;'RFM input'!$AA$7,0, M782+M834+M886)</f>
        <v>1.0243107089885035</v>
      </c>
      <c r="O782" s="1297">
        <f>IF(COUNT($H782:N782)&gt;'RFM input'!$AA$7,0, N782+N834+N886)</f>
        <v>0.73262827186180646</v>
      </c>
      <c r="P782" s="1297">
        <f>IF(COUNT($H782:O782)&gt;'RFM input'!$AA$7,0, O782+O834+O886)</f>
        <v>0.44094583473510934</v>
      </c>
      <c r="Q782" s="1297">
        <f>IF(COUNT($H782:P782)&gt;'RFM input'!$AA$7,0, P782+P834+P886)</f>
        <v>0.14926339760841223</v>
      </c>
      <c r="R782" s="1297">
        <f>IF(COUNT($H782:Q782)&gt;'RFM input'!$AA$7,0, Q782+Q834+Q886)</f>
        <v>5.2493750579034618E-2</v>
      </c>
      <c r="S782" s="75"/>
      <c r="T782" s="74"/>
      <c r="U782" s="74"/>
      <c r="V782" s="74"/>
      <c r="W782" s="74"/>
      <c r="X782" s="74"/>
      <c r="Y782" s="74"/>
      <c r="Z782" s="75"/>
    </row>
    <row r="783" spans="1:26" hidden="1" outlineLevel="1">
      <c r="A783" s="3"/>
      <c r="B783" s="3"/>
      <c r="C783" s="29"/>
      <c r="D783" s="153" t="str">
        <f>Asset14</f>
        <v>PMA - Buyout contract</v>
      </c>
      <c r="E783" s="3"/>
      <c r="F783" s="3"/>
      <c r="G783" s="1296">
        <f>'RFM input'!I20</f>
        <v>12.155047883692397</v>
      </c>
      <c r="H783" s="1297">
        <f t="shared" si="5"/>
        <v>9.6599739523653643</v>
      </c>
      <c r="I783" s="1297">
        <f t="shared" si="7"/>
        <v>7.4070639794274857</v>
      </c>
      <c r="J783" s="1297">
        <f t="shared" si="7"/>
        <v>5.0740779513216054</v>
      </c>
      <c r="K783" s="1297">
        <f>IF(COUNT($H783:J783)&gt;'RFM input'!$AA$7,0, J783+J835+J887)</f>
        <v>2.616352677326331</v>
      </c>
      <c r="L783" s="1297">
        <f>IF(COUNT($H783:K783)&gt;'RFM input'!$AA$7,0, K783+K835+K887)</f>
        <v>2.8248071182555012E-2</v>
      </c>
      <c r="M783" s="1297">
        <f>IF(COUNT($H783:L783)&gt;'RFM input'!$AA$7,0, L783+L835+L887)</f>
        <v>2.9334535458807126E-2</v>
      </c>
      <c r="N783" s="1297">
        <f>IF(COUNT($H783:M783)&gt;'RFM input'!$AA$7,0, M783+M835+M887)</f>
        <v>3.1137078462589046E-2</v>
      </c>
      <c r="O783" s="1297">
        <f>IF(COUNT($H783:N783)&gt;'RFM input'!$AA$7,0, N783+N835+N887)</f>
        <v>3.1137078462589046E-2</v>
      </c>
      <c r="P783" s="1297">
        <f>IF(COUNT($H783:O783)&gt;'RFM input'!$AA$7,0, O783+O835+O887)</f>
        <v>3.1137078462589046E-2</v>
      </c>
      <c r="Q783" s="1297">
        <f>IF(COUNT($H783:P783)&gt;'RFM input'!$AA$7,0, P783+P835+P887)</f>
        <v>3.1137078462589046E-2</v>
      </c>
      <c r="R783" s="1297">
        <f>IF(COUNT($H783:Q783)&gt;'RFM input'!$AA$7,0, Q783+Q835+Q887)</f>
        <v>3.1137078462589046E-2</v>
      </c>
      <c r="S783" s="75"/>
      <c r="T783" s="74"/>
      <c r="U783" s="74"/>
      <c r="V783" s="74"/>
      <c r="W783" s="74"/>
      <c r="X783" s="74"/>
      <c r="Y783" s="74"/>
      <c r="Z783" s="75"/>
    </row>
    <row r="784" spans="1:26" hidden="1" outlineLevel="1">
      <c r="A784" s="3"/>
      <c r="B784" s="3"/>
      <c r="C784" s="29"/>
      <c r="D784" s="153">
        <f>Asset15</f>
        <v>0</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v>
      </c>
      <c r="P784" s="1297">
        <f>IF(COUNT($H784:O784)&gt;'RFM input'!$AA$7,0, O784+O836+O888)</f>
        <v>0</v>
      </c>
      <c r="Q784" s="1297">
        <f>IF(COUNT($H784:P784)&gt;'RFM input'!$AA$7,0, P784+P836+P888)</f>
        <v>0</v>
      </c>
      <c r="R784" s="1297">
        <f>IF(COUNT($H784:Q784)&gt;'RFM input'!$AA$7,0, Q784+Q836+Q888)</f>
        <v>0</v>
      </c>
      <c r="S784" s="75"/>
      <c r="T784" s="74"/>
      <c r="U784" s="74"/>
      <c r="V784" s="74"/>
      <c r="W784" s="74"/>
      <c r="X784" s="74"/>
      <c r="Y784" s="74"/>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4"/>
      <c r="U785" s="74"/>
      <c r="V785" s="74"/>
      <c r="W785" s="74"/>
      <c r="X785" s="74"/>
      <c r="Y785" s="74"/>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4"/>
      <c r="U786" s="74"/>
      <c r="V786" s="74"/>
      <c r="W786" s="74"/>
      <c r="X786" s="74"/>
      <c r="Y786" s="74"/>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4"/>
      <c r="U787" s="74"/>
      <c r="V787" s="74"/>
      <c r="W787" s="74"/>
      <c r="X787" s="74"/>
      <c r="Y787" s="74"/>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4"/>
      <c r="U788" s="74"/>
      <c r="V788" s="74"/>
      <c r="W788" s="74"/>
      <c r="X788" s="74"/>
      <c r="Y788" s="74"/>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4"/>
      <c r="U789" s="74"/>
      <c r="V789" s="74"/>
      <c r="W789" s="74"/>
      <c r="X789" s="74"/>
      <c r="Y789" s="74"/>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4"/>
      <c r="U790" s="74"/>
      <c r="V790" s="74"/>
      <c r="W790" s="74"/>
      <c r="X790" s="74"/>
      <c r="Y790" s="74"/>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4"/>
      <c r="U791" s="74"/>
      <c r="V791" s="74"/>
      <c r="W791" s="74"/>
      <c r="X791" s="74"/>
      <c r="Y791" s="74"/>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4"/>
      <c r="U792" s="74"/>
      <c r="V792" s="74"/>
      <c r="W792" s="74"/>
      <c r="X792" s="74"/>
      <c r="Y792" s="74"/>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4"/>
      <c r="U793" s="74"/>
      <c r="V793" s="74"/>
      <c r="W793" s="74"/>
      <c r="X793" s="74"/>
      <c r="Y793" s="74"/>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4"/>
      <c r="U794" s="74"/>
      <c r="V794" s="74"/>
      <c r="W794" s="74"/>
      <c r="X794" s="74"/>
      <c r="Y794" s="74"/>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4"/>
      <c r="U795" s="74"/>
      <c r="V795" s="74"/>
      <c r="W795" s="74"/>
      <c r="X795" s="74"/>
      <c r="Y795" s="74"/>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4"/>
      <c r="U796" s="74"/>
      <c r="V796" s="74"/>
      <c r="W796" s="74"/>
      <c r="X796" s="74"/>
      <c r="Y796" s="74"/>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4"/>
      <c r="U797" s="74"/>
      <c r="V797" s="74"/>
      <c r="W797" s="74"/>
      <c r="X797" s="74"/>
      <c r="Y797" s="74"/>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4"/>
      <c r="U798" s="74"/>
      <c r="V798" s="74"/>
      <c r="W798" s="74"/>
      <c r="X798" s="74"/>
      <c r="Y798" s="74"/>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4"/>
      <c r="U799" s="74"/>
      <c r="V799" s="74"/>
      <c r="W799" s="74"/>
      <c r="X799" s="74"/>
      <c r="Y799" s="74"/>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4"/>
      <c r="U800" s="74"/>
      <c r="V800" s="74"/>
      <c r="W800" s="74"/>
      <c r="X800" s="74"/>
      <c r="Y800" s="74"/>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4"/>
      <c r="U801" s="74"/>
      <c r="V801" s="74"/>
      <c r="W801" s="74"/>
      <c r="X801" s="74"/>
      <c r="Y801" s="74"/>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4"/>
      <c r="U802" s="74"/>
      <c r="V802" s="74"/>
      <c r="W802" s="74"/>
      <c r="X802" s="74"/>
      <c r="Y802" s="74"/>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4"/>
      <c r="U803" s="74"/>
      <c r="V803" s="74"/>
      <c r="W803" s="74"/>
      <c r="X803" s="74"/>
      <c r="Y803" s="74"/>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4"/>
      <c r="U804" s="74"/>
      <c r="V804" s="74"/>
      <c r="W804" s="74"/>
      <c r="X804" s="74"/>
      <c r="Y804" s="74"/>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4"/>
      <c r="U805" s="74"/>
      <c r="V805" s="74"/>
      <c r="W805" s="74"/>
      <c r="X805" s="74"/>
      <c r="Y805" s="74"/>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4"/>
      <c r="U806" s="74"/>
      <c r="V806" s="74"/>
      <c r="W806" s="74"/>
      <c r="X806" s="74"/>
      <c r="Y806" s="74"/>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4"/>
      <c r="U807" s="74"/>
      <c r="V807" s="74"/>
      <c r="W807" s="74"/>
      <c r="X807" s="74"/>
      <c r="Y807" s="74"/>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4"/>
      <c r="U808" s="74"/>
      <c r="V808" s="74"/>
      <c r="W808" s="74"/>
      <c r="X808" s="74"/>
      <c r="Y808" s="74"/>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4"/>
      <c r="U809" s="74"/>
      <c r="V809" s="74"/>
      <c r="W809" s="74"/>
      <c r="X809" s="74"/>
      <c r="Y809" s="74"/>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4"/>
      <c r="U810" s="74"/>
      <c r="V810" s="74"/>
      <c r="W810" s="74"/>
      <c r="X810" s="74"/>
      <c r="Y810" s="74"/>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4"/>
      <c r="U811" s="74"/>
      <c r="V811" s="74"/>
      <c r="W811" s="74"/>
      <c r="X811" s="74"/>
      <c r="Y811" s="74"/>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4"/>
      <c r="U812" s="74"/>
      <c r="V812" s="74"/>
      <c r="W812" s="74"/>
      <c r="X812" s="74"/>
      <c r="Y812" s="74"/>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4"/>
      <c r="U813" s="74"/>
      <c r="V813" s="74"/>
      <c r="W813" s="74"/>
      <c r="X813" s="74"/>
      <c r="Y813" s="74"/>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4"/>
      <c r="U814" s="74"/>
      <c r="V814" s="74"/>
      <c r="W814" s="74"/>
      <c r="X814" s="74"/>
      <c r="Y814" s="74"/>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4"/>
      <c r="U815" s="74"/>
      <c r="V815" s="74"/>
      <c r="W815" s="74"/>
      <c r="X815" s="74"/>
      <c r="Y815" s="74"/>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4"/>
      <c r="U816" s="74"/>
      <c r="V816" s="74"/>
      <c r="W816" s="74"/>
      <c r="X816" s="74"/>
      <c r="Y816" s="74"/>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4"/>
      <c r="U817" s="74"/>
      <c r="V817" s="74"/>
      <c r="W817" s="74"/>
      <c r="X817" s="74"/>
      <c r="Y817" s="74"/>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4"/>
      <c r="U818" s="74"/>
      <c r="V818" s="74"/>
      <c r="W818" s="74"/>
      <c r="X818" s="74"/>
      <c r="Y818" s="74"/>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4"/>
      <c r="U819" s="74"/>
      <c r="V819" s="74"/>
      <c r="W819" s="74"/>
      <c r="X819" s="74"/>
      <c r="Y819" s="74"/>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4"/>
      <c r="U820" s="74"/>
      <c r="V820" s="74"/>
      <c r="W820" s="74"/>
      <c r="X820" s="74"/>
      <c r="Y820" s="74"/>
      <c r="Z820" s="75"/>
    </row>
    <row r="821" spans="1:26">
      <c r="A821" s="3"/>
      <c r="B821" s="3"/>
      <c r="C821" s="29" t="s">
        <v>25</v>
      </c>
      <c r="D821" s="3"/>
      <c r="E821" s="3"/>
      <c r="F821" s="3"/>
      <c r="G821" s="1298">
        <f>SUM(G822:G871)</f>
        <v>3.3761323594417614</v>
      </c>
      <c r="H821" s="1269">
        <f t="shared" ref="H821:Q821" si="11">SUM(H822:H871)</f>
        <v>1.2281307669939858</v>
      </c>
      <c r="I821" s="1269">
        <f t="shared" si="11"/>
        <v>1.4698067254304825</v>
      </c>
      <c r="J821" s="1269">
        <f t="shared" si="11"/>
        <v>2.5014600678213519</v>
      </c>
      <c r="K821" s="1269">
        <f t="shared" si="11"/>
        <v>4.9102802702613868</v>
      </c>
      <c r="L821" s="1269">
        <f t="shared" si="11"/>
        <v>2.188570339223725</v>
      </c>
      <c r="M821" s="1269">
        <f t="shared" si="11"/>
        <v>3.7466562402508252</v>
      </c>
      <c r="N821" s="1269">
        <f t="shared" si="11"/>
        <v>0</v>
      </c>
      <c r="O821" s="1269">
        <f t="shared" si="11"/>
        <v>0</v>
      </c>
      <c r="P821" s="1269">
        <f t="shared" si="11"/>
        <v>0</v>
      </c>
      <c r="Q821" s="1269">
        <f t="shared" si="11"/>
        <v>0</v>
      </c>
      <c r="R821" s="1269"/>
      <c r="S821" s="75"/>
      <c r="T821" s="74"/>
      <c r="U821" s="74"/>
      <c r="V821" s="74"/>
      <c r="W821" s="74"/>
      <c r="X821" s="74"/>
      <c r="Y821" s="74"/>
      <c r="Z821" s="75"/>
    </row>
    <row r="822" spans="1:26" hidden="1" outlineLevel="1">
      <c r="A822" s="3"/>
      <c r="B822" s="3"/>
      <c r="C822" s="29"/>
      <c r="D822" s="153" t="str">
        <f>Asset1</f>
        <v>Pipelines</v>
      </c>
      <c r="E822" s="3"/>
      <c r="F822" s="3"/>
      <c r="G822" s="1299">
        <f>'RFM input'!M7</f>
        <v>0.28598169103724558</v>
      </c>
      <c r="H822" s="1297">
        <f>H12*H$7</f>
        <v>0</v>
      </c>
      <c r="I822" s="1297">
        <f t="shared" ref="I822:Q822" si="12">I12*I$7</f>
        <v>0</v>
      </c>
      <c r="J822" s="1297">
        <f t="shared" si="12"/>
        <v>1.743458586527185E-2</v>
      </c>
      <c r="K822" s="1297">
        <f t="shared" si="12"/>
        <v>1.3408423020515747</v>
      </c>
      <c r="L822" s="1297">
        <f t="shared" si="12"/>
        <v>0.63423178734263486</v>
      </c>
      <c r="M822" s="1297">
        <f t="shared" si="12"/>
        <v>0</v>
      </c>
      <c r="N822" s="1297">
        <f t="shared" si="12"/>
        <v>0</v>
      </c>
      <c r="O822" s="1297">
        <f t="shared" si="12"/>
        <v>0</v>
      </c>
      <c r="P822" s="1297">
        <f t="shared" si="12"/>
        <v>0</v>
      </c>
      <c r="Q822" s="1297">
        <f t="shared" si="12"/>
        <v>0</v>
      </c>
      <c r="R822" s="1269"/>
      <c r="S822" s="75"/>
      <c r="T822" s="74"/>
      <c r="U822" s="74"/>
      <c r="V822" s="74"/>
      <c r="W822" s="74"/>
      <c r="X822" s="74"/>
      <c r="Y822" s="74"/>
      <c r="Z822" s="75"/>
    </row>
    <row r="823" spans="1:26" hidden="1" outlineLevel="1">
      <c r="A823" s="3"/>
      <c r="B823" s="3"/>
      <c r="C823" s="29"/>
      <c r="D823" s="153" t="str">
        <f>Asset2</f>
        <v>Compressors</v>
      </c>
      <c r="E823" s="3"/>
      <c r="F823" s="3"/>
      <c r="G823" s="1299">
        <f>'RFM input'!M8</f>
        <v>1.2516034431101927E-2</v>
      </c>
      <c r="H823" s="1297">
        <f t="shared" ref="H823:Q823" si="13">H13*H$7</f>
        <v>0.59889430094813101</v>
      </c>
      <c r="I823" s="1297">
        <f t="shared" si="13"/>
        <v>8.351113026066519E-3</v>
      </c>
      <c r="J823" s="1297">
        <f t="shared" si="13"/>
        <v>0.3031401080673542</v>
      </c>
      <c r="K823" s="1297">
        <f t="shared" si="13"/>
        <v>0.2132731040941076</v>
      </c>
      <c r="L823" s="1297">
        <f t="shared" si="13"/>
        <v>0.6219129060742431</v>
      </c>
      <c r="M823" s="1297">
        <f t="shared" si="13"/>
        <v>3.0383456195806359E-17</v>
      </c>
      <c r="N823" s="1297">
        <f t="shared" si="13"/>
        <v>0</v>
      </c>
      <c r="O823" s="1297">
        <f t="shared" si="13"/>
        <v>0</v>
      </c>
      <c r="P823" s="1297">
        <f t="shared" si="13"/>
        <v>0</v>
      </c>
      <c r="Q823" s="1297">
        <f t="shared" si="13"/>
        <v>0</v>
      </c>
      <c r="R823" s="1269"/>
      <c r="S823" s="75"/>
      <c r="T823" s="74"/>
      <c r="U823" s="74"/>
      <c r="V823" s="74"/>
      <c r="W823" s="74"/>
      <c r="X823" s="74"/>
      <c r="Y823" s="74"/>
      <c r="Z823" s="75"/>
    </row>
    <row r="824" spans="1:26" hidden="1" outlineLevel="1">
      <c r="A824" s="3"/>
      <c r="B824" s="3"/>
      <c r="C824" s="29"/>
      <c r="D824" s="153" t="str">
        <f>Asset3</f>
        <v>City Gates, supply regulators and valve stations</v>
      </c>
      <c r="E824" s="3"/>
      <c r="F824" s="3"/>
      <c r="G824" s="1299">
        <f>'RFM input'!M9</f>
        <v>9.187412422104484E-3</v>
      </c>
      <c r="H824" s="1297">
        <f t="shared" ref="H824:Q824" si="14">H14*H$7</f>
        <v>0</v>
      </c>
      <c r="I824" s="1297">
        <f t="shared" si="14"/>
        <v>0</v>
      </c>
      <c r="J824" s="1297">
        <f t="shared" si="14"/>
        <v>0</v>
      </c>
      <c r="K824" s="1297">
        <f t="shared" si="14"/>
        <v>0</v>
      </c>
      <c r="L824" s="1297">
        <f t="shared" si="14"/>
        <v>0</v>
      </c>
      <c r="M824" s="1297">
        <f t="shared" si="14"/>
        <v>0</v>
      </c>
      <c r="N824" s="1297">
        <f t="shared" si="14"/>
        <v>0</v>
      </c>
      <c r="O824" s="1297">
        <f t="shared" si="14"/>
        <v>0</v>
      </c>
      <c r="P824" s="1297">
        <f t="shared" si="14"/>
        <v>0</v>
      </c>
      <c r="Q824" s="1297">
        <f t="shared" si="14"/>
        <v>0</v>
      </c>
      <c r="R824" s="1269"/>
      <c r="S824" s="75"/>
      <c r="T824" s="74"/>
      <c r="U824" s="74"/>
      <c r="V824" s="74"/>
      <c r="W824" s="74"/>
      <c r="X824" s="74"/>
      <c r="Y824" s="74"/>
      <c r="Z824" s="75"/>
    </row>
    <row r="825" spans="1:26" hidden="1" outlineLevel="1">
      <c r="A825" s="3"/>
      <c r="B825" s="3"/>
      <c r="C825" s="29"/>
      <c r="D825" s="153" t="str">
        <f>Asset4</f>
        <v>Metering</v>
      </c>
      <c r="E825" s="3"/>
      <c r="F825" s="3"/>
      <c r="G825" s="1299">
        <f>'RFM input'!M10</f>
        <v>0</v>
      </c>
      <c r="H825" s="1297">
        <f t="shared" ref="H825:Q825" si="15">H15*H$7</f>
        <v>0</v>
      </c>
      <c r="I825" s="1297">
        <f t="shared" si="15"/>
        <v>0</v>
      </c>
      <c r="J825" s="1297">
        <f t="shared" si="15"/>
        <v>0</v>
      </c>
      <c r="K825" s="1297">
        <f t="shared" si="15"/>
        <v>0</v>
      </c>
      <c r="L825" s="1297">
        <f t="shared" si="15"/>
        <v>0</v>
      </c>
      <c r="M825" s="1297">
        <f t="shared" si="15"/>
        <v>0.43225690635436659</v>
      </c>
      <c r="N825" s="1297">
        <f t="shared" si="15"/>
        <v>0</v>
      </c>
      <c r="O825" s="1297">
        <f t="shared" si="15"/>
        <v>0</v>
      </c>
      <c r="P825" s="1297">
        <f t="shared" si="15"/>
        <v>0</v>
      </c>
      <c r="Q825" s="1297">
        <f t="shared" si="15"/>
        <v>0</v>
      </c>
      <c r="R825" s="1269"/>
      <c r="S825" s="75"/>
      <c r="T825" s="74"/>
      <c r="U825" s="74"/>
      <c r="V825" s="74"/>
      <c r="W825" s="74"/>
      <c r="X825" s="74"/>
      <c r="Y825" s="74"/>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0</v>
      </c>
      <c r="K826" s="1297">
        <f t="shared" si="16"/>
        <v>0</v>
      </c>
      <c r="L826" s="1297">
        <f t="shared" si="16"/>
        <v>0</v>
      </c>
      <c r="M826" s="1297">
        <f t="shared" si="16"/>
        <v>0</v>
      </c>
      <c r="N826" s="1297">
        <f t="shared" si="16"/>
        <v>0</v>
      </c>
      <c r="O826" s="1297">
        <f t="shared" si="16"/>
        <v>0</v>
      </c>
      <c r="P826" s="1297">
        <f t="shared" si="16"/>
        <v>0</v>
      </c>
      <c r="Q826" s="1297">
        <f t="shared" si="16"/>
        <v>0</v>
      </c>
      <c r="R826" s="1269"/>
      <c r="S826" s="75"/>
      <c r="T826" s="74"/>
      <c r="U826" s="74"/>
      <c r="V826" s="74"/>
      <c r="W826" s="74"/>
      <c r="X826" s="74"/>
      <c r="Y826" s="74"/>
      <c r="Z826" s="75"/>
    </row>
    <row r="827" spans="1:26" hidden="1" outlineLevel="1">
      <c r="A827" s="3"/>
      <c r="B827" s="3"/>
      <c r="C827" s="29"/>
      <c r="D827" s="153" t="str">
        <f>Asset6</f>
        <v>SCADA (Communications)</v>
      </c>
      <c r="E827" s="3"/>
      <c r="F827" s="3"/>
      <c r="G827" s="1299">
        <f>'RFM input'!M12</f>
        <v>1.0594006085425263</v>
      </c>
      <c r="H827" s="1297">
        <f t="shared" ref="H827:Q827" si="17">H17*H$7</f>
        <v>4.0593497104851892E-3</v>
      </c>
      <c r="I827" s="1297">
        <f t="shared" si="17"/>
        <v>8.1998064557741834E-2</v>
      </c>
      <c r="J827" s="1297">
        <f t="shared" si="17"/>
        <v>0.35903100207135785</v>
      </c>
      <c r="K827" s="1297">
        <f t="shared" si="17"/>
        <v>0.23638011881474144</v>
      </c>
      <c r="L827" s="1297">
        <f t="shared" si="17"/>
        <v>0</v>
      </c>
      <c r="M827" s="1297">
        <f t="shared" si="17"/>
        <v>0</v>
      </c>
      <c r="N827" s="1297">
        <f t="shared" si="17"/>
        <v>0</v>
      </c>
      <c r="O827" s="1297">
        <f t="shared" si="17"/>
        <v>0</v>
      </c>
      <c r="P827" s="1297">
        <f t="shared" si="17"/>
        <v>0</v>
      </c>
      <c r="Q827" s="1297">
        <f t="shared" si="17"/>
        <v>0</v>
      </c>
      <c r="R827" s="1269"/>
      <c r="S827" s="75"/>
      <c r="T827" s="74"/>
      <c r="U827" s="74"/>
      <c r="V827" s="74"/>
      <c r="W827" s="74"/>
      <c r="X827" s="74"/>
      <c r="Y827" s="74"/>
      <c r="Z827" s="75"/>
    </row>
    <row r="828" spans="1:26" hidden="1" outlineLevel="1">
      <c r="A828" s="3"/>
      <c r="B828" s="3"/>
      <c r="C828" s="29"/>
      <c r="D828" s="153" t="str">
        <f>Asset7</f>
        <v>Buildings</v>
      </c>
      <c r="E828" s="3"/>
      <c r="F828" s="3"/>
      <c r="G828" s="1299">
        <f>'RFM input'!M13</f>
        <v>0</v>
      </c>
      <c r="H828" s="1297">
        <f t="shared" ref="H828:Q828" si="18">H18*H$7</f>
        <v>0</v>
      </c>
      <c r="I828" s="1297">
        <f t="shared" si="18"/>
        <v>0</v>
      </c>
      <c r="J828" s="1297">
        <f t="shared" si="18"/>
        <v>0</v>
      </c>
      <c r="K828" s="1297">
        <f t="shared" si="18"/>
        <v>0</v>
      </c>
      <c r="L828" s="1297">
        <f t="shared" si="18"/>
        <v>0</v>
      </c>
      <c r="M828" s="1297">
        <f t="shared" si="18"/>
        <v>0</v>
      </c>
      <c r="N828" s="1297">
        <f t="shared" si="18"/>
        <v>0</v>
      </c>
      <c r="O828" s="1297">
        <f t="shared" si="18"/>
        <v>0</v>
      </c>
      <c r="P828" s="1297">
        <f t="shared" si="18"/>
        <v>0</v>
      </c>
      <c r="Q828" s="1297">
        <f t="shared" si="18"/>
        <v>0</v>
      </c>
      <c r="R828" s="1269"/>
      <c r="S828" s="75"/>
      <c r="T828" s="74"/>
      <c r="U828" s="74"/>
      <c r="V828" s="74"/>
      <c r="W828" s="74"/>
      <c r="X828" s="74"/>
      <c r="Y828" s="74"/>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v>
      </c>
      <c r="M829" s="1297">
        <f t="shared" si="19"/>
        <v>0</v>
      </c>
      <c r="N829" s="1297">
        <f t="shared" si="19"/>
        <v>0</v>
      </c>
      <c r="O829" s="1297">
        <f t="shared" si="19"/>
        <v>0</v>
      </c>
      <c r="P829" s="1297">
        <f t="shared" si="19"/>
        <v>0</v>
      </c>
      <c r="Q829" s="1297">
        <f t="shared" si="19"/>
        <v>0</v>
      </c>
      <c r="R829" s="1269"/>
      <c r="S829" s="75"/>
      <c r="T829" s="74"/>
      <c r="U829" s="74"/>
      <c r="V829" s="74"/>
      <c r="W829" s="74"/>
      <c r="X829" s="74"/>
      <c r="Y829" s="74"/>
      <c r="Z829" s="75"/>
    </row>
    <row r="830" spans="1:26" hidden="1" outlineLevel="1">
      <c r="A830" s="3"/>
      <c r="B830" s="3"/>
      <c r="C830" s="29"/>
      <c r="D830" s="153" t="str">
        <f>Asset9</f>
        <v>Other depreciable pipeline assets</v>
      </c>
      <c r="E830" s="3"/>
      <c r="F830" s="3"/>
      <c r="G830" s="1299">
        <f>'RFM input'!M15</f>
        <v>0.10688829895818489</v>
      </c>
      <c r="H830" s="1297">
        <f t="shared" ref="H830:Q830" si="20">H20*H$7</f>
        <v>1.3677096641959778E-2</v>
      </c>
      <c r="I830" s="1297">
        <f t="shared" si="20"/>
        <v>0.35581546899383631</v>
      </c>
      <c r="J830" s="1297">
        <f t="shared" si="20"/>
        <v>0.20659231546369816</v>
      </c>
      <c r="K830" s="1297">
        <f t="shared" si="20"/>
        <v>9.6756235632085907E-2</v>
      </c>
      <c r="L830" s="1297">
        <f t="shared" si="20"/>
        <v>8.3994327748251316E-2</v>
      </c>
      <c r="M830" s="1297">
        <f t="shared" si="20"/>
        <v>-0.11595199952038025</v>
      </c>
      <c r="N830" s="1297">
        <f t="shared" si="20"/>
        <v>0</v>
      </c>
      <c r="O830" s="1297">
        <f t="shared" si="20"/>
        <v>0</v>
      </c>
      <c r="P830" s="1297">
        <f t="shared" si="20"/>
        <v>0</v>
      </c>
      <c r="Q830" s="1297">
        <f t="shared" si="20"/>
        <v>0</v>
      </c>
      <c r="R830" s="1269"/>
      <c r="S830" s="75"/>
      <c r="T830" s="74"/>
      <c r="U830" s="74"/>
      <c r="V830" s="74"/>
      <c r="W830" s="74"/>
      <c r="X830" s="74"/>
      <c r="Y830" s="74"/>
      <c r="Z830" s="75"/>
    </row>
    <row r="831" spans="1:26" hidden="1" outlineLevel="1">
      <c r="A831" s="3"/>
      <c r="B831" s="3"/>
      <c r="C831" s="29"/>
      <c r="D831" s="153" t="str">
        <f>Asset10</f>
        <v>IT Systems</v>
      </c>
      <c r="E831" s="3"/>
      <c r="F831" s="3"/>
      <c r="G831" s="1299">
        <f>'RFM input'!M16</f>
        <v>1.7759482827910556E-2</v>
      </c>
      <c r="H831" s="1297">
        <f t="shared" ref="H831:Q831" si="21">H21*H$7</f>
        <v>0</v>
      </c>
      <c r="I831" s="1297">
        <f t="shared" si="21"/>
        <v>1.7795101710741917E-3</v>
      </c>
      <c r="J831" s="1297">
        <f t="shared" si="21"/>
        <v>0</v>
      </c>
      <c r="K831" s="1297">
        <f t="shared" si="21"/>
        <v>1.047478717435407</v>
      </c>
      <c r="L831" s="1297">
        <f t="shared" si="21"/>
        <v>6.2960173790787738E-9</v>
      </c>
      <c r="M831" s="1297">
        <f t="shared" si="21"/>
        <v>0</v>
      </c>
      <c r="N831" s="1297">
        <f t="shared" si="21"/>
        <v>0</v>
      </c>
      <c r="O831" s="1297">
        <f t="shared" si="21"/>
        <v>0</v>
      </c>
      <c r="P831" s="1297">
        <f t="shared" si="21"/>
        <v>0</v>
      </c>
      <c r="Q831" s="1297">
        <f t="shared" si="21"/>
        <v>0</v>
      </c>
      <c r="R831" s="1269"/>
      <c r="S831" s="75"/>
      <c r="T831" s="74"/>
      <c r="U831" s="74"/>
      <c r="V831" s="74"/>
      <c r="W831" s="74"/>
      <c r="X831" s="74"/>
      <c r="Y831" s="74"/>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v>
      </c>
      <c r="O832" s="1297">
        <f t="shared" si="22"/>
        <v>0</v>
      </c>
      <c r="P832" s="1297">
        <f t="shared" si="22"/>
        <v>0</v>
      </c>
      <c r="Q832" s="1297">
        <f t="shared" si="22"/>
        <v>0</v>
      </c>
      <c r="R832" s="1269"/>
      <c r="S832" s="75"/>
      <c r="T832" s="74"/>
      <c r="U832" s="74"/>
      <c r="V832" s="74"/>
      <c r="W832" s="74"/>
      <c r="X832" s="74"/>
      <c r="Y832" s="74"/>
      <c r="Z832" s="75"/>
    </row>
    <row r="833" spans="1:26" hidden="1" outlineLevel="1">
      <c r="A833" s="3"/>
      <c r="B833" s="3"/>
      <c r="C833" s="29"/>
      <c r="D833" s="153" t="str">
        <f>Asset12</f>
        <v>Shared supporting assets</v>
      </c>
      <c r="E833" s="3"/>
      <c r="F833" s="3"/>
      <c r="G833" s="1299">
        <f>'RFM input'!M18</f>
        <v>1.8843988312226876</v>
      </c>
      <c r="H833" s="1297">
        <f t="shared" ref="H833:Q833" si="23">H23*H$7</f>
        <v>0.61150001969340984</v>
      </c>
      <c r="I833" s="1297">
        <f t="shared" si="23"/>
        <v>1.0218625686817637</v>
      </c>
      <c r="J833" s="1297">
        <f t="shared" si="23"/>
        <v>1.6152620563536699</v>
      </c>
      <c r="K833" s="1297">
        <f t="shared" si="23"/>
        <v>1.0883179007516188</v>
      </c>
      <c r="L833" s="1297">
        <f t="shared" si="23"/>
        <v>0.64174711002691454</v>
      </c>
      <c r="M833" s="1297">
        <f t="shared" si="23"/>
        <v>3.1891469391411436</v>
      </c>
      <c r="N833" s="1297">
        <f t="shared" si="23"/>
        <v>0</v>
      </c>
      <c r="O833" s="1297">
        <f t="shared" si="23"/>
        <v>0</v>
      </c>
      <c r="P833" s="1297">
        <f t="shared" si="23"/>
        <v>0</v>
      </c>
      <c r="Q833" s="1297">
        <f t="shared" si="23"/>
        <v>0</v>
      </c>
      <c r="R833" s="1269"/>
      <c r="S833" s="75"/>
      <c r="T833" s="74"/>
      <c r="U833" s="74"/>
      <c r="V833" s="74"/>
      <c r="W833" s="74"/>
      <c r="X833" s="74"/>
      <c r="Y833" s="74"/>
      <c r="Z833" s="75"/>
    </row>
    <row r="834" spans="1:26" hidden="1" outlineLevel="1">
      <c r="A834" s="3"/>
      <c r="B834" s="3"/>
      <c r="C834" s="29"/>
      <c r="D834" s="153" t="str">
        <f>Asset13</f>
        <v>Shared leased assets</v>
      </c>
      <c r="E834" s="3"/>
      <c r="F834" s="3"/>
      <c r="G834" s="1299">
        <f>'RFM input'!M19</f>
        <v>0</v>
      </c>
      <c r="H834" s="1297">
        <f t="shared" ref="H834:Q834" si="24">H24*H$7</f>
        <v>0</v>
      </c>
      <c r="I834" s="1297">
        <f t="shared" si="24"/>
        <v>0</v>
      </c>
      <c r="J834" s="1297">
        <f t="shared" si="24"/>
        <v>0</v>
      </c>
      <c r="K834" s="1297">
        <f t="shared" si="24"/>
        <v>0.887231891481851</v>
      </c>
      <c r="L834" s="1297">
        <f t="shared" si="24"/>
        <v>0.20668420173566338</v>
      </c>
      <c r="M834" s="1297">
        <f t="shared" si="24"/>
        <v>0.2412043942756954</v>
      </c>
      <c r="N834" s="1297">
        <f t="shared" si="24"/>
        <v>0</v>
      </c>
      <c r="O834" s="1297">
        <f t="shared" si="24"/>
        <v>0</v>
      </c>
      <c r="P834" s="1297">
        <f t="shared" si="24"/>
        <v>0</v>
      </c>
      <c r="Q834" s="1297">
        <f t="shared" si="24"/>
        <v>0</v>
      </c>
      <c r="R834" s="1269"/>
      <c r="S834" s="75"/>
      <c r="T834" s="74"/>
      <c r="U834" s="74"/>
      <c r="V834" s="74"/>
      <c r="W834" s="74"/>
      <c r="X834" s="74"/>
      <c r="Y834" s="74"/>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4"/>
      <c r="U835" s="74"/>
      <c r="V835" s="74"/>
      <c r="W835" s="74"/>
      <c r="X835" s="74"/>
      <c r="Y835" s="74"/>
      <c r="Z835" s="75"/>
    </row>
    <row r="836" spans="1:26" hidden="1" outlineLevel="1">
      <c r="A836" s="3"/>
      <c r="B836" s="3"/>
      <c r="C836" s="29"/>
      <c r="D836" s="153">
        <f>Asset15</f>
        <v>0</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v>
      </c>
      <c r="O836" s="1297">
        <f t="shared" si="26"/>
        <v>0</v>
      </c>
      <c r="P836" s="1297">
        <f t="shared" si="26"/>
        <v>0</v>
      </c>
      <c r="Q836" s="1297">
        <f t="shared" si="26"/>
        <v>0</v>
      </c>
      <c r="R836" s="1269"/>
      <c r="S836" s="75"/>
      <c r="T836" s="74"/>
      <c r="U836" s="74"/>
      <c r="V836" s="74"/>
      <c r="W836" s="74"/>
      <c r="X836" s="74"/>
      <c r="Y836" s="74"/>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4"/>
      <c r="U837" s="74"/>
      <c r="V837" s="74"/>
      <c r="W837" s="74"/>
      <c r="X837" s="74"/>
      <c r="Y837" s="74"/>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4"/>
      <c r="U838" s="74"/>
      <c r="V838" s="74"/>
      <c r="W838" s="74"/>
      <c r="X838" s="74"/>
      <c r="Y838" s="74"/>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4"/>
      <c r="U839" s="74"/>
      <c r="V839" s="74"/>
      <c r="W839" s="74"/>
      <c r="X839" s="74"/>
      <c r="Y839" s="74"/>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4"/>
      <c r="U840" s="74"/>
      <c r="V840" s="74"/>
      <c r="W840" s="74"/>
      <c r="X840" s="74"/>
      <c r="Y840" s="74"/>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4"/>
      <c r="U841" s="74"/>
      <c r="V841" s="74"/>
      <c r="W841" s="74"/>
      <c r="X841" s="74"/>
      <c r="Y841" s="74"/>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4"/>
      <c r="U842" s="74"/>
      <c r="V842" s="74"/>
      <c r="W842" s="74"/>
      <c r="X842" s="74"/>
      <c r="Y842" s="74"/>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4"/>
      <c r="U843" s="74"/>
      <c r="V843" s="74"/>
      <c r="W843" s="74"/>
      <c r="X843" s="74"/>
      <c r="Y843" s="74"/>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4"/>
      <c r="U844" s="74"/>
      <c r="V844" s="74"/>
      <c r="W844" s="74"/>
      <c r="X844" s="74"/>
      <c r="Y844" s="74"/>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4"/>
      <c r="U845" s="74"/>
      <c r="V845" s="74"/>
      <c r="W845" s="74"/>
      <c r="X845" s="74"/>
      <c r="Y845" s="74"/>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4"/>
      <c r="U846" s="74"/>
      <c r="V846" s="74"/>
      <c r="W846" s="74"/>
      <c r="X846" s="74"/>
      <c r="Y846" s="74"/>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4"/>
      <c r="U847" s="74"/>
      <c r="V847" s="74"/>
      <c r="W847" s="74"/>
      <c r="X847" s="74"/>
      <c r="Y847" s="74"/>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4"/>
      <c r="U848" s="74"/>
      <c r="V848" s="74"/>
      <c r="W848" s="74"/>
      <c r="X848" s="74"/>
      <c r="Y848" s="74"/>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4"/>
      <c r="U849" s="74"/>
      <c r="V849" s="74"/>
      <c r="W849" s="74"/>
      <c r="X849" s="74"/>
      <c r="Y849" s="74"/>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4"/>
      <c r="U850" s="74"/>
      <c r="V850" s="74"/>
      <c r="W850" s="74"/>
      <c r="X850" s="74"/>
      <c r="Y850" s="74"/>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4"/>
      <c r="U851" s="74"/>
      <c r="V851" s="74"/>
      <c r="W851" s="74"/>
      <c r="X851" s="74"/>
      <c r="Y851" s="74"/>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4"/>
      <c r="U852" s="74"/>
      <c r="V852" s="74"/>
      <c r="W852" s="74"/>
      <c r="X852" s="74"/>
      <c r="Y852" s="74"/>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4"/>
      <c r="U853" s="74"/>
      <c r="V853" s="74"/>
      <c r="W853" s="74"/>
      <c r="X853" s="74"/>
      <c r="Y853" s="74"/>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4"/>
      <c r="U854" s="74"/>
      <c r="V854" s="74"/>
      <c r="W854" s="74"/>
      <c r="X854" s="74"/>
      <c r="Y854" s="74"/>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4"/>
      <c r="U855" s="74"/>
      <c r="V855" s="74"/>
      <c r="W855" s="74"/>
      <c r="X855" s="74"/>
      <c r="Y855" s="74"/>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4"/>
      <c r="U856" s="74"/>
      <c r="V856" s="74"/>
      <c r="W856" s="74"/>
      <c r="X856" s="74"/>
      <c r="Y856" s="74"/>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4"/>
      <c r="U857" s="74"/>
      <c r="V857" s="74"/>
      <c r="W857" s="74"/>
      <c r="X857" s="74"/>
      <c r="Y857" s="74"/>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4"/>
      <c r="U858" s="74"/>
      <c r="V858" s="74"/>
      <c r="W858" s="74"/>
      <c r="X858" s="74"/>
      <c r="Y858" s="74"/>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4"/>
      <c r="U859" s="74"/>
      <c r="V859" s="74"/>
      <c r="W859" s="74"/>
      <c r="X859" s="74"/>
      <c r="Y859" s="74"/>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4"/>
      <c r="U860" s="74"/>
      <c r="V860" s="74"/>
      <c r="W860" s="74"/>
      <c r="X860" s="74"/>
      <c r="Y860" s="74"/>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4"/>
      <c r="U861" s="74"/>
      <c r="V861" s="74"/>
      <c r="W861" s="74"/>
      <c r="X861" s="74"/>
      <c r="Y861" s="74"/>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4"/>
      <c r="U862" s="74"/>
      <c r="V862" s="74"/>
      <c r="W862" s="74"/>
      <c r="X862" s="74"/>
      <c r="Y862" s="74"/>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4"/>
      <c r="U863" s="74"/>
      <c r="V863" s="74"/>
      <c r="W863" s="74"/>
      <c r="X863" s="74"/>
      <c r="Y863" s="74"/>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4"/>
      <c r="U864" s="74"/>
      <c r="V864" s="74"/>
      <c r="W864" s="74"/>
      <c r="X864" s="74"/>
      <c r="Y864" s="74"/>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4"/>
      <c r="U865" s="74"/>
      <c r="V865" s="74"/>
      <c r="W865" s="74"/>
      <c r="X865" s="74"/>
      <c r="Y865" s="74"/>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4"/>
      <c r="U866" s="74"/>
      <c r="V866" s="74"/>
      <c r="W866" s="74"/>
      <c r="X866" s="74"/>
      <c r="Y866" s="74"/>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4"/>
      <c r="U867" s="74"/>
      <c r="V867" s="74"/>
      <c r="W867" s="74"/>
      <c r="X867" s="74"/>
      <c r="Y867" s="74"/>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4"/>
      <c r="U868" s="74"/>
      <c r="V868" s="74"/>
      <c r="W868" s="74"/>
      <c r="X868" s="74"/>
      <c r="Y868" s="74"/>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4"/>
      <c r="U869" s="74"/>
      <c r="V869" s="74"/>
      <c r="W869" s="74"/>
      <c r="X869" s="74"/>
      <c r="Y869" s="74"/>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4"/>
      <c r="U870" s="74"/>
      <c r="V870" s="74"/>
      <c r="W870" s="74"/>
      <c r="X870" s="74"/>
      <c r="Y870" s="74"/>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4"/>
      <c r="U871" s="74"/>
      <c r="V871" s="74"/>
      <c r="W871" s="74"/>
      <c r="X871" s="74"/>
      <c r="Y871" s="74"/>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4"/>
      <c r="U872" s="74"/>
      <c r="V872" s="74"/>
      <c r="W872" s="74"/>
      <c r="X872" s="74"/>
      <c r="Y872" s="74"/>
      <c r="Z872" s="75"/>
    </row>
    <row r="873" spans="1:26">
      <c r="A873" s="3"/>
      <c r="B873" s="3"/>
      <c r="C873" s="268" t="str">
        <f>"Nominal "&amp;'RFM input'!$G$398&amp; " Regulatory Depreciation"</f>
        <v>Nominal Actual Regulatory Depreciation</v>
      </c>
      <c r="D873" s="204"/>
      <c r="F873" s="3"/>
      <c r="G873" s="1298">
        <f>SUM(G874:G923)</f>
        <v>-7.0704147621636491</v>
      </c>
      <c r="H873" s="1306">
        <f t="shared" ref="H873:Q873" si="62">SUM(H874:H923)</f>
        <v>-3.8755344768128555</v>
      </c>
      <c r="I873" s="1306">
        <f t="shared" si="62"/>
        <v>-3.4737568222883874</v>
      </c>
      <c r="J873" s="1306">
        <f t="shared" si="62"/>
        <v>-5.3318439452289415</v>
      </c>
      <c r="K873" s="1306">
        <f t="shared" si="62"/>
        <v>-11.932473355689995</v>
      </c>
      <c r="L873" s="1306">
        <f t="shared" si="62"/>
        <v>3.4514360483710873</v>
      </c>
      <c r="M873" s="1306">
        <f t="shared" si="62"/>
        <v>10.508493021262796</v>
      </c>
      <c r="N873" s="1306">
        <f t="shared" si="62"/>
        <v>-9.471453663688024</v>
      </c>
      <c r="O873" s="1306">
        <f t="shared" si="62"/>
        <v>-9.096268961413509</v>
      </c>
      <c r="P873" s="1306">
        <f t="shared" si="62"/>
        <v>-8.7357653414025389</v>
      </c>
      <c r="Q873" s="1306">
        <f t="shared" si="62"/>
        <v>-8.0716470573097769</v>
      </c>
      <c r="R873" s="1269"/>
      <c r="S873" s="75"/>
      <c r="T873" s="74"/>
      <c r="U873" s="74"/>
      <c r="V873" s="74"/>
      <c r="W873" s="74"/>
      <c r="X873" s="74"/>
      <c r="Y873" s="74"/>
      <c r="Z873" s="75"/>
    </row>
    <row r="874" spans="1:26" ht="12.75" hidden="1" customHeight="1" outlineLevel="1">
      <c r="A874" s="3"/>
      <c r="B874" s="3"/>
      <c r="C874" s="29"/>
      <c r="D874" s="153" t="str">
        <f>Asset1</f>
        <v>Pipelines</v>
      </c>
      <c r="E874" s="3"/>
      <c r="F874" s="3"/>
      <c r="G874" s="1299">
        <f>-'RFM input'!O7</f>
        <v>-1.4989512643824603</v>
      </c>
      <c r="H874" s="1297">
        <f t="shared" ref="H874:Q874" si="63">H1084+H1136</f>
        <v>0.73891834149090174</v>
      </c>
      <c r="I874" s="1297">
        <f t="shared" si="63"/>
        <v>1.0226279485711429</v>
      </c>
      <c r="J874" s="1297">
        <f t="shared" si="63"/>
        <v>-0.20208160337490844</v>
      </c>
      <c r="K874" s="1297">
        <f t="shared" si="63"/>
        <v>-4.9272614408202386</v>
      </c>
      <c r="L874" s="1297">
        <f t="shared" si="63"/>
        <v>4.9963899432730754</v>
      </c>
      <c r="M874" s="1297">
        <f t="shared" si="63"/>
        <v>10.609336053846391</v>
      </c>
      <c r="N874" s="1297">
        <f t="shared" si="63"/>
        <v>-4.5211323460700648</v>
      </c>
      <c r="O874" s="1297">
        <f t="shared" si="63"/>
        <v>-4.5211323460700648</v>
      </c>
      <c r="P874" s="1297">
        <f t="shared" si="63"/>
        <v>-4.5211323460700648</v>
      </c>
      <c r="Q874" s="1297">
        <f t="shared" si="63"/>
        <v>-4.5211323460700648</v>
      </c>
      <c r="R874" s="1269"/>
      <c r="S874" s="75"/>
      <c r="T874" s="74"/>
      <c r="U874" s="75"/>
      <c r="V874" s="75"/>
      <c r="W874" s="75"/>
      <c r="X874" s="75"/>
      <c r="Y874" s="75"/>
      <c r="Z874" s="75"/>
    </row>
    <row r="875" spans="1:26" ht="12.75" hidden="1" customHeight="1" outlineLevel="1">
      <c r="A875" s="3"/>
      <c r="B875" s="3"/>
      <c r="C875" s="29"/>
      <c r="D875" s="153" t="str">
        <f>Asset2</f>
        <v>Compressors</v>
      </c>
      <c r="E875" s="3"/>
      <c r="F875" s="3"/>
      <c r="G875" s="1299">
        <f>-'RFM input'!O8</f>
        <v>-1.1958344001278152</v>
      </c>
      <c r="H875" s="1297">
        <f t="shared" ref="H875:Q875" si="64">H1085+H1137</f>
        <v>-0.79766345416346507</v>
      </c>
      <c r="I875" s="1297">
        <f t="shared" si="64"/>
        <v>-0.78868738738534006</v>
      </c>
      <c r="J875" s="1297">
        <f t="shared" si="64"/>
        <v>-1.0443893567271409</v>
      </c>
      <c r="K875" s="1297">
        <f t="shared" si="64"/>
        <v>-1.8962081145698721</v>
      </c>
      <c r="L875" s="1297">
        <f t="shared" si="64"/>
        <v>-0.22399808209630323</v>
      </c>
      <c r="M875" s="1297">
        <f t="shared" si="64"/>
        <v>0.62775778410540406</v>
      </c>
      <c r="N875" s="1297">
        <f t="shared" si="64"/>
        <v>-1.9506537999675477</v>
      </c>
      <c r="O875" s="1297">
        <f t="shared" si="64"/>
        <v>-1.9506537999675477</v>
      </c>
      <c r="P875" s="1297">
        <f t="shared" si="64"/>
        <v>-1.9506537999675477</v>
      </c>
      <c r="Q875" s="1297">
        <f t="shared" si="64"/>
        <v>-1.9506537999675477</v>
      </c>
      <c r="R875" s="1269"/>
      <c r="S875" s="75"/>
      <c r="T875" s="74"/>
      <c r="U875" s="75"/>
      <c r="V875" s="75"/>
      <c r="W875" s="75"/>
      <c r="X875" s="75"/>
      <c r="Y875" s="75"/>
      <c r="Z875" s="75"/>
    </row>
    <row r="876" spans="1:26" ht="12.75" hidden="1" customHeight="1" outlineLevel="1">
      <c r="A876" s="3"/>
      <c r="B876" s="3"/>
      <c r="C876" s="29"/>
      <c r="D876" s="153" t="str">
        <f>Asset3</f>
        <v>City Gates, supply regulators and valve stations</v>
      </c>
      <c r="E876" s="3"/>
      <c r="F876" s="3"/>
      <c r="G876" s="1299">
        <f>-'RFM input'!O9</f>
        <v>-1.489441567747569E-3</v>
      </c>
      <c r="H876" s="1297">
        <f t="shared" ref="H876:Q876" si="65">H1086+H1138</f>
        <v>-4.4498500772610205E-4</v>
      </c>
      <c r="I876" s="1297">
        <f t="shared" si="65"/>
        <v>-3.3629510455895776E-4</v>
      </c>
      <c r="J876" s="1297">
        <f t="shared" si="65"/>
        <v>-9.730140201112986E-4</v>
      </c>
      <c r="K876" s="1297">
        <f t="shared" si="65"/>
        <v>-3.3045048715863068E-3</v>
      </c>
      <c r="L876" s="1297">
        <f t="shared" si="65"/>
        <v>1.4843997143105642E-3</v>
      </c>
      <c r="M876" s="1297">
        <f t="shared" si="65"/>
        <v>4.0770505183102199E-3</v>
      </c>
      <c r="N876" s="1297">
        <f t="shared" si="65"/>
        <v>-3.182141681656727E-3</v>
      </c>
      <c r="O876" s="1297">
        <f t="shared" si="65"/>
        <v>-3.182141681656727E-3</v>
      </c>
      <c r="P876" s="1297">
        <f t="shared" si="65"/>
        <v>-3.182141681656727E-3</v>
      </c>
      <c r="Q876" s="1297">
        <f t="shared" si="65"/>
        <v>-3.182141681656727E-3</v>
      </c>
      <c r="R876" s="1269"/>
      <c r="S876" s="75"/>
      <c r="T876" s="74"/>
      <c r="U876" s="75"/>
      <c r="V876" s="75"/>
      <c r="W876" s="75"/>
      <c r="X876" s="75"/>
      <c r="Y876" s="75"/>
      <c r="Z876" s="75"/>
    </row>
    <row r="877" spans="1:26" ht="12.75" hidden="1" customHeight="1" outlineLevel="1">
      <c r="A877" s="3"/>
      <c r="B877" s="3"/>
      <c r="C877" s="29"/>
      <c r="D877" s="153" t="str">
        <f>Asset4</f>
        <v>Metering</v>
      </c>
      <c r="E877" s="3"/>
      <c r="F877" s="3"/>
      <c r="G877" s="1299">
        <f>-'RFM input'!O10</f>
        <v>-0.15362390739847637</v>
      </c>
      <c r="H877" s="1297">
        <f t="shared" ref="H877:Q877" si="66">H1087+H1139</f>
        <v>-7.2652861258534457E-2</v>
      </c>
      <c r="I877" s="1297">
        <f t="shared" si="66"/>
        <v>-6.7106129660572805E-2</v>
      </c>
      <c r="J877" s="1297">
        <f t="shared" si="66"/>
        <v>-0.11109179947371299</v>
      </c>
      <c r="K877" s="1297">
        <f t="shared" si="66"/>
        <v>-0.26583898851862137</v>
      </c>
      <c r="L877" s="1297">
        <f t="shared" si="66"/>
        <v>4.7201946988999377E-2</v>
      </c>
      <c r="M877" s="1297">
        <f t="shared" si="66"/>
        <v>0.21152195394959517</v>
      </c>
      <c r="N877" s="1297">
        <f t="shared" si="66"/>
        <v>-0.27176253526052696</v>
      </c>
      <c r="O877" s="1297">
        <f t="shared" si="66"/>
        <v>-0.27176253526052696</v>
      </c>
      <c r="P877" s="1297">
        <f t="shared" si="66"/>
        <v>-0.27176253526052696</v>
      </c>
      <c r="Q877" s="1297">
        <f t="shared" si="66"/>
        <v>-0.27176253526052696</v>
      </c>
      <c r="R877" s="1269"/>
      <c r="S877" s="75"/>
      <c r="T877" s="74"/>
      <c r="U877" s="75"/>
      <c r="V877" s="75"/>
      <c r="W877" s="75"/>
      <c r="X877" s="75"/>
      <c r="Y877" s="75"/>
      <c r="Z877" s="75"/>
    </row>
    <row r="878" spans="1:26" ht="12.75" hidden="1" customHeight="1" outlineLevel="1">
      <c r="A878" s="3"/>
      <c r="B878" s="3"/>
      <c r="C878" s="29"/>
      <c r="D878" s="153" t="str">
        <f>Asset5</f>
        <v>Odourant plants</v>
      </c>
      <c r="E878" s="3"/>
      <c r="F878" s="3"/>
      <c r="G878" s="1299">
        <f>-'RFM input'!O11</f>
        <v>-2.9565952932909508E-4</v>
      </c>
      <c r="H878" s="1297">
        <f t="shared" ref="H878:Q878" si="67">H1088+H1140</f>
        <v>6.6999520052371292E-4</v>
      </c>
      <c r="I878" s="1297">
        <f t="shared" si="67"/>
        <v>8.0871746100991625E-4</v>
      </c>
      <c r="J878" s="1297">
        <f t="shared" si="67"/>
        <v>2.8091636637681862E-4</v>
      </c>
      <c r="K878" s="1297">
        <f t="shared" si="67"/>
        <v>-1.8083062029569834E-3</v>
      </c>
      <c r="L878" s="1297">
        <f t="shared" si="67"/>
        <v>2.6022312611591165E-3</v>
      </c>
      <c r="M878" s="1297">
        <f t="shared" si="67"/>
        <v>5.1178450179374252E-3</v>
      </c>
      <c r="N878" s="1297">
        <f t="shared" si="67"/>
        <v>-1.5779790789579146E-3</v>
      </c>
      <c r="O878" s="1297">
        <f t="shared" si="67"/>
        <v>-1.5779790789579146E-3</v>
      </c>
      <c r="P878" s="1297">
        <f t="shared" si="67"/>
        <v>-1.5779790789579146E-3</v>
      </c>
      <c r="Q878" s="1297">
        <f t="shared" si="67"/>
        <v>-1.5779790789579146E-3</v>
      </c>
      <c r="R878" s="1269"/>
      <c r="S878" s="75"/>
      <c r="T878" s="74"/>
      <c r="U878" s="75"/>
      <c r="V878" s="75"/>
      <c r="W878" s="75"/>
      <c r="X878" s="75"/>
      <c r="Y878" s="75"/>
      <c r="Z878" s="75"/>
    </row>
    <row r="879" spans="1:26" ht="12.75" hidden="1" customHeight="1" outlineLevel="1">
      <c r="A879" s="3"/>
      <c r="B879" s="3"/>
      <c r="C879" s="29"/>
      <c r="D879" s="153" t="str">
        <f>Asset6</f>
        <v>SCADA (Communications)</v>
      </c>
      <c r="E879" s="3"/>
      <c r="F879" s="3"/>
      <c r="G879" s="1299">
        <f>-'RFM input'!O12</f>
        <v>-6.8046661766916261E-2</v>
      </c>
      <c r="H879" s="1297">
        <f t="shared" ref="H879:Q879" si="68">H1089+H1141</f>
        <v>-0.10214896778133697</v>
      </c>
      <c r="I879" s="1297">
        <f t="shared" si="68"/>
        <v>-0.10445273786585742</v>
      </c>
      <c r="J879" s="1297">
        <f t="shared" si="68"/>
        <v>-0.12187582388395277</v>
      </c>
      <c r="K879" s="1297">
        <f t="shared" si="68"/>
        <v>-0.18322024926753303</v>
      </c>
      <c r="L879" s="1297">
        <f t="shared" si="68"/>
        <v>-0.11324837311437008</v>
      </c>
      <c r="M879" s="1297">
        <f t="shared" si="68"/>
        <v>-8.0854339294444869E-2</v>
      </c>
      <c r="N879" s="1297">
        <f t="shared" si="68"/>
        <v>-0.21099009284584458</v>
      </c>
      <c r="O879" s="1297">
        <f t="shared" si="68"/>
        <v>-0.21099009284584458</v>
      </c>
      <c r="P879" s="1297">
        <f t="shared" si="68"/>
        <v>-0.21099009284584458</v>
      </c>
      <c r="Q879" s="1297">
        <f t="shared" si="68"/>
        <v>-0.21099009284584458</v>
      </c>
      <c r="R879" s="1269"/>
      <c r="S879" s="75"/>
      <c r="T879" s="74"/>
      <c r="U879" s="75"/>
      <c r="V879" s="75"/>
      <c r="W879" s="75"/>
      <c r="X879" s="75"/>
      <c r="Y879" s="75"/>
      <c r="Z879" s="75"/>
    </row>
    <row r="880" spans="1:26" ht="12.75" hidden="1" customHeight="1" outlineLevel="1">
      <c r="A880" s="3"/>
      <c r="B880" s="3"/>
      <c r="C880" s="29"/>
      <c r="D880" s="153" t="str">
        <f>Asset7</f>
        <v>Buildings</v>
      </c>
      <c r="E880" s="3"/>
      <c r="F880" s="3"/>
      <c r="G880" s="1299">
        <f>-'RFM input'!O13</f>
        <v>-2.5871909855946493E-2</v>
      </c>
      <c r="H880" s="1297">
        <f t="shared" ref="H880:Q880" si="69">H1090+H1142</f>
        <v>1.3973914966089407E-2</v>
      </c>
      <c r="I880" s="1297">
        <f t="shared" si="69"/>
        <v>1.9059948352104131E-2</v>
      </c>
      <c r="J880" s="1297">
        <f t="shared" si="69"/>
        <v>-2.7279195027840319E-3</v>
      </c>
      <c r="K880" s="1297">
        <f t="shared" si="69"/>
        <v>-8.6909788501775942E-2</v>
      </c>
      <c r="L880" s="1297">
        <f t="shared" si="69"/>
        <v>8.9352640299067657E-2</v>
      </c>
      <c r="M880" s="1297">
        <f t="shared" si="69"/>
        <v>0.18837127114338975</v>
      </c>
      <c r="N880" s="1297">
        <f t="shared" si="69"/>
        <v>-7.9099582203569607E-2</v>
      </c>
      <c r="O880" s="1297">
        <f t="shared" si="69"/>
        <v>-7.9099582203569607E-2</v>
      </c>
      <c r="P880" s="1297">
        <f t="shared" si="69"/>
        <v>-7.9099582203569607E-2</v>
      </c>
      <c r="Q880" s="1297">
        <f t="shared" si="69"/>
        <v>-7.9099582203569607E-2</v>
      </c>
      <c r="R880" s="1269"/>
      <c r="S880" s="75"/>
      <c r="T880" s="74"/>
      <c r="U880" s="75"/>
      <c r="V880" s="75"/>
      <c r="W880" s="75"/>
      <c r="X880" s="75"/>
      <c r="Y880" s="75"/>
      <c r="Z880" s="75"/>
    </row>
    <row r="881" spans="1:26" ht="12.75" hidden="1" customHeight="1" outlineLevel="1">
      <c r="A881" s="3"/>
      <c r="B881" s="3"/>
      <c r="C881" s="29"/>
      <c r="D881" s="153" t="str">
        <f>Asset8</f>
        <v>Land and easements</v>
      </c>
      <c r="E881" s="3"/>
      <c r="F881" s="3"/>
      <c r="G881" s="1299">
        <f>-'RFM input'!O14</f>
        <v>1.364493646832721E-4</v>
      </c>
      <c r="H881" s="1297">
        <f t="shared" ref="H881:Q881" si="70">H1091+H1143</f>
        <v>2.6049424166806631E-4</v>
      </c>
      <c r="I881" s="1297">
        <f t="shared" si="70"/>
        <v>2.8530321706502594E-4</v>
      </c>
      <c r="J881" s="1297">
        <f t="shared" si="70"/>
        <v>2.2328077857262918E-4</v>
      </c>
      <c r="K881" s="1297">
        <f t="shared" si="70"/>
        <v>-4.9617950793916976E-5</v>
      </c>
      <c r="L881" s="1297">
        <f t="shared" si="70"/>
        <v>5.4579745873308927E-4</v>
      </c>
      <c r="M881" s="1297">
        <f t="shared" si="70"/>
        <v>9.0552760198899169E-4</v>
      </c>
      <c r="N881" s="1297">
        <f t="shared" si="70"/>
        <v>0</v>
      </c>
      <c r="O881" s="1297">
        <f t="shared" si="70"/>
        <v>0</v>
      </c>
      <c r="P881" s="1297">
        <f t="shared" si="70"/>
        <v>0</v>
      </c>
      <c r="Q881" s="1297">
        <f t="shared" si="70"/>
        <v>0</v>
      </c>
      <c r="R881" s="1269"/>
      <c r="S881" s="75"/>
      <c r="T881" s="74"/>
      <c r="U881" s="75"/>
      <c r="V881" s="75"/>
      <c r="W881" s="75"/>
      <c r="X881" s="75"/>
      <c r="Y881" s="75"/>
      <c r="Z881" s="75"/>
    </row>
    <row r="882" spans="1:26" ht="12.75" hidden="1" customHeight="1" outlineLevel="1">
      <c r="A882" s="3"/>
      <c r="B882" s="3"/>
      <c r="C882" s="29"/>
      <c r="D882" s="153" t="str">
        <f>Asset9</f>
        <v>Other depreciable pipeline assets</v>
      </c>
      <c r="E882" s="3"/>
      <c r="F882" s="3"/>
      <c r="G882" s="1299">
        <f>-'RFM input'!O15</f>
        <v>-2.525213112008437E-2</v>
      </c>
      <c r="H882" s="1297">
        <f t="shared" ref="H882:Q882" si="71">H1092+H1144</f>
        <v>3.731106018850644E-2</v>
      </c>
      <c r="I882" s="1297">
        <f t="shared" si="71"/>
        <v>4.6143669653545494E-2</v>
      </c>
      <c r="J882" s="1297">
        <f t="shared" si="71"/>
        <v>1.2907141493227484E-2</v>
      </c>
      <c r="K882" s="1297">
        <f t="shared" si="71"/>
        <v>-0.13250874655544953</v>
      </c>
      <c r="L882" s="1297">
        <f t="shared" si="71"/>
        <v>0.17784061862727679</v>
      </c>
      <c r="M882" s="1297">
        <f t="shared" si="71"/>
        <v>0.35916930412688797</v>
      </c>
      <c r="N882" s="1297">
        <f t="shared" si="71"/>
        <v>-0.11798025655912527</v>
      </c>
      <c r="O882" s="1297">
        <f t="shared" si="71"/>
        <v>-0.11798025655912527</v>
      </c>
      <c r="P882" s="1297">
        <f t="shared" si="71"/>
        <v>-0.11798025655912527</v>
      </c>
      <c r="Q882" s="1297">
        <f t="shared" si="71"/>
        <v>-0.11798025655912527</v>
      </c>
      <c r="R882" s="1269"/>
      <c r="S882" s="75"/>
      <c r="T882" s="74"/>
      <c r="U882" s="75"/>
      <c r="V882" s="75"/>
      <c r="W882" s="75"/>
      <c r="X882" s="75"/>
      <c r="Y882" s="75"/>
      <c r="Z882" s="75"/>
    </row>
    <row r="883" spans="1:26" ht="12.75" hidden="1" customHeight="1" outlineLevel="1">
      <c r="A883" s="3"/>
      <c r="B883" s="3"/>
      <c r="C883" s="29"/>
      <c r="D883" s="153" t="str">
        <f>Asset10</f>
        <v>IT Systems</v>
      </c>
      <c r="E883" s="3"/>
      <c r="F883" s="3"/>
      <c r="G883" s="1299">
        <f>-'RFM input'!O16</f>
        <v>-0.50363763004232787</v>
      </c>
      <c r="H883" s="1297">
        <f t="shared" ref="H883:Q883" si="72">H1093+H1145</f>
        <v>-0.44274810059884662</v>
      </c>
      <c r="I883" s="1297">
        <f t="shared" si="72"/>
        <v>-0.12451418335165433</v>
      </c>
      <c r="J883" s="1297">
        <f t="shared" si="72"/>
        <v>-2.4729582654741636E-4</v>
      </c>
      <c r="K883" s="1297">
        <f t="shared" si="72"/>
        <v>-3.9359569146471535E-4</v>
      </c>
      <c r="L883" s="1297">
        <f t="shared" si="72"/>
        <v>-0.16859051018658566</v>
      </c>
      <c r="M883" s="1297">
        <f t="shared" si="72"/>
        <v>-0.16276333637926621</v>
      </c>
      <c r="N883" s="1297">
        <f t="shared" si="72"/>
        <v>-0.23052225482483932</v>
      </c>
      <c r="O883" s="1297">
        <f t="shared" si="72"/>
        <v>-0.23011684157719262</v>
      </c>
      <c r="P883" s="1297">
        <f t="shared" si="72"/>
        <v>-0.23011684157719262</v>
      </c>
      <c r="Q883" s="1297">
        <f t="shared" si="72"/>
        <v>-1.3879856494787295E-9</v>
      </c>
      <c r="R883" s="1269"/>
      <c r="S883" s="75"/>
      <c r="T883" s="74"/>
      <c r="U883" s="75"/>
      <c r="V883" s="75"/>
      <c r="W883" s="75"/>
      <c r="X883" s="75"/>
      <c r="Y883" s="75"/>
      <c r="Z883" s="75"/>
    </row>
    <row r="884" spans="1:26" ht="12.75" hidden="1" customHeight="1" outlineLevel="1">
      <c r="A884" s="3"/>
      <c r="B884" s="3"/>
      <c r="C884" s="29"/>
      <c r="D884" s="153" t="str">
        <f>Asset11</f>
        <v>Leased pipeline assets</v>
      </c>
      <c r="E884" s="3"/>
      <c r="F884" s="3"/>
      <c r="G884" s="1299">
        <f>-'RFM input'!O17</f>
        <v>-0.21332529416093537</v>
      </c>
      <c r="H884" s="1297">
        <f t="shared" ref="H884:Q884" si="73">H1094+H1146</f>
        <v>-0.20256889896766511</v>
      </c>
      <c r="I884" s="1297">
        <f t="shared" si="73"/>
        <v>-0.209100146265083</v>
      </c>
      <c r="J884" s="1297">
        <f t="shared" si="73"/>
        <v>-0.22360355380417776</v>
      </c>
      <c r="K884" s="1297">
        <f t="shared" si="73"/>
        <v>-0.2477109289043542</v>
      </c>
      <c r="L884" s="1297">
        <f t="shared" si="73"/>
        <v>-0.22028415720711114</v>
      </c>
      <c r="M884" s="1297">
        <f t="shared" si="73"/>
        <v>-0.22910974621042893</v>
      </c>
      <c r="N884" s="1297">
        <f t="shared" si="73"/>
        <v>-0.14197554935067888</v>
      </c>
      <c r="O884" s="1297">
        <f t="shared" si="73"/>
        <v>0</v>
      </c>
      <c r="P884" s="1297">
        <f t="shared" si="73"/>
        <v>0</v>
      </c>
      <c r="Q884" s="1297">
        <f t="shared" si="73"/>
        <v>0</v>
      </c>
      <c r="R884" s="1269"/>
      <c r="S884" s="75"/>
      <c r="T884" s="74"/>
      <c r="U884" s="75"/>
      <c r="V884" s="75"/>
      <c r="W884" s="75"/>
      <c r="X884" s="75"/>
      <c r="Y884" s="75"/>
      <c r="Z884" s="75"/>
    </row>
    <row r="885" spans="1:26" ht="12.75" hidden="1" customHeight="1" outlineLevel="1">
      <c r="A885" s="3"/>
      <c r="B885" s="3"/>
      <c r="C885" s="29"/>
      <c r="D885" s="153" t="str">
        <f>Asset12</f>
        <v>Shared supporting assets</v>
      </c>
      <c r="E885" s="3"/>
      <c r="F885" s="3"/>
      <c r="G885" s="1299">
        <f>-'RFM input'!O18</f>
        <v>-0.88914898024925959</v>
      </c>
      <c r="H885" s="1297">
        <f t="shared" ref="H885:Q885" si="74">H1095+H1147</f>
        <v>-0.79553104218509152</v>
      </c>
      <c r="I885" s="1297">
        <f t="shared" si="74"/>
        <v>-0.9354995018043083</v>
      </c>
      <c r="J885" s="1297">
        <f t="shared" si="74"/>
        <v>-1.1805396432585082</v>
      </c>
      <c r="K885" s="1297">
        <f t="shared" si="74"/>
        <v>-1.599154467691571</v>
      </c>
      <c r="L885" s="1297">
        <f t="shared" si="74"/>
        <v>-0.99624307620933128</v>
      </c>
      <c r="M885" s="1297">
        <f t="shared" si="74"/>
        <v>-0.85873290637613164</v>
      </c>
      <c r="N885" s="1297">
        <f t="shared" si="74"/>
        <v>-1.6508946887185159</v>
      </c>
      <c r="O885" s="1297">
        <f t="shared" si="74"/>
        <v>-1.418090949042327</v>
      </c>
      <c r="P885" s="1297">
        <f t="shared" si="74"/>
        <v>-1.0575873290313575</v>
      </c>
      <c r="Q885" s="1297">
        <f t="shared" si="74"/>
        <v>-0.81849867522512221</v>
      </c>
      <c r="R885" s="1269"/>
      <c r="S885" s="75"/>
      <c r="T885" s="74"/>
      <c r="U885" s="75"/>
      <c r="V885" s="75"/>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0</v>
      </c>
      <c r="I886" s="1297">
        <f t="shared" si="75"/>
        <v>0</v>
      </c>
      <c r="J886" s="1297">
        <f t="shared" si="75"/>
        <v>0</v>
      </c>
      <c r="K886" s="1297">
        <f t="shared" si="75"/>
        <v>0</v>
      </c>
      <c r="L886" s="1297">
        <f t="shared" si="75"/>
        <v>-0.14270379471408717</v>
      </c>
      <c r="M886" s="1297">
        <f t="shared" si="75"/>
        <v>-0.16810598379061883</v>
      </c>
      <c r="N886" s="1297">
        <f t="shared" si="75"/>
        <v>-0.29168243712669711</v>
      </c>
      <c r="O886" s="1297">
        <f t="shared" si="75"/>
        <v>-0.29168243712669711</v>
      </c>
      <c r="P886" s="1297">
        <f t="shared" si="75"/>
        <v>-0.29168243712669711</v>
      </c>
      <c r="Q886" s="1297">
        <f t="shared" si="75"/>
        <v>-9.6769647029377612E-2</v>
      </c>
      <c r="R886" s="1269"/>
      <c r="S886" s="75"/>
      <c r="T886" s="74"/>
      <c r="U886" s="75"/>
      <c r="V886" s="75"/>
      <c r="W886" s="75"/>
      <c r="X886" s="75"/>
      <c r="Y886" s="75"/>
      <c r="Z886" s="75"/>
    </row>
    <row r="887" spans="1:26" ht="12.75" hidden="1" customHeight="1" outlineLevel="1">
      <c r="A887" s="3"/>
      <c r="B887" s="3"/>
      <c r="C887" s="29"/>
      <c r="D887" s="153" t="str">
        <f>Asset14</f>
        <v>PMA - Buyout contract</v>
      </c>
      <c r="E887" s="3"/>
      <c r="F887" s="3"/>
      <c r="G887" s="1299">
        <f>-'RFM input'!O20</f>
        <v>-2.4950739313270325</v>
      </c>
      <c r="H887" s="1297">
        <f t="shared" ref="H887:Q887" si="76">H1097+H1149</f>
        <v>-2.252909972937879</v>
      </c>
      <c r="I887" s="1297">
        <f t="shared" si="76"/>
        <v>-2.3329860281058803</v>
      </c>
      <c r="J887" s="1297">
        <f t="shared" si="76"/>
        <v>-2.4577252739952744</v>
      </c>
      <c r="K887" s="1297">
        <f t="shared" si="76"/>
        <v>-2.588104606143776</v>
      </c>
      <c r="L887" s="1297">
        <f t="shared" si="76"/>
        <v>1.086464276252112E-3</v>
      </c>
      <c r="M887" s="1297">
        <f t="shared" si="76"/>
        <v>1.8025430037819186E-3</v>
      </c>
      <c r="N887" s="1297">
        <f t="shared" si="76"/>
        <v>0</v>
      </c>
      <c r="O887" s="1297">
        <f t="shared" si="76"/>
        <v>0</v>
      </c>
      <c r="P887" s="1297">
        <f t="shared" si="76"/>
        <v>0</v>
      </c>
      <c r="Q887" s="1297">
        <f t="shared" si="76"/>
        <v>0</v>
      </c>
      <c r="R887" s="1269"/>
      <c r="S887" s="75"/>
      <c r="T887" s="74"/>
      <c r="U887" s="75"/>
      <c r="V887" s="75"/>
      <c r="W887" s="75"/>
      <c r="X887" s="75"/>
      <c r="Y887" s="75"/>
      <c r="Z887" s="75"/>
    </row>
    <row r="888" spans="1:26" ht="12.75" hidden="1" customHeight="1" outlineLevel="1">
      <c r="A888" s="3"/>
      <c r="B888" s="3"/>
      <c r="C888" s="29"/>
      <c r="D888" s="153">
        <f>Asset15</f>
        <v>0</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0</v>
      </c>
      <c r="P888" s="1297">
        <f t="shared" si="77"/>
        <v>0</v>
      </c>
      <c r="Q888" s="1297">
        <f t="shared" si="77"/>
        <v>0</v>
      </c>
      <c r="R888" s="1269"/>
      <c r="S888" s="75"/>
      <c r="T888" s="74"/>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4"/>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4"/>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4"/>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4"/>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4"/>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4"/>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4"/>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4"/>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4"/>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4"/>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4"/>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4"/>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4"/>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4"/>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4"/>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4"/>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4"/>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4"/>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4"/>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4"/>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4"/>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4"/>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4"/>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4"/>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4"/>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4"/>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4"/>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4"/>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4"/>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4"/>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4"/>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4"/>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4"/>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4"/>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4"/>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4"/>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f>Asset15</f>
        <v>0</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f>Asset15</f>
        <v>0</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f>Asset15</f>
        <v>0</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-10.361488540374804</v>
      </c>
      <c r="H1083" s="1302">
        <f t="shared" ref="H1083:Q1083" si="113">SUM(H1084:H1133)</f>
        <v>-10.02341755969319</v>
      </c>
      <c r="I1083" s="1302">
        <f t="shared" si="113"/>
        <v>-10.024414010413436</v>
      </c>
      <c r="J1083" s="1302">
        <f t="shared" si="113"/>
        <v>-10.322177142246279</v>
      </c>
      <c r="K1083" s="1302">
        <f t="shared" si="113"/>
        <v>-10.850760308296231</v>
      </c>
      <c r="L1083" s="1302">
        <f t="shared" si="113"/>
        <v>-8.218927471497496</v>
      </c>
      <c r="M1083" s="1302">
        <f t="shared" si="113"/>
        <v>-8.483148752310484</v>
      </c>
      <c r="N1083" s="1302">
        <f t="shared" si="113"/>
        <v>-9.471453663688024</v>
      </c>
      <c r="O1083" s="1302">
        <f t="shared" si="113"/>
        <v>-9.096268961413509</v>
      </c>
      <c r="P1083" s="1302">
        <f t="shared" si="113"/>
        <v>-8.7357653414025389</v>
      </c>
      <c r="Q1083" s="1302">
        <f t="shared" si="113"/>
        <v>-8.0716470573097769</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-3.9503170682292978</v>
      </c>
      <c r="H1084" s="1297">
        <f>H$128*H$7</f>
        <v>-3.8701045155658469</v>
      </c>
      <c r="I1084" s="1297">
        <f t="shared" ref="I1084:Q1084" si="115">I$128*I$7</f>
        <v>-3.9449407907287219</v>
      </c>
      <c r="J1084" s="1297">
        <f t="shared" si="115"/>
        <v>-4.0269043301928242</v>
      </c>
      <c r="K1084" s="1297">
        <f t="shared" si="115"/>
        <v>-4.0912711127155124</v>
      </c>
      <c r="L1084" s="1297">
        <f t="shared" si="115"/>
        <v>-4.0937179423918844</v>
      </c>
      <c r="M1084" s="1297">
        <f t="shared" si="115"/>
        <v>-4.2594014489541925</v>
      </c>
      <c r="N1084" s="1297">
        <f t="shared" si="115"/>
        <v>-4.5211323460700648</v>
      </c>
      <c r="O1084" s="1297">
        <f t="shared" si="115"/>
        <v>-4.5211323460700648</v>
      </c>
      <c r="P1084" s="1297">
        <f t="shared" si="115"/>
        <v>-4.5211323460700648</v>
      </c>
      <c r="Q1084" s="1297">
        <f t="shared" si="115"/>
        <v>-4.5211323460700648</v>
      </c>
      <c r="R1084" s="1269"/>
      <c r="S1084" s="4"/>
      <c r="T1084" s="4"/>
      <c r="U1084" s="4"/>
      <c r="V1084" s="4"/>
      <c r="W1084" s="4"/>
      <c r="X1084" s="4"/>
      <c r="Y1084" s="4"/>
      <c r="Z1084" s="4"/>
    </row>
    <row r="1085" spans="1:26" ht="12" hidden="1" customHeight="1" outlineLevel="1">
      <c r="A1085" s="3"/>
      <c r="B1085" s="3"/>
      <c r="C1085" s="3"/>
      <c r="D1085" s="153" t="str">
        <f>Asset2</f>
        <v>Compressors</v>
      </c>
      <c r="E1085" s="3"/>
      <c r="F1085" s="3"/>
      <c r="G1085" s="1296">
        <f t="shared" si="114"/>
        <v>-1.6492591414147106</v>
      </c>
      <c r="H1085" s="1297">
        <f t="shared" ref="H1085:Q1085" si="116">H$141*H$7</f>
        <v>-1.6316427771230986</v>
      </c>
      <c r="I1085" s="1297">
        <f t="shared" si="116"/>
        <v>-1.680636027118759</v>
      </c>
      <c r="J1085" s="1297">
        <f t="shared" si="116"/>
        <v>-1.7157979514844852</v>
      </c>
      <c r="K1085" s="1297">
        <f t="shared" si="116"/>
        <v>-1.7519283573883171</v>
      </c>
      <c r="L1085" s="1297">
        <f t="shared" si="116"/>
        <v>-1.751896362889793</v>
      </c>
      <c r="M1085" s="1297">
        <f t="shared" si="116"/>
        <v>-1.8377293531811634</v>
      </c>
      <c r="N1085" s="1297">
        <f t="shared" si="116"/>
        <v>-1.9506537999675477</v>
      </c>
      <c r="O1085" s="1297">
        <f t="shared" si="116"/>
        <v>-1.9506537999675477</v>
      </c>
      <c r="P1085" s="1297">
        <f t="shared" si="116"/>
        <v>-1.9506537999675477</v>
      </c>
      <c r="Q1085" s="1297">
        <f t="shared" si="116"/>
        <v>-1.9506537999675477</v>
      </c>
      <c r="R1085" s="1269"/>
      <c r="S1085" s="4"/>
      <c r="T1085" s="4"/>
      <c r="U1085" s="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-2.6254028466158566E-3</v>
      </c>
      <c r="H1086" s="1297">
        <f t="shared" ref="H1086:Q1086" si="117">H$154*H$7</f>
        <v>-2.740528046216658E-3</v>
      </c>
      <c r="I1086" s="1297">
        <f t="shared" si="117"/>
        <v>-2.7935216824694661E-3</v>
      </c>
      <c r="J1086" s="1297">
        <f t="shared" si="117"/>
        <v>-2.8515623316987329E-3</v>
      </c>
      <c r="K1086" s="1297">
        <f t="shared" si="117"/>
        <v>-2.8969854484868543E-3</v>
      </c>
      <c r="L1086" s="1297">
        <f t="shared" si="117"/>
        <v>-2.8868914225339388E-3</v>
      </c>
      <c r="M1086" s="1297">
        <f t="shared" si="117"/>
        <v>-2.9979257080160124E-3</v>
      </c>
      <c r="N1086" s="1297">
        <f t="shared" si="117"/>
        <v>-3.182141681656727E-3</v>
      </c>
      <c r="O1086" s="1297">
        <f t="shared" si="117"/>
        <v>-3.182141681656727E-3</v>
      </c>
      <c r="P1086" s="1297">
        <f t="shared" si="117"/>
        <v>-3.182141681656727E-3</v>
      </c>
      <c r="Q1086" s="1297">
        <f t="shared" si="117"/>
        <v>-3.182141681656727E-3</v>
      </c>
      <c r="R1086" s="1269"/>
      <c r="S1086" s="4"/>
      <c r="T1086" s="4"/>
      <c r="U1086" s="4"/>
      <c r="V1086" s="4"/>
      <c r="W1086" s="4"/>
      <c r="X1086" s="4"/>
      <c r="Y1086" s="4"/>
      <c r="Z1086" s="4"/>
    </row>
    <row r="1087" spans="1:26" ht="12" hidden="1" customHeight="1" outlineLevel="1">
      <c r="A1087" s="3"/>
      <c r="B1087" s="3"/>
      <c r="C1087" s="3"/>
      <c r="D1087" s="153" t="str">
        <f>Asset4</f>
        <v>Metering</v>
      </c>
      <c r="E1087" s="3"/>
      <c r="F1087" s="3"/>
      <c r="G1087" s="1296">
        <f t="shared" si="114"/>
        <v>-0.23641911144074157</v>
      </c>
      <c r="H1087" s="1297">
        <f t="shared" ref="H1087:Q1087" si="118">H$167*H$7</f>
        <v>-0.22614479233547233</v>
      </c>
      <c r="I1087" s="1297">
        <f t="shared" si="118"/>
        <v>-0.23051775793311957</v>
      </c>
      <c r="J1087" s="1297">
        <f t="shared" si="118"/>
        <v>-0.23530719644482848</v>
      </c>
      <c r="K1087" s="1297">
        <f t="shared" si="118"/>
        <v>-0.23905545267138328</v>
      </c>
      <c r="L1087" s="1297">
        <f t="shared" si="118"/>
        <v>-0.23822250684326002</v>
      </c>
      <c r="M1087" s="1297">
        <f t="shared" si="118"/>
        <v>-0.24738491095261611</v>
      </c>
      <c r="N1087" s="1297">
        <f t="shared" si="118"/>
        <v>-0.27176253526052696</v>
      </c>
      <c r="O1087" s="1297">
        <f t="shared" si="118"/>
        <v>-0.27176253526052696</v>
      </c>
      <c r="P1087" s="1297">
        <f t="shared" si="118"/>
        <v>-0.27176253526052696</v>
      </c>
      <c r="Q1087" s="1297">
        <f t="shared" si="118"/>
        <v>-0.27176253526052696</v>
      </c>
      <c r="R1087" s="1269"/>
      <c r="S1087" s="4"/>
      <c r="T1087" s="4"/>
      <c r="U1087" s="4"/>
      <c r="V1087" s="4"/>
      <c r="W1087" s="4"/>
      <c r="X1087" s="4"/>
      <c r="Y1087" s="4"/>
      <c r="Z1087" s="4"/>
    </row>
    <row r="1088" spans="1:26" ht="12" hidden="1" customHeight="1" outlineLevel="1">
      <c r="A1088" s="3"/>
      <c r="B1088" s="3"/>
      <c r="C1088" s="3"/>
      <c r="D1088" s="153" t="str">
        <f>Asset5</f>
        <v>Odourant plants</v>
      </c>
      <c r="E1088" s="3"/>
      <c r="F1088" s="3"/>
      <c r="G1088" s="1296">
        <f t="shared" si="114"/>
        <v>-1.3723613693660897E-3</v>
      </c>
      <c r="H1088" s="1297">
        <f t="shared" ref="H1088:Q1088" si="119">H$180*H$7</f>
        <v>-1.358989119546626E-3</v>
      </c>
      <c r="I1088" s="1297">
        <f t="shared" si="119"/>
        <v>-1.3852679146759805E-3</v>
      </c>
      <c r="J1088" s="1297">
        <f t="shared" si="119"/>
        <v>-1.4140494521986072E-3</v>
      </c>
      <c r="K1088" s="1297">
        <f t="shared" si="119"/>
        <v>-1.436574133738054E-3</v>
      </c>
      <c r="L1088" s="1297">
        <f t="shared" si="119"/>
        <v>-1.4315686489515104E-3</v>
      </c>
      <c r="M1088" s="1297">
        <f t="shared" si="119"/>
        <v>-1.4866289816034912E-3</v>
      </c>
      <c r="N1088" s="1297">
        <f t="shared" si="119"/>
        <v>-1.5779790789579146E-3</v>
      </c>
      <c r="O1088" s="1297">
        <f t="shared" si="119"/>
        <v>-1.5779790789579146E-3</v>
      </c>
      <c r="P1088" s="1297">
        <f t="shared" si="119"/>
        <v>-1.5779790789579146E-3</v>
      </c>
      <c r="Q1088" s="1297">
        <f t="shared" si="119"/>
        <v>-1.5779790789579146E-3</v>
      </c>
      <c r="R1088" s="1269"/>
      <c r="S1088" s="4"/>
      <c r="T1088" s="4"/>
      <c r="U1088" s="4"/>
      <c r="V1088" s="4"/>
      <c r="W1088" s="4"/>
      <c r="X1088" s="4"/>
      <c r="Y1088" s="4"/>
      <c r="Z1088" s="4"/>
    </row>
    <row r="1089" spans="1:26" ht="12" hidden="1" customHeight="1" outlineLevel="1">
      <c r="A1089" s="3"/>
      <c r="B1089" s="3"/>
      <c r="C1089" s="3"/>
      <c r="D1089" s="153" t="str">
        <f>Asset6</f>
        <v>SCADA (Communications)</v>
      </c>
      <c r="E1089" s="3"/>
      <c r="F1089" s="3"/>
      <c r="G1089" s="1296">
        <f t="shared" si="114"/>
        <v>-7.6960996282037966E-2</v>
      </c>
      <c r="H1089" s="1297">
        <f t="shared" ref="H1089:Q1089" si="120">H$193*H$7</f>
        <v>-0.13816469383056179</v>
      </c>
      <c r="I1089" s="1297">
        <f t="shared" si="120"/>
        <v>-0.14111224316672716</v>
      </c>
      <c r="J1089" s="1297">
        <f t="shared" si="120"/>
        <v>-0.14962422972756842</v>
      </c>
      <c r="K1089" s="1297">
        <f t="shared" si="120"/>
        <v>-0.17632429653608539</v>
      </c>
      <c r="L1089" s="1297">
        <f t="shared" si="120"/>
        <v>-0.19141369247870441</v>
      </c>
      <c r="M1089" s="1297">
        <f t="shared" si="120"/>
        <v>-0.19877575757403915</v>
      </c>
      <c r="N1089" s="1297">
        <f t="shared" si="120"/>
        <v>-0.21099009284584458</v>
      </c>
      <c r="O1089" s="1297">
        <f t="shared" si="120"/>
        <v>-0.21099009284584458</v>
      </c>
      <c r="P1089" s="1297">
        <f t="shared" si="120"/>
        <v>-0.21099009284584458</v>
      </c>
      <c r="Q1089" s="1297">
        <f t="shared" si="120"/>
        <v>-0.21099009284584458</v>
      </c>
      <c r="R1089" s="1269"/>
      <c r="S1089" s="4"/>
      <c r="T1089" s="4"/>
      <c r="U1089" s="4"/>
      <c r="V1089" s="4"/>
      <c r="W1089" s="4"/>
      <c r="X1089" s="4"/>
      <c r="Y1089" s="4"/>
      <c r="Z1089" s="4"/>
    </row>
    <row r="1090" spans="1:26" ht="12" hidden="1" customHeight="1" outlineLevel="1">
      <c r="A1090" s="3"/>
      <c r="B1090" s="3"/>
      <c r="C1090" s="3"/>
      <c r="D1090" s="153" t="str">
        <f>Asset7</f>
        <v>Buildings</v>
      </c>
      <c r="E1090" s="3"/>
      <c r="F1090" s="3"/>
      <c r="G1090" s="1296">
        <f t="shared" si="114"/>
        <v>-6.9579422319843071E-2</v>
      </c>
      <c r="H1090" s="1297">
        <f t="shared" ref="H1090:Q1090" si="121">H$206*H$7</f>
        <v>-6.8122241295064709E-2</v>
      </c>
      <c r="I1090" s="1297">
        <f t="shared" si="121"/>
        <v>-6.9439522204085294E-2</v>
      </c>
      <c r="J1090" s="1297">
        <f t="shared" si="121"/>
        <v>-7.0882258437774515E-2</v>
      </c>
      <c r="K1090" s="1297">
        <f t="shared" si="121"/>
        <v>-7.2011356359792167E-2</v>
      </c>
      <c r="L1090" s="1297">
        <f t="shared" si="121"/>
        <v>-7.1760445710454909E-2</v>
      </c>
      <c r="M1090" s="1297">
        <f t="shared" si="121"/>
        <v>-7.4520462853164701E-2</v>
      </c>
      <c r="N1090" s="1297">
        <f t="shared" si="121"/>
        <v>-7.9099582203569607E-2</v>
      </c>
      <c r="O1090" s="1297">
        <f t="shared" si="121"/>
        <v>-7.9099582203569607E-2</v>
      </c>
      <c r="P1090" s="1297">
        <f t="shared" si="121"/>
        <v>-7.9099582203569607E-2</v>
      </c>
      <c r="Q1090" s="1297">
        <f t="shared" si="121"/>
        <v>-7.9099582203569607E-2</v>
      </c>
      <c r="R1090" s="1269"/>
      <c r="S1090" s="4"/>
      <c r="T1090" s="4"/>
      <c r="U1090" s="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-9.3783570892203502E-2</v>
      </c>
      <c r="H1092" s="1297">
        <f t="shared" ref="H1092:Q1092" si="123">H$232*H$7</f>
        <v>-9.377509481117538E-2</v>
      </c>
      <c r="I1092" s="1297">
        <f t="shared" si="123"/>
        <v>-9.5762695009902643E-2</v>
      </c>
      <c r="J1092" s="1297">
        <f t="shared" si="123"/>
        <v>-0.10229244702866118</v>
      </c>
      <c r="K1092" s="1297">
        <f t="shared" si="123"/>
        <v>-0.10654542381929831</v>
      </c>
      <c r="L1092" s="1297">
        <f t="shared" si="123"/>
        <v>-0.10737942423241821</v>
      </c>
      <c r="M1092" s="1297">
        <f t="shared" si="123"/>
        <v>-0.11259971307270485</v>
      </c>
      <c r="N1092" s="1297">
        <f t="shared" si="123"/>
        <v>-0.11798025655912527</v>
      </c>
      <c r="O1092" s="1297">
        <f t="shared" si="123"/>
        <v>-0.11798025655912527</v>
      </c>
      <c r="P1092" s="1297">
        <f t="shared" si="123"/>
        <v>-0.11798025655912527</v>
      </c>
      <c r="Q1092" s="1297">
        <f t="shared" si="123"/>
        <v>-0.11798025655912527</v>
      </c>
      <c r="R1092" s="1269"/>
      <c r="S1092" s="4"/>
      <c r="T1092" s="4"/>
      <c r="U1092" s="4"/>
      <c r="V1092" s="4"/>
      <c r="W1092" s="4"/>
      <c r="X1092" s="4"/>
      <c r="Y1092" s="4"/>
      <c r="Z1092" s="4"/>
    </row>
    <row r="1093" spans="1:26" ht="12" hidden="1" customHeight="1" outlineLevel="1">
      <c r="A1093" s="3"/>
      <c r="B1093" s="3"/>
      <c r="C1093" s="3"/>
      <c r="D1093" s="153" t="str">
        <f>Asset10</f>
        <v>IT Systems</v>
      </c>
      <c r="E1093" s="3"/>
      <c r="F1093" s="3"/>
      <c r="G1093" s="1296">
        <f t="shared" si="114"/>
        <v>-0.51447025802937218</v>
      </c>
      <c r="H1093" s="1297">
        <f t="shared" ref="H1093:Q1093" si="124">H$245*H$7</f>
        <v>-0.45382366771763077</v>
      </c>
      <c r="I1093" s="1297">
        <f t="shared" si="124"/>
        <v>-0.1272155290265263</v>
      </c>
      <c r="J1093" s="1297">
        <f t="shared" si="124"/>
        <v>-3.6329656609102745E-4</v>
      </c>
      <c r="K1093" s="1297">
        <f t="shared" si="124"/>
        <v>-3.6908359103761016E-4</v>
      </c>
      <c r="L1093" s="1297">
        <f t="shared" si="124"/>
        <v>-0.20913359074683635</v>
      </c>
      <c r="M1093" s="1297">
        <f t="shared" si="124"/>
        <v>-0.2171771916985798</v>
      </c>
      <c r="N1093" s="1297">
        <f t="shared" si="124"/>
        <v>-0.23052225482483932</v>
      </c>
      <c r="O1093" s="1297">
        <f t="shared" si="124"/>
        <v>-0.23011684157719262</v>
      </c>
      <c r="P1093" s="1297">
        <f t="shared" si="124"/>
        <v>-0.23011684157719262</v>
      </c>
      <c r="Q1093" s="1297">
        <f t="shared" si="124"/>
        <v>-1.3879856494787295E-9</v>
      </c>
      <c r="R1093" s="1269"/>
      <c r="S1093" s="4"/>
      <c r="T1093" s="4"/>
      <c r="U1093" s="4"/>
      <c r="V1093" s="4"/>
      <c r="W1093" s="4"/>
      <c r="X1093" s="4"/>
      <c r="Y1093" s="4"/>
      <c r="Z1093" s="4"/>
    </row>
    <row r="1094" spans="1:26" ht="12" hidden="1" customHeight="1" outlineLevel="1">
      <c r="A1094" s="3"/>
      <c r="B1094" s="3"/>
      <c r="C1094" s="3"/>
      <c r="D1094" s="153" t="str">
        <f>Asset11</f>
        <v>Leased pipeline assets</v>
      </c>
      <c r="E1094" s="3"/>
      <c r="F1094" s="3"/>
      <c r="G1094" s="1296">
        <f t="shared" si="114"/>
        <v>-0.23081545707586948</v>
      </c>
      <c r="H1094" s="1297">
        <f t="shared" ref="H1094:Q1094" si="125">H$258*H$7</f>
        <v>-0.23149592766793831</v>
      </c>
      <c r="I1094" s="1297">
        <f t="shared" si="125"/>
        <v>-0.23597236825820228</v>
      </c>
      <c r="J1094" s="1297">
        <f t="shared" si="125"/>
        <v>-0.24087513652372952</v>
      </c>
      <c r="K1094" s="1297">
        <f t="shared" si="125"/>
        <v>-0.24471208560109867</v>
      </c>
      <c r="L1094" s="1297">
        <f t="shared" si="125"/>
        <v>-0.24385943025057222</v>
      </c>
      <c r="M1094" s="1297">
        <f t="shared" si="125"/>
        <v>-0.25323863910636341</v>
      </c>
      <c r="N1094" s="1297">
        <f t="shared" si="125"/>
        <v>-0.14197554935067888</v>
      </c>
      <c r="O1094" s="1297">
        <f t="shared" si="125"/>
        <v>0</v>
      </c>
      <c r="P1094" s="1297">
        <f t="shared" si="125"/>
        <v>0</v>
      </c>
      <c r="Q1094" s="1297">
        <f t="shared" si="125"/>
        <v>0</v>
      </c>
      <c r="R1094" s="1269"/>
      <c r="S1094" s="4"/>
      <c r="T1094" s="4"/>
      <c r="U1094" s="4"/>
      <c r="V1094" s="4"/>
      <c r="W1094" s="4"/>
      <c r="X1094" s="4"/>
      <c r="Y1094" s="4"/>
      <c r="Z1094" s="4"/>
    </row>
    <row r="1095" spans="1:26" ht="12" hidden="1" customHeight="1" outlineLevel="1">
      <c r="A1095" s="3"/>
      <c r="B1095" s="3"/>
      <c r="C1095" s="3"/>
      <c r="D1095" s="153" t="str">
        <f>Asset12</f>
        <v>Shared supporting assets</v>
      </c>
      <c r="E1095" s="3"/>
      <c r="F1095" s="3"/>
      <c r="G1095" s="1296">
        <f t="shared" si="114"/>
        <v>-0.91643458498899943</v>
      </c>
      <c r="H1095" s="1297">
        <f t="shared" ref="H1095:Q1095" si="126">H$271*H$7</f>
        <v>-0.86633928281580397</v>
      </c>
      <c r="I1095" s="1297">
        <f t="shared" si="126"/>
        <v>-1.0077566210287441</v>
      </c>
      <c r="J1095" s="1297">
        <f t="shared" si="126"/>
        <v>-1.2373133895976147</v>
      </c>
      <c r="K1095" s="1297">
        <f t="shared" si="126"/>
        <v>-1.5852211853069595</v>
      </c>
      <c r="L1095" s="1297">
        <f t="shared" si="126"/>
        <v>-1.1303975176494669</v>
      </c>
      <c r="M1095" s="1297">
        <f t="shared" si="126"/>
        <v>-1.0512808224721433</v>
      </c>
      <c r="N1095" s="1297">
        <f t="shared" si="126"/>
        <v>-1.6508946887185159</v>
      </c>
      <c r="O1095" s="1297">
        <f t="shared" si="126"/>
        <v>-1.418090949042327</v>
      </c>
      <c r="P1095" s="1297">
        <f t="shared" si="126"/>
        <v>-1.0575873290313575</v>
      </c>
      <c r="Q1095" s="1297">
        <f t="shared" si="126"/>
        <v>-0.81849867522512221</v>
      </c>
      <c r="R1095" s="1269"/>
      <c r="S1095" s="4"/>
      <c r="T1095" s="4"/>
      <c r="U1095" s="4"/>
      <c r="V1095" s="4"/>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0</v>
      </c>
      <c r="I1096" s="1297">
        <f t="shared" si="127"/>
        <v>0</v>
      </c>
      <c r="J1096" s="1297">
        <f t="shared" si="127"/>
        <v>0</v>
      </c>
      <c r="K1096" s="1297">
        <f t="shared" si="127"/>
        <v>0</v>
      </c>
      <c r="L1096" s="1297">
        <f t="shared" si="127"/>
        <v>-0.17682809823261977</v>
      </c>
      <c r="M1096" s="1297">
        <f t="shared" si="127"/>
        <v>-0.22655589775589674</v>
      </c>
      <c r="N1096" s="1297">
        <f t="shared" si="127"/>
        <v>-0.29168243712669711</v>
      </c>
      <c r="O1096" s="1297">
        <f t="shared" si="127"/>
        <v>-0.29168243712669711</v>
      </c>
      <c r="P1096" s="1297">
        <f t="shared" si="127"/>
        <v>-0.29168243712669711</v>
      </c>
      <c r="Q1096" s="1297">
        <f t="shared" si="127"/>
        <v>-9.6769647029377612E-2</v>
      </c>
      <c r="R1096" s="1269"/>
      <c r="S1096" s="4"/>
      <c r="T1096" s="4"/>
      <c r="U1096" s="4"/>
      <c r="V1096" s="4"/>
      <c r="W1096" s="4"/>
      <c r="X1096" s="4"/>
      <c r="Y1096" s="4"/>
      <c r="Z1096" s="4"/>
    </row>
    <row r="1097" spans="1:26" ht="12" hidden="1" customHeight="1" outlineLevel="1">
      <c r="A1097" s="3"/>
      <c r="B1097" s="3"/>
      <c r="C1097" s="3"/>
      <c r="D1097" s="153" t="str">
        <f>Asset14</f>
        <v>PMA - Buyout contract</v>
      </c>
      <c r="E1097" s="3"/>
      <c r="F1097" s="3"/>
      <c r="G1097" s="1296">
        <f t="shared" si="114"/>
        <v>-2.6194511654857449</v>
      </c>
      <c r="H1097" s="1297">
        <f t="shared" ref="H1097:Q1097" si="128">H$297*H$7</f>
        <v>-2.4397050493648336</v>
      </c>
      <c r="I1097" s="1297">
        <f t="shared" si="128"/>
        <v>-2.4868816663415014</v>
      </c>
      <c r="J1097" s="1297">
        <f t="shared" si="128"/>
        <v>-2.5385512944588049</v>
      </c>
      <c r="K1097" s="1297">
        <f t="shared" si="128"/>
        <v>-2.5789883947245205</v>
      </c>
      <c r="L1097" s="1297">
        <f t="shared" si="128"/>
        <v>0</v>
      </c>
      <c r="M1097" s="1297">
        <f t="shared" si="128"/>
        <v>0</v>
      </c>
      <c r="N1097" s="1297">
        <f t="shared" si="128"/>
        <v>0</v>
      </c>
      <c r="O1097" s="1297">
        <f t="shared" si="128"/>
        <v>0</v>
      </c>
      <c r="P1097" s="1297">
        <f t="shared" si="128"/>
        <v>0</v>
      </c>
      <c r="Q1097" s="1297">
        <f t="shared" si="128"/>
        <v>0</v>
      </c>
      <c r="R1097" s="1269"/>
      <c r="S1097" s="4"/>
      <c r="T1097" s="4"/>
      <c r="U1097" s="4"/>
      <c r="V1097" s="4"/>
      <c r="W1097" s="4"/>
      <c r="X1097" s="4"/>
      <c r="Y1097" s="4"/>
      <c r="Z1097" s="4"/>
    </row>
    <row r="1098" spans="1:26" ht="12" hidden="1" customHeight="1" outlineLevel="1">
      <c r="A1098" s="3"/>
      <c r="B1098" s="3"/>
      <c r="C1098" s="3"/>
      <c r="D1098" s="153">
        <f>Asset15</f>
        <v>0</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0</v>
      </c>
      <c r="P1098" s="1297">
        <f t="shared" si="129"/>
        <v>0</v>
      </c>
      <c r="Q1098" s="1297">
        <f t="shared" si="129"/>
        <v>0</v>
      </c>
      <c r="R1098" s="1269"/>
      <c r="S1098" s="4"/>
      <c r="T1098" s="4"/>
      <c r="U1098" s="4"/>
      <c r="V1098" s="4"/>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3.2910737782111545</v>
      </c>
      <c r="H1135" s="81">
        <f t="shared" ref="H1135:P1135" si="165">SUM(H1136:H1185)</f>
        <v>6.1478830828803339</v>
      </c>
      <c r="I1135" s="81">
        <f t="shared" si="165"/>
        <v>6.5506571881250482</v>
      </c>
      <c r="J1135" s="81">
        <f t="shared" si="165"/>
        <v>4.990333197017339</v>
      </c>
      <c r="K1135" s="81">
        <f t="shared" si="165"/>
        <v>-1.0817130473937639</v>
      </c>
      <c r="L1135" s="81">
        <f t="shared" si="165"/>
        <v>11.670363519868586</v>
      </c>
      <c r="M1135" s="81">
        <f>SUM(M1136:M1185)</f>
        <v>18.991641773573274</v>
      </c>
      <c r="N1135" s="81">
        <f t="shared" si="165"/>
        <v>0</v>
      </c>
      <c r="O1135" s="81">
        <f t="shared" si="165"/>
        <v>0</v>
      </c>
      <c r="P1135" s="81">
        <f t="shared" si="165"/>
        <v>0</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2.4513658038468376</v>
      </c>
      <c r="H1136" s="1297">
        <f>H770*H$6</f>
        <v>4.6090228570567486</v>
      </c>
      <c r="I1136" s="1297">
        <f t="shared" si="166"/>
        <v>4.9675687392998649</v>
      </c>
      <c r="J1136" s="1297">
        <f t="shared" si="166"/>
        <v>3.8248227268179158</v>
      </c>
      <c r="K1136" s="1297">
        <f>IF(COUNT($H1136:J1136)&gt;='RFM input'!$AA$7,0,K770*K$6)</f>
        <v>-0.8359903281047264</v>
      </c>
      <c r="L1136" s="1297">
        <f>IF(COUNT($H1136:K1136)&gt;='RFM input'!$AA$7,0,L770*L$6)</f>
        <v>9.0901078856649598</v>
      </c>
      <c r="M1136" s="1297">
        <f>IF(COUNT($H1136:L1136)&gt;='RFM input'!$AA$7,0,M770*M$6)</f>
        <v>14.868737502800583</v>
      </c>
      <c r="N1136" s="1297">
        <f>IF(COUNT($H1136:M1136)&gt;='RFM input'!$AA$7,0,N770*N$6)</f>
        <v>0</v>
      </c>
      <c r="O1136" s="1297">
        <f>IF(COUNT($H1136:N1136)&gt;='RFM input'!$AA$7,0,O770*O$6)</f>
        <v>0</v>
      </c>
      <c r="P1136" s="1297">
        <f>IF(COUNT($H1136:O1136)&gt;='RFM input'!$AA$7,0,P770*P$6)</f>
        <v>0</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0.45342474128689553</v>
      </c>
      <c r="H1137" s="1297">
        <f t="shared" si="166"/>
        <v>0.83397932295963351</v>
      </c>
      <c r="I1137" s="1297">
        <f t="shared" si="166"/>
        <v>0.89194863973341898</v>
      </c>
      <c r="J1137" s="1297">
        <f t="shared" si="166"/>
        <v>0.67140859475734427</v>
      </c>
      <c r="K1137" s="1297">
        <f>IF(COUNT($H1137:J1137)&gt;='RFM input'!$AA$7,0,K771*K$6)</f>
        <v>-0.14427975718155506</v>
      </c>
      <c r="L1137" s="1297">
        <f>IF(COUNT($H1137:K1137)&gt;='RFM input'!$AA$7,0,L771*L$6)</f>
        <v>1.5278982807934898</v>
      </c>
      <c r="M1137" s="1297">
        <f>IF(COUNT($H1137:L1137)&gt;='RFM input'!$AA$7,0,M771*M$6)</f>
        <v>2.4654871372865674</v>
      </c>
      <c r="N1137" s="1297">
        <f>IF(COUNT($H1137:M1137)&gt;='RFM input'!$AA$7,0,N771*N$6)</f>
        <v>0</v>
      </c>
      <c r="O1137" s="1297">
        <f>IF(COUNT($H1137:N1137)&gt;='RFM input'!$AA$7,0,O771*O$6)</f>
        <v>0</v>
      </c>
      <c r="P1137" s="1297">
        <f>IF(COUNT($H1137:O1137)&gt;='RFM input'!$AA$7,0,P771*P$6)</f>
        <v>0</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1.1359612788682876E-3</v>
      </c>
      <c r="H1138" s="1297">
        <f t="shared" si="166"/>
        <v>2.2955430384905559E-3</v>
      </c>
      <c r="I1138" s="1297">
        <f t="shared" si="166"/>
        <v>2.4572265779105084E-3</v>
      </c>
      <c r="J1138" s="1297">
        <f t="shared" si="166"/>
        <v>1.8785483115874343E-3</v>
      </c>
      <c r="K1138" s="1297">
        <f>IF(COUNT($H1138:J1138)&gt;='RFM input'!$AA$7,0,K772*K$6)</f>
        <v>-4.0751942309945235E-4</v>
      </c>
      <c r="L1138" s="1297">
        <f>IF(COUNT($H1138:K1138)&gt;='RFM input'!$AA$7,0,L772*L$6)</f>
        <v>4.371291136844503E-3</v>
      </c>
      <c r="M1138" s="1297">
        <f>IF(COUNT($H1138:L1138)&gt;='RFM input'!$AA$7,0,M772*M$6)</f>
        <v>7.0749762263262322E-3</v>
      </c>
      <c r="N1138" s="1297">
        <f>IF(COUNT($H1138:M1138)&gt;='RFM input'!$AA$7,0,N772*N$6)</f>
        <v>0</v>
      </c>
      <c r="O1138" s="1297">
        <f>IF(COUNT($H1138:N1138)&gt;='RFM input'!$AA$7,0,O772*O$6)</f>
        <v>0</v>
      </c>
      <c r="P1138" s="1297">
        <f>IF(COUNT($H1138:O1138)&gt;='RFM input'!$AA$7,0,P772*P$6)</f>
        <v>0</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8.2795204042265216E-2</v>
      </c>
      <c r="H1139" s="1297">
        <f t="shared" si="166"/>
        <v>0.15349193107693787</v>
      </c>
      <c r="I1139" s="1297">
        <f t="shared" si="166"/>
        <v>0.16341162827254677</v>
      </c>
      <c r="J1139" s="1297">
        <f t="shared" si="166"/>
        <v>0.12421539697111549</v>
      </c>
      <c r="K1139" s="1297">
        <f>IF(COUNT($H1139:J1139)&gt;='RFM input'!$AA$7,0,K773*K$6)</f>
        <v>-2.6783535847238079E-2</v>
      </c>
      <c r="L1139" s="1297">
        <f>IF(COUNT($H1139:K1139)&gt;='RFM input'!$AA$7,0,L773*L$6)</f>
        <v>0.28542445383225939</v>
      </c>
      <c r="M1139" s="1297">
        <f>IF(COUNT($H1139:L1139)&gt;='RFM input'!$AA$7,0,M773*M$6)</f>
        <v>0.45890686490221128</v>
      </c>
      <c r="N1139" s="1297">
        <f>IF(COUNT($H1139:M1139)&gt;='RFM input'!$AA$7,0,N773*N$6)</f>
        <v>0</v>
      </c>
      <c r="O1139" s="1297">
        <f>IF(COUNT($H1139:N1139)&gt;='RFM input'!$AA$7,0,O773*O$6)</f>
        <v>0</v>
      </c>
      <c r="P1139" s="1297">
        <f>IF(COUNT($H1139:O1139)&gt;='RFM input'!$AA$7,0,P773*P$6)</f>
        <v>0</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1.0767018400369946E-3</v>
      </c>
      <c r="H1140" s="1297">
        <f t="shared" si="166"/>
        <v>2.0289843200703389E-3</v>
      </c>
      <c r="I1140" s="1297">
        <f t="shared" si="166"/>
        <v>2.1939853756858967E-3</v>
      </c>
      <c r="J1140" s="1297">
        <f t="shared" si="166"/>
        <v>1.6949658185754259E-3</v>
      </c>
      <c r="K1140" s="1297">
        <f>IF(COUNT($H1140:J1140)&gt;='RFM input'!$AA$7,0,K774*K$6)</f>
        <v>-3.7173206921892952E-4</v>
      </c>
      <c r="L1140" s="1297">
        <f>IF(COUNT($H1140:K1140)&gt;='RFM input'!$AA$7,0,L774*L$6)</f>
        <v>4.0337999101106269E-3</v>
      </c>
      <c r="M1140" s="1297">
        <f>IF(COUNT($H1140:L1140)&gt;='RFM input'!$AA$7,0,M774*M$6)</f>
        <v>6.6044739995409166E-3</v>
      </c>
      <c r="N1140" s="1297">
        <f>IF(COUNT($H1140:M1140)&gt;='RFM input'!$AA$7,0,N774*N$6)</f>
        <v>0</v>
      </c>
      <c r="O1140" s="1297">
        <f>IF(COUNT($H1140:N1140)&gt;='RFM input'!$AA$7,0,O774*O$6)</f>
        <v>0</v>
      </c>
      <c r="P1140" s="1297">
        <f>IF(COUNT($H1140:O1140)&gt;='RFM input'!$AA$7,0,P774*P$6)</f>
        <v>0</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8.9143345151217034E-3</v>
      </c>
      <c r="H1141" s="1297">
        <f t="shared" si="166"/>
        <v>3.601572604922481E-2</v>
      </c>
      <c r="I1141" s="1297">
        <f t="shared" si="166"/>
        <v>3.6659505300869741E-2</v>
      </c>
      <c r="J1141" s="1297">
        <f t="shared" si="166"/>
        <v>2.7748405843615657E-2</v>
      </c>
      <c r="K1141" s="1297">
        <f>IF(COUNT($H1141:J1141)&gt;='RFM input'!$AA$7,0,K775*K$6)</f>
        <v>-6.8959527314476484E-3</v>
      </c>
      <c r="L1141" s="1297">
        <f>IF(COUNT($H1141:K1141)&gt;='RFM input'!$AA$7,0,L775*L$6)</f>
        <v>7.8165319364334324E-2</v>
      </c>
      <c r="M1141" s="1297">
        <f>IF(COUNT($H1141:L1141)&gt;='RFM input'!$AA$7,0,M775*M$6)</f>
        <v>0.11792141827959428</v>
      </c>
      <c r="N1141" s="1297">
        <f>IF(COUNT($H1141:M1141)&gt;='RFM input'!$AA$7,0,N775*N$6)</f>
        <v>0</v>
      </c>
      <c r="O1141" s="1297">
        <f>IF(COUNT($H1141:N1141)&gt;='RFM input'!$AA$7,0,O775*O$6)</f>
        <v>0</v>
      </c>
      <c r="P1141" s="1297">
        <f>IF(COUNT($H1141:O1141)&gt;='RFM input'!$AA$7,0,P775*P$6)</f>
        <v>0</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4.3707512463896578E-2</v>
      </c>
      <c r="H1142" s="1297">
        <f t="shared" si="166"/>
        <v>8.2096156261154116E-2</v>
      </c>
      <c r="I1142" s="1297">
        <f t="shared" si="166"/>
        <v>8.8499470556189425E-2</v>
      </c>
      <c r="J1142" s="1297">
        <f t="shared" si="166"/>
        <v>6.8154338934990483E-2</v>
      </c>
      <c r="K1142" s="1297">
        <f>IF(COUNT($H1142:J1142)&gt;='RFM input'!$AA$7,0,K776*K$6)</f>
        <v>-1.4898432141983772E-2</v>
      </c>
      <c r="L1142" s="1297">
        <f>IF(COUNT($H1142:K1142)&gt;='RFM input'!$AA$7,0,L776*L$6)</f>
        <v>0.16111308600952257</v>
      </c>
      <c r="M1142" s="1297">
        <f>IF(COUNT($H1142:L1142)&gt;='RFM input'!$AA$7,0,M776*M$6)</f>
        <v>0.26289173399655447</v>
      </c>
      <c r="N1142" s="1297">
        <f>IF(COUNT($H1142:M1142)&gt;='RFM input'!$AA$7,0,N776*N$6)</f>
        <v>0</v>
      </c>
      <c r="O1142" s="1297">
        <f>IF(COUNT($H1142:N1142)&gt;='RFM input'!$AA$7,0,O776*O$6)</f>
        <v>0</v>
      </c>
      <c r="P1142" s="1297">
        <f>IF(COUNT($H1142:O1142)&gt;='RFM input'!$AA$7,0,P776*P$6)</f>
        <v>0</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1.364493646832721E-4</v>
      </c>
      <c r="H1143" s="1297">
        <f t="shared" si="166"/>
        <v>2.6049424166806631E-4</v>
      </c>
      <c r="I1143" s="1297">
        <f t="shared" si="166"/>
        <v>2.8530321706502594E-4</v>
      </c>
      <c r="J1143" s="1297">
        <f t="shared" si="166"/>
        <v>2.2328077857262918E-4</v>
      </c>
      <c r="K1143" s="1297">
        <f>IF(COUNT($H1143:J1143)&gt;='RFM input'!$AA$7,0,K777*K$6)</f>
        <v>-4.9617950793916976E-5</v>
      </c>
      <c r="L1143" s="1297">
        <f>IF(COUNT($H1143:K1143)&gt;='RFM input'!$AA$7,0,L777*L$6)</f>
        <v>5.4579745873308927E-4</v>
      </c>
      <c r="M1143" s="1297">
        <f>IF(COUNT($H1143:L1143)&gt;='RFM input'!$AA$7,0,M777*M$6)</f>
        <v>9.0552760198899169E-4</v>
      </c>
      <c r="N1143" s="1297">
        <f>IF(COUNT($H1143:M1143)&gt;='RFM input'!$AA$7,0,N777*N$6)</f>
        <v>0</v>
      </c>
      <c r="O1143" s="1297">
        <f>IF(COUNT($H1143:N1143)&gt;='RFM input'!$AA$7,0,O777*O$6)</f>
        <v>0</v>
      </c>
      <c r="P1143" s="1297">
        <f>IF(COUNT($H1143:O1143)&gt;='RFM input'!$AA$7,0,P777*P$6)</f>
        <v>0</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6.8531439772119132E-2</v>
      </c>
      <c r="H1144" s="1297">
        <f t="shared" si="166"/>
        <v>0.13108615499968182</v>
      </c>
      <c r="I1144" s="1297">
        <f t="shared" si="166"/>
        <v>0.14190636466344814</v>
      </c>
      <c r="J1144" s="1297">
        <f t="shared" si="166"/>
        <v>0.11519958852188866</v>
      </c>
      <c r="K1144" s="1297">
        <f>IF(COUNT($H1144:J1144)&gt;='RFM input'!$AA$7,0,K778*K$6)</f>
        <v>-2.5963322736151213E-2</v>
      </c>
      <c r="L1144" s="1297">
        <f>IF(COUNT($H1144:K1144)&gt;='RFM input'!$AA$7,0,L778*L$6)</f>
        <v>0.28522004285969499</v>
      </c>
      <c r="M1144" s="1297">
        <f>IF(COUNT($H1144:L1144)&gt;='RFM input'!$AA$7,0,M778*M$6)</f>
        <v>0.4717690171995928</v>
      </c>
      <c r="N1144" s="1297">
        <f>IF(COUNT($H1144:M1144)&gt;='RFM input'!$AA$7,0,N778*N$6)</f>
        <v>0</v>
      </c>
      <c r="O1144" s="1297">
        <f>IF(COUNT($H1144:N1144)&gt;='RFM input'!$AA$7,0,O778*O$6)</f>
        <v>0</v>
      </c>
      <c r="P1144" s="1297">
        <f>IF(COUNT($H1144:O1144)&gt;='RFM input'!$AA$7,0,P778*P$6)</f>
        <v>0</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1.0832627987044294E-2</v>
      </c>
      <c r="H1145" s="1297">
        <f t="shared" si="166"/>
        <v>1.1075567118784185E-2</v>
      </c>
      <c r="I1145" s="1297">
        <f t="shared" si="166"/>
        <v>2.7013456748719669E-3</v>
      </c>
      <c r="J1145" s="1297">
        <f t="shared" si="166"/>
        <v>1.1600073954361107E-4</v>
      </c>
      <c r="K1145" s="1297">
        <f>IF(COUNT($H1145:J1145)&gt;='RFM input'!$AA$7,0,K779*K$6)</f>
        <v>-2.4512100427105192E-5</v>
      </c>
      <c r="L1145" s="1297">
        <f>IF(COUNT($H1145:K1145)&gt;='RFM input'!$AA$7,0,L779*L$6)</f>
        <v>4.0543080560250681E-2</v>
      </c>
      <c r="M1145" s="1297">
        <f>IF(COUNT($H1145:L1145)&gt;='RFM input'!$AA$7,0,M779*M$6)</f>
        <v>5.44138553193136E-2</v>
      </c>
      <c r="N1145" s="1297">
        <f>IF(COUNT($H1145:M1145)&gt;='RFM input'!$AA$7,0,N779*N$6)</f>
        <v>0</v>
      </c>
      <c r="O1145" s="1297">
        <f>IF(COUNT($H1145:N1145)&gt;='RFM input'!$AA$7,0,O779*O$6)</f>
        <v>0</v>
      </c>
      <c r="P1145" s="1297">
        <f>IF(COUNT($H1145:O1145)&gt;='RFM input'!$AA$7,0,P779*P$6)</f>
        <v>0</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1.7490162914934108E-2</v>
      </c>
      <c r="H1146" s="1297">
        <f t="shared" si="167"/>
        <v>2.8927028700273191E-2</v>
      </c>
      <c r="I1146" s="1297">
        <f t="shared" si="167"/>
        <v>2.6872221993119269E-2</v>
      </c>
      <c r="J1146" s="1297">
        <f t="shared" si="167"/>
        <v>1.7271582719551756E-2</v>
      </c>
      <c r="K1146" s="1297">
        <f>IF(COUNT($H1146:J1146)&gt;='RFM input'!$AA$7,0,K780*K$6)</f>
        <v>-2.9988433032555311E-3</v>
      </c>
      <c r="L1146" s="1297">
        <f>IF(COUNT($H1146:K1146)&gt;='RFM input'!$AA$7,0,L780*L$6)</f>
        <v>2.3575273043461083E-2</v>
      </c>
      <c r="M1146" s="1297">
        <f>IF(COUNT($H1146:L1146)&gt;='RFM input'!$AA$7,0,M780*M$6)</f>
        <v>2.4128892895934482E-2</v>
      </c>
      <c r="N1146" s="1297">
        <f>IF(COUNT($H1146:M1146)&gt;='RFM input'!$AA$7,0,N780*N$6)</f>
        <v>0</v>
      </c>
      <c r="O1146" s="1297">
        <f>IF(COUNT($H1146:N1146)&gt;='RFM input'!$AA$7,0,O780*O$6)</f>
        <v>0</v>
      </c>
      <c r="P1146" s="1297">
        <f>IF(COUNT($H1146:O1146)&gt;='RFM input'!$AA$7,0,P780*P$6)</f>
        <v>0</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2.7285604739739792E-2</v>
      </c>
      <c r="H1147" s="1297">
        <f t="shared" si="167"/>
        <v>7.0808240630712449E-2</v>
      </c>
      <c r="I1147" s="1297">
        <f t="shared" si="167"/>
        <v>7.2257119224435798E-2</v>
      </c>
      <c r="J1147" s="1297">
        <f t="shared" si="167"/>
        <v>5.6773746339106396E-2</v>
      </c>
      <c r="K1147" s="1297">
        <f>IF(COUNT($H1147:J1147)&gt;='RFM input'!$AA$7,0,K781*K$6)</f>
        <v>-1.3933282384611355E-2</v>
      </c>
      <c r="L1147" s="1297">
        <f>IF(COUNT($H1147:K1147)&gt;='RFM input'!$AA$7,0,L781*L$6)</f>
        <v>0.13415444144013566</v>
      </c>
      <c r="M1147" s="1297">
        <f>IF(COUNT($H1147:L1147)&gt;='RFM input'!$AA$7,0,M781*M$6)</f>
        <v>0.19254791609601166</v>
      </c>
      <c r="N1147" s="1297">
        <f>IF(COUNT($H1147:M1147)&gt;='RFM input'!$AA$7,0,N781*N$6)</f>
        <v>0</v>
      </c>
      <c r="O1147" s="1297">
        <f>IF(COUNT($H1147:N1147)&gt;='RFM input'!$AA$7,0,O781*O$6)</f>
        <v>0</v>
      </c>
      <c r="P1147" s="1297">
        <f>IF(COUNT($H1147:O1147)&gt;='RFM input'!$AA$7,0,P781*P$6)</f>
        <v>0</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0</v>
      </c>
      <c r="I1148" s="1297">
        <f t="shared" si="167"/>
        <v>0</v>
      </c>
      <c r="J1148" s="1297">
        <f t="shared" si="167"/>
        <v>0</v>
      </c>
      <c r="K1148" s="1297">
        <f>IF(COUNT($H1148:J1148)&gt;='RFM input'!$AA$7,0,K782*K$6)</f>
        <v>0</v>
      </c>
      <c r="L1148" s="1297">
        <f>IF(COUNT($H1148:K1148)&gt;='RFM input'!$AA$7,0,L782*L$6)</f>
        <v>3.4124303518532607E-2</v>
      </c>
      <c r="M1148" s="1297">
        <f>IF(COUNT($H1148:L1148)&gt;='RFM input'!$AA$7,0,M782*M$6)</f>
        <v>5.8449913965277898E-2</v>
      </c>
      <c r="N1148" s="1297">
        <f>IF(COUNT($H1148:M1148)&gt;='RFM input'!$AA$7,0,N782*N$6)</f>
        <v>0</v>
      </c>
      <c r="O1148" s="1297">
        <f>IF(COUNT($H1148:N1148)&gt;='RFM input'!$AA$7,0,O782*O$6)</f>
        <v>0</v>
      </c>
      <c r="P1148" s="1297">
        <f>IF(COUNT($H1148:O1148)&gt;='RFM input'!$AA$7,0,P782*P$6)</f>
        <v>0</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0.12437723415871225</v>
      </c>
      <c r="H1149" s="1297">
        <f t="shared" si="167"/>
        <v>0.18679507642695461</v>
      </c>
      <c r="I1149" s="1297">
        <f t="shared" si="167"/>
        <v>0.1538956382356213</v>
      </c>
      <c r="J1149" s="1297">
        <f t="shared" si="167"/>
        <v>8.0826020463530351E-2</v>
      </c>
      <c r="K1149" s="1297">
        <f>IF(COUNT($H1149:J1149)&gt;='RFM input'!$AA$7,0,K783*K$6)</f>
        <v>-9.1162114192554333E-3</v>
      </c>
      <c r="L1149" s="1297">
        <f>IF(COUNT($H1149:K1149)&gt;='RFM input'!$AA$7,0,L783*L$6)</f>
        <v>1.086464276252112E-3</v>
      </c>
      <c r="M1149" s="1297">
        <f>IF(COUNT($H1149:L1149)&gt;='RFM input'!$AA$7,0,M783*M$6)</f>
        <v>1.8025430037819186E-3</v>
      </c>
      <c r="N1149" s="1297">
        <f>IF(COUNT($H1149:M1149)&gt;='RFM input'!$AA$7,0,N783*N$6)</f>
        <v>0</v>
      </c>
      <c r="O1149" s="1297">
        <f>IF(COUNT($H1149:N1149)&gt;='RFM input'!$AA$7,0,O783*O$6)</f>
        <v>0</v>
      </c>
      <c r="P1149" s="1297">
        <f>IF(COUNT($H1149:O1149)&gt;='RFM input'!$AA$7,0,P783*P$6)</f>
        <v>0</v>
      </c>
      <c r="Q1149" s="1297">
        <f>IF(COUNT($H1149:P1149)&gt;='RFM input'!$AA$7,0,Q783*Q$6)</f>
        <v>0</v>
      </c>
      <c r="R1149" s="1269"/>
      <c r="S1149" s="3"/>
      <c r="T1149" s="3"/>
      <c r="U1149" s="3"/>
      <c r="V1149" s="3"/>
      <c r="W1149" s="3"/>
      <c r="X1149" s="3"/>
      <c r="Y1149" s="3"/>
      <c r="Z1149" s="3"/>
    </row>
    <row r="1150" spans="1:26" hidden="1" outlineLevel="1">
      <c r="A1150" s="3"/>
      <c r="B1150" s="3"/>
      <c r="C1150" s="3"/>
      <c r="D1150" s="153">
        <f>Asset15</f>
        <v>0</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0</v>
      </c>
      <c r="P1150" s="1297">
        <f>IF(COUNT($H1150:O1150)&gt;='RFM input'!$AA$7,0,P784*P$6)</f>
        <v>0</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321.6276646888191</v>
      </c>
      <c r="H1189" s="1324">
        <f>SUM(H1190:H1239)</f>
        <v>317.93338228609718</v>
      </c>
      <c r="I1189" s="1324">
        <f t="shared" ref="I1189:R1189" si="170">SUM(I1190:I1239)</f>
        <v>315.28597857627835</v>
      </c>
      <c r="J1189" s="1324">
        <f t="shared" si="170"/>
        <v>313.28202847942038</v>
      </c>
      <c r="K1189" s="1324">
        <f t="shared" si="170"/>
        <v>310.45164460201283</v>
      </c>
      <c r="L1189" s="1324">
        <f t="shared" si="170"/>
        <v>303.42945151658427</v>
      </c>
      <c r="M1189" s="1324">
        <f t="shared" si="170"/>
        <v>309.06945790417899</v>
      </c>
      <c r="N1189" s="1324">
        <f t="shared" si="170"/>
        <v>323.32460716569256</v>
      </c>
      <c r="O1189" s="1324">
        <f t="shared" si="170"/>
        <v>313.8531535020046</v>
      </c>
      <c r="P1189" s="1324">
        <f t="shared" si="170"/>
        <v>304.7568845405911</v>
      </c>
      <c r="Q1189" s="1324">
        <f t="shared" si="170"/>
        <v>296.02111919918843</v>
      </c>
      <c r="R1189" s="1324">
        <f t="shared" si="170"/>
        <v>287.9494721418788</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239.56529446685127</v>
      </c>
      <c r="H1190" s="1272">
        <f t="shared" ref="H1190:H1219" si="171">G1190+G1242+G1294+G1346+G1398+G1450</f>
        <v>238.35232489350605</v>
      </c>
      <c r="I1190" s="1297">
        <f t="shared" ref="I1190:J1199" si="172">H1190+H1242+H1294</f>
        <v>239.09124323499697</v>
      </c>
      <c r="J1190" s="1297">
        <f t="shared" si="172"/>
        <v>240.11387118356811</v>
      </c>
      <c r="K1190" s="1297">
        <f>IF(COUNT($H1190:J1190)&gt;'RFM input'!$AA$7,0, J1190+J1242+J1294)</f>
        <v>239.92922416605845</v>
      </c>
      <c r="L1190" s="1297">
        <f>IF(COUNT($H1190:K1190)&gt;'RFM input'!$AA$7,0, K1190+K1242+K1294)</f>
        <v>236.34280502728978</v>
      </c>
      <c r="M1190" s="1297">
        <f>IF(COUNT($H1190:L1190)&gt;'RFM input'!$AA$7,0, L1190+L1242+L1294)</f>
        <v>241.97342675790549</v>
      </c>
      <c r="N1190" s="1297">
        <f>IF(COUNT($H1190:M1190)&gt;'RFM input'!$AA$7,0, M1190+M1242+M1294)</f>
        <v>252.58276281175188</v>
      </c>
      <c r="O1190" s="1297">
        <f>IF(COUNT($H1190:N1190)&gt;'RFM input'!$AA$7,0, N1190+N1242+N1294)</f>
        <v>248.06163046568182</v>
      </c>
      <c r="P1190" s="1297">
        <f>IF(COUNT($H1190:O1190)&gt;'RFM input'!$AA$7,0, O1190+O1242+O1294)</f>
        <v>243.54049811961175</v>
      </c>
      <c r="Q1190" s="1297">
        <f>IF(COUNT($H1190:P1190)&gt;'RFM input'!$AA$7,0, P1190+P1242+P1294)</f>
        <v>239.01936577354169</v>
      </c>
      <c r="R1190" s="1297">
        <f>IF(COUNT($H1190:Q1190)&gt;'RFM input'!$AA$7,0, Q1190+Q1242+Q1294)</f>
        <v>234.49823342747163</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44.311963353037747</v>
      </c>
      <c r="H1191" s="1272">
        <f t="shared" si="171"/>
        <v>43.128644987341033</v>
      </c>
      <c r="I1191" s="1297">
        <f t="shared" si="172"/>
        <v>42.929875834125703</v>
      </c>
      <c r="J1191" s="1297">
        <f t="shared" si="172"/>
        <v>42.149539559766431</v>
      </c>
      <c r="K1191" s="1297">
        <f>IF(COUNT($H1191:J1191)&gt;'RFM input'!$AA$7,0, J1191+J1243+J1295)</f>
        <v>41.40829031110664</v>
      </c>
      <c r="L1191" s="1297">
        <f>IF(COUNT($H1191:K1191)&gt;'RFM input'!$AA$7,0, K1191+K1243+K1295)</f>
        <v>39.725355300630874</v>
      </c>
      <c r="M1191" s="1297">
        <f>IF(COUNT($H1191:L1191)&gt;'RFM input'!$AA$7,0, L1191+L1243+L1295)</f>
        <v>40.123270124608815</v>
      </c>
      <c r="N1191" s="1297">
        <f>IF(COUNT($H1191:M1191)&gt;'RFM input'!$AA$7,0, M1191+M1243+M1295)</f>
        <v>40.751027908714221</v>
      </c>
      <c r="O1191" s="1297">
        <f>IF(COUNT($H1191:N1191)&gt;'RFM input'!$AA$7,0, N1191+N1243+N1295)</f>
        <v>38.800374108746674</v>
      </c>
      <c r="P1191" s="1297">
        <f>IF(COUNT($H1191:O1191)&gt;'RFM input'!$AA$7,0, O1191+O1243+O1295)</f>
        <v>36.849720308779126</v>
      </c>
      <c r="Q1191" s="1297">
        <f>IF(COUNT($H1191:P1191)&gt;'RFM input'!$AA$7,0, P1191+P1243+P1295)</f>
        <v>34.899066508811579</v>
      </c>
      <c r="R1191" s="1297">
        <f>IF(COUNT($H1191:Q1191)&gt;'RFM input'!$AA$7,0, Q1191+Q1243+Q1295)</f>
        <v>32.948412708844032</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0.11101439770758323</v>
      </c>
      <c r="H1192" s="1272">
        <f t="shared" si="171"/>
        <v>0.11871236856194015</v>
      </c>
      <c r="I1192" s="1297">
        <f t="shared" si="172"/>
        <v>0.11826738355421404</v>
      </c>
      <c r="J1192" s="1297">
        <f t="shared" si="172"/>
        <v>0.11793108844965508</v>
      </c>
      <c r="K1192" s="1297">
        <f>IF(COUNT($H1192:J1192)&gt;'RFM input'!$AA$7,0, J1192+J1244+J1296)</f>
        <v>0.11695807442954378</v>
      </c>
      <c r="L1192" s="1297">
        <f>IF(COUNT($H1192:K1192)&gt;'RFM input'!$AA$7,0, K1192+K1244+K1296)</f>
        <v>0.11365356955795748</v>
      </c>
      <c r="M1192" s="1297">
        <f>IF(COUNT($H1192:L1192)&gt;'RFM input'!$AA$7,0, L1192+L1244+L1296)</f>
        <v>0.11513796927226805</v>
      </c>
      <c r="N1192" s="1297">
        <f>IF(COUNT($H1192:M1192)&gt;'RFM input'!$AA$7,0, M1192+M1244+M1296)</f>
        <v>0.11921501979057827</v>
      </c>
      <c r="O1192" s="1297">
        <f>IF(COUNT($H1192:N1192)&gt;'RFM input'!$AA$7,0, N1192+N1244+N1296)</f>
        <v>0.11603287810892154</v>
      </c>
      <c r="P1192" s="1297">
        <f>IF(COUNT($H1192:O1192)&gt;'RFM input'!$AA$7,0, O1192+O1244+O1296)</f>
        <v>0.11285073642726481</v>
      </c>
      <c r="Q1192" s="1297">
        <f>IF(COUNT($H1192:P1192)&gt;'RFM input'!$AA$7,0, P1192+P1244+P1296)</f>
        <v>0.10966859474560808</v>
      </c>
      <c r="R1192" s="1297">
        <f>IF(COUNT($H1192:Q1192)&gt;'RFM input'!$AA$7,0, Q1192+Q1244+Q1296)</f>
        <v>0.10648645306395135</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8.0913494859486885</v>
      </c>
      <c r="H1193" s="1272">
        <f t="shared" si="171"/>
        <v>7.9377255785502125</v>
      </c>
      <c r="I1193" s="1297">
        <f t="shared" si="172"/>
        <v>7.8650727172916781</v>
      </c>
      <c r="J1193" s="1297">
        <f t="shared" si="172"/>
        <v>7.7979665876311053</v>
      </c>
      <c r="K1193" s="1297">
        <f>IF(COUNT($H1193:J1193)&gt;'RFM input'!$AA$7,0, J1193+J1245+J1297)</f>
        <v>7.6868747881573922</v>
      </c>
      <c r="L1193" s="1297">
        <f>IF(COUNT($H1193:K1193)&gt;'RFM input'!$AA$7,0, K1193+K1245+K1297)</f>
        <v>7.421035799638771</v>
      </c>
      <c r="M1193" s="1297">
        <f>IF(COUNT($H1193:L1193)&gt;'RFM input'!$AA$7,0, L1193+L1245+L1297)</f>
        <v>7.4682377466277705</v>
      </c>
      <c r="N1193" s="1297">
        <f>IF(COUNT($H1193:M1193)&gt;'RFM input'!$AA$7,0, M1193+M1245+M1297)</f>
        <v>8.1120166069317321</v>
      </c>
      <c r="O1193" s="1297">
        <f>IF(COUNT($H1193:N1193)&gt;'RFM input'!$AA$7,0, N1193+N1245+N1297)</f>
        <v>7.8402540716712048</v>
      </c>
      <c r="P1193" s="1297">
        <f>IF(COUNT($H1193:O1193)&gt;'RFM input'!$AA$7,0, O1193+O1245+O1297)</f>
        <v>7.5684915364106775</v>
      </c>
      <c r="Q1193" s="1297">
        <f>IF(COUNT($H1193:P1193)&gt;'RFM input'!$AA$7,0, P1193+P1245+P1297)</f>
        <v>7.2967290011501502</v>
      </c>
      <c r="R1193" s="1297">
        <f>IF(COUNT($H1193:Q1193)&gt;'RFM input'!$AA$7,0, Q1193+Q1245+Q1297)</f>
        <v>7.0249664658896229</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0.10522313436725229</v>
      </c>
      <c r="H1194" s="1272">
        <f t="shared" si="171"/>
        <v>0.1049274748379232</v>
      </c>
      <c r="I1194" s="1297">
        <f t="shared" si="172"/>
        <v>0.10559747003844691</v>
      </c>
      <c r="J1194" s="1297">
        <f t="shared" si="172"/>
        <v>0.10640618749945682</v>
      </c>
      <c r="K1194" s="1297">
        <f>IF(COUNT($H1194:J1194)&gt;'RFM input'!$AA$7,0, J1194+J1246+J1298)</f>
        <v>0.10668710386583365</v>
      </c>
      <c r="L1194" s="1297">
        <f>IF(COUNT($H1194:K1194)&gt;'RFM input'!$AA$7,0, K1194+K1246+K1298)</f>
        <v>0.10487879766287667</v>
      </c>
      <c r="M1194" s="1297">
        <f>IF(COUNT($H1194:L1194)&gt;'RFM input'!$AA$7,0, L1194+L1246+L1298)</f>
        <v>0.10748102892403578</v>
      </c>
      <c r="N1194" s="1297">
        <f>IF(COUNT($H1194:M1194)&gt;'RFM input'!$AA$7,0, M1194+M1246+M1298)</f>
        <v>0.11259887394197321</v>
      </c>
      <c r="O1194" s="1297">
        <f>IF(COUNT($H1194:N1194)&gt;'RFM input'!$AA$7,0, N1194+N1246+N1298)</f>
        <v>0.11102089486301529</v>
      </c>
      <c r="P1194" s="1297">
        <f>IF(COUNT($H1194:O1194)&gt;'RFM input'!$AA$7,0, O1194+O1246+O1298)</f>
        <v>0.10944291578405738</v>
      </c>
      <c r="Q1194" s="1297">
        <f>IF(COUNT($H1194:P1194)&gt;'RFM input'!$AA$7,0, P1194+P1246+P1298)</f>
        <v>0.10786493670509946</v>
      </c>
      <c r="R1194" s="1297">
        <f>IF(COUNT($H1194:Q1194)&gt;'RFM input'!$AA$7,0, Q1194+Q1246+Q1298)</f>
        <v>0.10628695762614154</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0.87117360034144375</v>
      </c>
      <c r="H1195" s="1272">
        <f t="shared" si="171"/>
        <v>1.8625275471170539</v>
      </c>
      <c r="I1195" s="1297">
        <f t="shared" si="172"/>
        <v>1.7644379290462022</v>
      </c>
      <c r="J1195" s="1297">
        <f t="shared" si="172"/>
        <v>1.7419832557380865</v>
      </c>
      <c r="K1195" s="1297">
        <f>IF(COUNT($H1195:J1195)&gt;'RFM input'!$AA$7,0, J1195+J1247+J1299)</f>
        <v>1.9791384339254914</v>
      </c>
      <c r="L1195" s="1297">
        <f>IF(COUNT($H1195:K1195)&gt;'RFM input'!$AA$7,0, K1195+K1247+K1299)</f>
        <v>2.0322983034726998</v>
      </c>
      <c r="M1195" s="1297">
        <f>IF(COUNT($H1195:L1195)&gt;'RFM input'!$AA$7,0, L1195+L1247+L1299)</f>
        <v>1.9190499303583297</v>
      </c>
      <c r="N1195" s="1297">
        <f>IF(COUNT($H1195:M1195)&gt;'RFM input'!$AA$7,0, M1195+M1247+M1299)</f>
        <v>1.8381955910638847</v>
      </c>
      <c r="O1195" s="1297">
        <f>IF(COUNT($H1195:N1195)&gt;'RFM input'!$AA$7,0, N1195+N1247+N1299)</f>
        <v>1.6272054982180402</v>
      </c>
      <c r="P1195" s="1297">
        <f>IF(COUNT($H1195:O1195)&gt;'RFM input'!$AA$7,0, O1195+O1247+O1299)</f>
        <v>1.4162154053721956</v>
      </c>
      <c r="Q1195" s="1297">
        <f>IF(COUNT($H1195:P1195)&gt;'RFM input'!$AA$7,0, P1195+P1247+P1299)</f>
        <v>1.205225312526351</v>
      </c>
      <c r="R1195" s="1297">
        <f>IF(COUNT($H1195:Q1195)&gt;'RFM input'!$AA$7,0, Q1195+Q1247+Q1299)</f>
        <v>0.99423521968050643</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4.2714159907899152</v>
      </c>
      <c r="H1196" s="1272">
        <f t="shared" si="171"/>
        <v>4.2455440809339686</v>
      </c>
      <c r="I1196" s="1297">
        <f t="shared" si="172"/>
        <v>4.2595179959000582</v>
      </c>
      <c r="J1196" s="1297">
        <f t="shared" si="172"/>
        <v>4.2785779442521621</v>
      </c>
      <c r="K1196" s="1297">
        <f>IF(COUNT($H1196:J1196)&gt;'RFM input'!$AA$7,0, J1196+J1248+J1300)</f>
        <v>4.2758500247493778</v>
      </c>
      <c r="L1196" s="1297">
        <f>IF(COUNT($H1196:K1196)&gt;'RFM input'!$AA$7,0, K1196+K1248+K1300)</f>
        <v>4.1889402362476016</v>
      </c>
      <c r="M1196" s="1297">
        <f>IF(COUNT($H1196:L1196)&gt;'RFM input'!$AA$7,0, L1196+L1248+L1300)</f>
        <v>4.2782928765466695</v>
      </c>
      <c r="N1196" s="1297">
        <f>IF(COUNT($H1196:M1196)&gt;'RFM input'!$AA$7,0, M1196+M1248+M1300)</f>
        <v>4.466664147690059</v>
      </c>
      <c r="O1196" s="1297">
        <f>IF(COUNT($H1196:N1196)&gt;'RFM input'!$AA$7,0, N1196+N1248+N1300)</f>
        <v>4.387564565486489</v>
      </c>
      <c r="P1196" s="1297">
        <f>IF(COUNT($H1196:O1196)&gt;'RFM input'!$AA$7,0, O1196+O1248+O1300)</f>
        <v>4.3084649832829189</v>
      </c>
      <c r="Q1196" s="1297">
        <f>IF(COUNT($H1196:P1196)&gt;'RFM input'!$AA$7,0, P1196+P1248+P1300)</f>
        <v>4.2293654010793489</v>
      </c>
      <c r="R1196" s="1297">
        <f>IF(COUNT($H1196:Q1196)&gt;'RFM input'!$AA$7,0, Q1196+Q1248+Q1300)</f>
        <v>4.1502658188757788</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1.3334824275865296E-2</v>
      </c>
      <c r="H1197" s="1272">
        <f t="shared" si="171"/>
        <v>1.3471273640548568E-2</v>
      </c>
      <c r="I1197" s="1297">
        <f t="shared" si="172"/>
        <v>1.3731767882216634E-2</v>
      </c>
      <c r="J1197" s="1297">
        <f t="shared" si="172"/>
        <v>1.401707109928166E-2</v>
      </c>
      <c r="K1197" s="1297">
        <f>IF(COUNT($H1197:J1197)&gt;'RFM input'!$AA$7,0, J1197+J1249+J1301)</f>
        <v>1.4240351877854289E-2</v>
      </c>
      <c r="L1197" s="1297">
        <f>IF(COUNT($H1197:K1197)&gt;'RFM input'!$AA$7,0, K1197+K1249+K1301)</f>
        <v>1.4190733927060372E-2</v>
      </c>
      <c r="M1197" s="1297">
        <f>IF(COUNT($H1197:L1197)&gt;'RFM input'!$AA$7,0, L1197+L1249+L1301)</f>
        <v>1.473653138579346E-2</v>
      </c>
      <c r="N1197" s="1297">
        <f>IF(COUNT($H1197:M1197)&gt;'RFM input'!$AA$7,0, M1197+M1249+M1301)</f>
        <v>1.5642058987782453E-2</v>
      </c>
      <c r="O1197" s="1297">
        <f>IF(COUNT($H1197:N1197)&gt;'RFM input'!$AA$7,0, N1197+N1249+N1301)</f>
        <v>1.5642058987782453E-2</v>
      </c>
      <c r="P1197" s="1297">
        <f>IF(COUNT($H1197:O1197)&gt;'RFM input'!$AA$7,0, O1197+O1249+O1301)</f>
        <v>1.5642058987782453E-2</v>
      </c>
      <c r="Q1197" s="1297">
        <f>IF(COUNT($H1197:P1197)&gt;'RFM input'!$AA$7,0, P1197+P1249+P1301)</f>
        <v>1.5642058987782453E-2</v>
      </c>
      <c r="R1197" s="1297">
        <f>IF(COUNT($H1197:Q1197)&gt;'RFM input'!$AA$7,0, Q1197+Q1249+Q1301)</f>
        <v>1.5642058987782453E-2</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6.6973907050025856</v>
      </c>
      <c r="H1198" s="1272">
        <f t="shared" si="171"/>
        <v>6.7790268728406859</v>
      </c>
      <c r="I1198" s="1297">
        <f t="shared" si="172"/>
        <v>6.8300150296711521</v>
      </c>
      <c r="J1198" s="1297">
        <f t="shared" si="172"/>
        <v>7.2319741683185343</v>
      </c>
      <c r="K1198" s="1297">
        <f>IF(COUNT($H1198:J1198)&gt;'RFM input'!$AA$7,0, J1198+J1250+J1302)</f>
        <v>7.4514736252754599</v>
      </c>
      <c r="L1198" s="1297">
        <f>IF(COUNT($H1198:K1198)&gt;'RFM input'!$AA$7,0, K1198+K1250+K1302)</f>
        <v>7.4157211143520954</v>
      </c>
      <c r="M1198" s="1297">
        <f>IF(COUNT($H1198:L1198)&gt;'RFM input'!$AA$7,0, L1198+L1250+L1302)</f>
        <v>7.6775560607276239</v>
      </c>
      <c r="N1198" s="1297">
        <f>IF(COUNT($H1198:M1198)&gt;'RFM input'!$AA$7,0, M1198+M1250+M1302)</f>
        <v>7.9207733653341315</v>
      </c>
      <c r="O1198" s="1297">
        <f>IF(COUNT($H1198:N1198)&gt;'RFM input'!$AA$7,0, N1198+N1250+N1302)</f>
        <v>7.8027931087750062</v>
      </c>
      <c r="P1198" s="1297">
        <f>IF(COUNT($H1198:O1198)&gt;'RFM input'!$AA$7,0, O1198+O1250+O1302)</f>
        <v>7.684812852215881</v>
      </c>
      <c r="Q1198" s="1297">
        <f>IF(COUNT($H1198:P1198)&gt;'RFM input'!$AA$7,0, P1198+P1250+P1302)</f>
        <v>7.5668325956567557</v>
      </c>
      <c r="R1198" s="1297">
        <f>IF(COUNT($H1198:Q1198)&gt;'RFM input'!$AA$7,0, Q1198+Q1250+Q1302)</f>
        <v>7.4488523390976304</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1.0586431896429707</v>
      </c>
      <c r="H1199" s="1272">
        <f t="shared" si="171"/>
        <v>0.57276504242855342</v>
      </c>
      <c r="I1199" s="1297">
        <f t="shared" si="172"/>
        <v>0.1300169418297068</v>
      </c>
      <c r="J1199" s="1297">
        <f t="shared" si="172"/>
        <v>7.2822686491266636E-3</v>
      </c>
      <c r="K1199" s="1297">
        <f>IF(COUNT($H1199:J1199)&gt;'RFM input'!$AA$7,0, J1199+J1251+J1303)</f>
        <v>7.0349728225792474E-3</v>
      </c>
      <c r="L1199" s="1297">
        <f>IF(COUNT($H1199:K1199)&gt;'RFM input'!$AA$7,0, K1199+K1251+K1303)</f>
        <v>1.0541200945665214</v>
      </c>
      <c r="M1199" s="1297">
        <f>IF(COUNT($H1199:L1199)&gt;'RFM input'!$AA$7,0, L1199+L1251+L1303)</f>
        <v>0.88552959067595327</v>
      </c>
      <c r="N1199" s="1297">
        <f>IF(COUNT($H1199:M1199)&gt;'RFM input'!$AA$7,0, M1199+M1251+M1303)</f>
        <v>0.72276625429668706</v>
      </c>
      <c r="O1199" s="1297">
        <f>IF(COUNT($H1199:N1199)&gt;'RFM input'!$AA$7,0, N1199+N1251+N1303)</f>
        <v>0.49224399947184772</v>
      </c>
      <c r="P1199" s="1297">
        <f>IF(COUNT($H1199:O1199)&gt;'RFM input'!$AA$7,0, O1199+O1251+O1303)</f>
        <v>0.26212715789465513</v>
      </c>
      <c r="Q1199" s="1297">
        <f>IF(COUNT($H1199:P1199)&gt;'RFM input'!$AA$7,0, P1199+P1251+P1303)</f>
        <v>3.2010316317462512E-2</v>
      </c>
      <c r="R1199" s="1297">
        <f>IF(COUNT($H1199:Q1199)&gt;'RFM input'!$AA$7,0, Q1199+Q1251+Q1303)</f>
        <v>3.2010314929476862E-2</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1.7092659212322057</v>
      </c>
      <c r="H1200" s="1272">
        <f t="shared" si="171"/>
        <v>1.4959406270712703</v>
      </c>
      <c r="I1200" s="1297">
        <f t="shared" ref="I1200:J1209" si="173">H1200+H1252+H1304</f>
        <v>1.2933717281036052</v>
      </c>
      <c r="J1200" s="1297">
        <f t="shared" si="173"/>
        <v>1.0842715818385222</v>
      </c>
      <c r="K1200" s="1297">
        <f>IF(COUNT($H1200:J1200)&gt;'RFM input'!$AA$7,0, J1200+J1252+J1304)</f>
        <v>0.8606680280343445</v>
      </c>
      <c r="L1200" s="1297">
        <f>IF(COUNT($H1200:K1200)&gt;'RFM input'!$AA$7,0, K1200+K1252+K1304)</f>
        <v>0.6129570991299903</v>
      </c>
      <c r="M1200" s="1297">
        <f>IF(COUNT($H1200:L1200)&gt;'RFM input'!$AA$7,0, L1200+L1252+L1304)</f>
        <v>0.39267294192287916</v>
      </c>
      <c r="N1200" s="1297">
        <f>IF(COUNT($H1200:M1200)&gt;'RFM input'!$AA$7,0, M1200+M1252+M1304)</f>
        <v>0.16356319571245023</v>
      </c>
      <c r="O1200" s="1297">
        <f>IF(COUNT($H1200:N1200)&gt;'RFM input'!$AA$7,0, N1200+N1252+N1304)</f>
        <v>2.1587646361771351E-2</v>
      </c>
      <c r="P1200" s="1297">
        <f>IF(COUNT($H1200:O1200)&gt;'RFM input'!$AA$7,0, O1200+O1252+O1304)</f>
        <v>2.1587646361771351E-2</v>
      </c>
      <c r="Q1200" s="1297">
        <f>IF(COUNT($H1200:P1200)&gt;'RFM input'!$AA$7,0, P1200+P1252+P1304)</f>
        <v>2.1587646361771351E-2</v>
      </c>
      <c r="R1200" s="1297">
        <f>IF(COUNT($H1200:Q1200)&gt;'RFM input'!$AA$7,0, Q1200+Q1252+Q1304)</f>
        <v>2.1587646361771351E-2</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2.6665477359291296</v>
      </c>
      <c r="H1201" s="1272">
        <f t="shared" si="171"/>
        <v>3.6617975869025572</v>
      </c>
      <c r="I1201" s="1297">
        <f t="shared" si="173"/>
        <v>3.4777665644108753</v>
      </c>
      <c r="J1201" s="1297">
        <f t="shared" si="173"/>
        <v>3.5641296312883304</v>
      </c>
      <c r="K1201" s="1297">
        <f>IF(COUNT($H1201:J1201)&gt;'RFM input'!$AA$7,0, J1201+J1253+J1305)</f>
        <v>3.9988520443834918</v>
      </c>
      <c r="L1201" s="1297">
        <f>IF(COUNT($H1201:K1201)&gt;'RFM input'!$AA$7,0, K1201+K1253+K1305)</f>
        <v>3.4880154774435397</v>
      </c>
      <c r="M1201" s="1297">
        <f>IF(COUNT($H1201:L1201)&gt;'RFM input'!$AA$7,0, L1201+L1253+L1305)</f>
        <v>3.1335195112611229</v>
      </c>
      <c r="N1201" s="1297">
        <f>IF(COUNT($H1201:M1201)&gt;'RFM input'!$AA$7,0, M1201+M1253+M1305)</f>
        <v>5.4639335440261352</v>
      </c>
      <c r="O1201" s="1297">
        <f>IF(COUNT($H1201:N1201)&gt;'RFM input'!$AA$7,0, N1201+N1253+N1305)</f>
        <v>3.8130388553076191</v>
      </c>
      <c r="P1201" s="1297">
        <f>IF(COUNT($H1201:O1201)&gt;'RFM input'!$AA$7,0, O1201+O1253+O1305)</f>
        <v>2.3949479062652923</v>
      </c>
      <c r="Q1201" s="1297">
        <f>IF(COUNT($H1201:P1201)&gt;'RFM input'!$AA$7,0, P1201+P1253+P1305)</f>
        <v>1.3373605772339348</v>
      </c>
      <c r="R1201" s="1297">
        <f>IF(COUNT($H1201:Q1201)&gt;'RFM input'!$AA$7,0, Q1201+Q1253+Q1305)</f>
        <v>0.51886190200881255</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0</v>
      </c>
      <c r="I1202" s="1297">
        <f t="shared" si="173"/>
        <v>0</v>
      </c>
      <c r="J1202" s="1297">
        <f t="shared" si="173"/>
        <v>0</v>
      </c>
      <c r="K1202" s="1297">
        <f>IF(COUNT($H1202:J1202)&gt;'RFM input'!$AA$7,0, J1202+J1254+J1306)</f>
        <v>0</v>
      </c>
      <c r="L1202" s="1297">
        <f>IF(COUNT($H1202:K1202)&gt;'RFM input'!$AA$7,0, K1202+K1254+K1306)</f>
        <v>0.887231891481851</v>
      </c>
      <c r="M1202" s="1297">
        <f>IF(COUNT($H1202:L1202)&gt;'RFM input'!$AA$7,0, L1202+L1254+L1306)</f>
        <v>0.95121229850342703</v>
      </c>
      <c r="N1202" s="1297">
        <f>IF(COUNT($H1202:M1202)&gt;'RFM input'!$AA$7,0, M1202+M1254+M1306)</f>
        <v>1.0243107089885035</v>
      </c>
      <c r="O1202" s="1297">
        <f>IF(COUNT($H1202:N1202)&gt;'RFM input'!$AA$7,0, N1202+N1254+N1306)</f>
        <v>0.73262827186180646</v>
      </c>
      <c r="P1202" s="1297">
        <f>IF(COUNT($H1202:O1202)&gt;'RFM input'!$AA$7,0, O1202+O1254+O1306)</f>
        <v>0.44094583473510934</v>
      </c>
      <c r="Q1202" s="1297">
        <f>IF(COUNT($H1202:P1202)&gt;'RFM input'!$AA$7,0, P1202+P1254+P1306)</f>
        <v>0.14926339760841223</v>
      </c>
      <c r="R1202" s="1297">
        <f>IF(COUNT($H1202:Q1202)&gt;'RFM input'!$AA$7,0, Q1202+Q1254+Q1306)</f>
        <v>5.2493750579034618E-2</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12.155047883692397</v>
      </c>
      <c r="H1203" s="1272">
        <f t="shared" si="171"/>
        <v>9.6599739523653643</v>
      </c>
      <c r="I1203" s="1297">
        <f t="shared" si="173"/>
        <v>7.4070639794274857</v>
      </c>
      <c r="J1203" s="1297">
        <f t="shared" si="173"/>
        <v>5.0740779513216054</v>
      </c>
      <c r="K1203" s="1297">
        <f>IF(COUNT($H1203:J1203)&gt;'RFM input'!$AA$7,0, J1203+J1255+J1307)</f>
        <v>2.616352677326331</v>
      </c>
      <c r="L1203" s="1297">
        <f>IF(COUNT($H1203:K1203)&gt;'RFM input'!$AA$7,0, K1203+K1255+K1307)</f>
        <v>2.8248071182555012E-2</v>
      </c>
      <c r="M1203" s="1297">
        <f>IF(COUNT($H1203:L1203)&gt;'RFM input'!$AA$7,0, L1203+L1255+L1307)</f>
        <v>2.9334535458807126E-2</v>
      </c>
      <c r="N1203" s="1297">
        <f>IF(COUNT($H1203:M1203)&gt;'RFM input'!$AA$7,0, M1203+M1255+M1307)</f>
        <v>3.1137078462589046E-2</v>
      </c>
      <c r="O1203" s="1297">
        <f>IF(COUNT($H1203:N1203)&gt;'RFM input'!$AA$7,0, N1203+N1255+N1307)</f>
        <v>3.1137078462589046E-2</v>
      </c>
      <c r="P1203" s="1297">
        <f>IF(COUNT($H1203:O1203)&gt;'RFM input'!$AA$7,0, O1203+O1255+O1307)</f>
        <v>3.1137078462589046E-2</v>
      </c>
      <c r="Q1203" s="1297">
        <f>IF(COUNT($H1203:P1203)&gt;'RFM input'!$AA$7,0, P1203+P1255+P1307)</f>
        <v>3.1137078462589046E-2</v>
      </c>
      <c r="R1203" s="1297">
        <f>IF(COUNT($H1203:Q1203)&gt;'RFM input'!$AA$7,0, Q1203+Q1255+Q1307)</f>
        <v>3.1137078462589046E-2</v>
      </c>
      <c r="S1203" s="75"/>
      <c r="T1203" s="75"/>
      <c r="U1203" s="75"/>
      <c r="V1203" s="75"/>
      <c r="W1203" s="75"/>
      <c r="X1203" s="75"/>
      <c r="Y1203" s="75"/>
      <c r="Z1203" s="75"/>
    </row>
    <row r="1204" spans="1:26" hidden="1" outlineLevel="1">
      <c r="A1204" s="3"/>
      <c r="B1204" s="3"/>
      <c r="C1204" s="29"/>
      <c r="D1204" s="153">
        <f>Asset15</f>
        <v>0</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v>
      </c>
      <c r="P1204" s="1297">
        <f>IF(COUNT($H1204:O1204)&gt;'RFM input'!$AA$7,0, O1204+O1256+O1308)</f>
        <v>0</v>
      </c>
      <c r="Q1204" s="1297">
        <f>IF(COUNT($H1204:P1204)&gt;'RFM input'!$AA$7,0, P1204+P1256+P1308)</f>
        <v>0</v>
      </c>
      <c r="R1204" s="1297">
        <f>IF(COUNT($H1204:Q1204)&gt;'RFM input'!$AA$7,0, Q1204+Q1256+Q1308)</f>
        <v>0</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3.3761323594417614</v>
      </c>
      <c r="H1241" s="1269">
        <f t="shared" ref="H1241:Q1241" si="177">SUM(H1242:H1291)</f>
        <v>1.2281307669939858</v>
      </c>
      <c r="I1241" s="1269">
        <f t="shared" si="177"/>
        <v>1.4698067254304825</v>
      </c>
      <c r="J1241" s="1269">
        <f t="shared" si="177"/>
        <v>2.5014600678213519</v>
      </c>
      <c r="K1241" s="1269">
        <f t="shared" si="177"/>
        <v>4.9102802702613868</v>
      </c>
      <c r="L1241" s="1269">
        <f t="shared" si="177"/>
        <v>2.188570339223725</v>
      </c>
      <c r="M1241" s="1269">
        <f t="shared" si="177"/>
        <v>3.7466562402508252</v>
      </c>
      <c r="N1241" s="1269">
        <f t="shared" si="177"/>
        <v>0</v>
      </c>
      <c r="O1241" s="1269">
        <f t="shared" si="177"/>
        <v>0</v>
      </c>
      <c r="P1241" s="1269">
        <f t="shared" si="177"/>
        <v>0</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0.28598169103724558</v>
      </c>
      <c r="H1242" s="1297">
        <f t="shared" ref="H1242:Q1242" si="178">H64*H$7</f>
        <v>0</v>
      </c>
      <c r="I1242" s="1297">
        <f t="shared" si="178"/>
        <v>0</v>
      </c>
      <c r="J1242" s="1297">
        <f t="shared" si="178"/>
        <v>1.743458586527185E-2</v>
      </c>
      <c r="K1242" s="1297">
        <f t="shared" si="178"/>
        <v>1.3408423020515747</v>
      </c>
      <c r="L1242" s="1297">
        <f t="shared" si="178"/>
        <v>0.63423178734263486</v>
      </c>
      <c r="M1242" s="1297">
        <f t="shared" si="178"/>
        <v>0</v>
      </c>
      <c r="N1242" s="1297">
        <f t="shared" si="178"/>
        <v>0</v>
      </c>
      <c r="O1242" s="1297">
        <f t="shared" si="178"/>
        <v>0</v>
      </c>
      <c r="P1242" s="1297">
        <f t="shared" si="178"/>
        <v>0</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1.2516034431101927E-2</v>
      </c>
      <c r="H1243" s="1297">
        <f t="shared" ref="H1243:Q1243" si="179">H65*H$7</f>
        <v>0.59889430094813101</v>
      </c>
      <c r="I1243" s="1297">
        <f t="shared" si="179"/>
        <v>8.351113026066519E-3</v>
      </c>
      <c r="J1243" s="1297">
        <f t="shared" si="179"/>
        <v>0.3031401080673542</v>
      </c>
      <c r="K1243" s="1297">
        <f t="shared" si="179"/>
        <v>0.2132731040941076</v>
      </c>
      <c r="L1243" s="1297">
        <f t="shared" si="179"/>
        <v>0.6219129060742431</v>
      </c>
      <c r="M1243" s="1297">
        <f t="shared" si="179"/>
        <v>3.0383456195806359E-17</v>
      </c>
      <c r="N1243" s="1297">
        <f t="shared" si="179"/>
        <v>0</v>
      </c>
      <c r="O1243" s="1297">
        <f t="shared" si="179"/>
        <v>0</v>
      </c>
      <c r="P1243" s="1297">
        <f t="shared" si="179"/>
        <v>0</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9.187412422104484E-3</v>
      </c>
      <c r="H1244" s="1297">
        <f t="shared" ref="H1244:Q1244" si="180">H66*H$7</f>
        <v>0</v>
      </c>
      <c r="I1244" s="1297">
        <f t="shared" si="180"/>
        <v>0</v>
      </c>
      <c r="J1244" s="1297">
        <f t="shared" si="180"/>
        <v>0</v>
      </c>
      <c r="K1244" s="1297">
        <f t="shared" si="180"/>
        <v>0</v>
      </c>
      <c r="L1244" s="1297">
        <f t="shared" si="180"/>
        <v>0</v>
      </c>
      <c r="M1244" s="1297">
        <f t="shared" si="180"/>
        <v>0</v>
      </c>
      <c r="N1244" s="1297">
        <f t="shared" si="180"/>
        <v>0</v>
      </c>
      <c r="O1244" s="1297">
        <f t="shared" si="180"/>
        <v>0</v>
      </c>
      <c r="P1244" s="1297">
        <f t="shared" si="180"/>
        <v>0</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0</v>
      </c>
      <c r="H1245" s="1297">
        <f t="shared" ref="H1245:Q1245" si="181">H67*H$7</f>
        <v>0</v>
      </c>
      <c r="I1245" s="1297">
        <f t="shared" si="181"/>
        <v>0</v>
      </c>
      <c r="J1245" s="1297">
        <f t="shared" si="181"/>
        <v>0</v>
      </c>
      <c r="K1245" s="1297">
        <f t="shared" si="181"/>
        <v>0</v>
      </c>
      <c r="L1245" s="1297">
        <f t="shared" si="181"/>
        <v>0</v>
      </c>
      <c r="M1245" s="1297">
        <f t="shared" si="181"/>
        <v>0.43225690635436659</v>
      </c>
      <c r="N1245" s="1297">
        <f t="shared" si="181"/>
        <v>0</v>
      </c>
      <c r="O1245" s="1297">
        <f t="shared" si="181"/>
        <v>0</v>
      </c>
      <c r="P1245" s="1297">
        <f t="shared" si="181"/>
        <v>0</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0</v>
      </c>
      <c r="K1246" s="1297">
        <f t="shared" si="182"/>
        <v>0</v>
      </c>
      <c r="L1246" s="1297">
        <f t="shared" si="182"/>
        <v>0</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1.0594006085425263</v>
      </c>
      <c r="H1247" s="1297">
        <f t="shared" ref="H1247:Q1247" si="183">H69*H$7</f>
        <v>4.0593497104851892E-3</v>
      </c>
      <c r="I1247" s="1297">
        <f t="shared" si="183"/>
        <v>8.1998064557741834E-2</v>
      </c>
      <c r="J1247" s="1297">
        <f t="shared" si="183"/>
        <v>0.35903100207135785</v>
      </c>
      <c r="K1247" s="1297">
        <f t="shared" si="183"/>
        <v>0.23638011881474144</v>
      </c>
      <c r="L1247" s="1297">
        <f t="shared" si="183"/>
        <v>0</v>
      </c>
      <c r="M1247" s="1297">
        <f t="shared" si="183"/>
        <v>0</v>
      </c>
      <c r="N1247" s="1297">
        <f t="shared" si="183"/>
        <v>0</v>
      </c>
      <c r="O1247" s="1297">
        <f t="shared" si="183"/>
        <v>0</v>
      </c>
      <c r="P1247" s="1297">
        <f t="shared" si="183"/>
        <v>0</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0</v>
      </c>
      <c r="I1248" s="1297">
        <f t="shared" si="184"/>
        <v>0</v>
      </c>
      <c r="J1248" s="1297">
        <f t="shared" si="184"/>
        <v>0</v>
      </c>
      <c r="K1248" s="1297">
        <f t="shared" si="184"/>
        <v>0</v>
      </c>
      <c r="L1248" s="1297">
        <f t="shared" si="184"/>
        <v>0</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v>
      </c>
      <c r="M1249" s="1297">
        <f t="shared" si="185"/>
        <v>0</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0.10688829895818489</v>
      </c>
      <c r="H1250" s="1297">
        <f t="shared" ref="H1250:Q1250" si="186">H72*H$7</f>
        <v>1.3677096641959778E-2</v>
      </c>
      <c r="I1250" s="1297">
        <f t="shared" si="186"/>
        <v>0.35581546899383631</v>
      </c>
      <c r="J1250" s="1297">
        <f t="shared" si="186"/>
        <v>0.20659231546369816</v>
      </c>
      <c r="K1250" s="1297">
        <f t="shared" si="186"/>
        <v>9.6756235632085907E-2</v>
      </c>
      <c r="L1250" s="1297">
        <f t="shared" si="186"/>
        <v>8.3994327748251316E-2</v>
      </c>
      <c r="M1250" s="1297">
        <f t="shared" si="186"/>
        <v>-0.11595199952038025</v>
      </c>
      <c r="N1250" s="1297">
        <f t="shared" si="186"/>
        <v>0</v>
      </c>
      <c r="O1250" s="1297">
        <f t="shared" si="186"/>
        <v>0</v>
      </c>
      <c r="P1250" s="1297">
        <f t="shared" si="186"/>
        <v>0</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1.7759482827910556E-2</v>
      </c>
      <c r="H1251" s="1297">
        <f t="shared" ref="H1251:Q1251" si="187">H73*H$7</f>
        <v>0</v>
      </c>
      <c r="I1251" s="1297">
        <f t="shared" si="187"/>
        <v>1.7795101710741917E-3</v>
      </c>
      <c r="J1251" s="1297">
        <f t="shared" si="187"/>
        <v>0</v>
      </c>
      <c r="K1251" s="1297">
        <f t="shared" si="187"/>
        <v>1.047478717435407</v>
      </c>
      <c r="L1251" s="1297">
        <f t="shared" si="187"/>
        <v>6.2960173790787738E-9</v>
      </c>
      <c r="M1251" s="1297">
        <f t="shared" si="187"/>
        <v>0</v>
      </c>
      <c r="N1251" s="1297">
        <f t="shared" si="187"/>
        <v>0</v>
      </c>
      <c r="O1251" s="1297">
        <f t="shared" si="187"/>
        <v>0</v>
      </c>
      <c r="P1251" s="1297">
        <f t="shared" si="187"/>
        <v>0</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1.8843988312226876</v>
      </c>
      <c r="H1253" s="1297">
        <f t="shared" ref="H1253:Q1253" si="189">H75*H$7</f>
        <v>0.61150001969340984</v>
      </c>
      <c r="I1253" s="1297">
        <f t="shared" si="189"/>
        <v>1.0218625686817637</v>
      </c>
      <c r="J1253" s="1297">
        <f t="shared" si="189"/>
        <v>1.6152620563536699</v>
      </c>
      <c r="K1253" s="1297">
        <f t="shared" si="189"/>
        <v>1.0883179007516188</v>
      </c>
      <c r="L1253" s="1297">
        <f t="shared" si="189"/>
        <v>0.64174711002691454</v>
      </c>
      <c r="M1253" s="1297">
        <f t="shared" si="189"/>
        <v>3.1891469391411436</v>
      </c>
      <c r="N1253" s="1297">
        <f t="shared" si="189"/>
        <v>0</v>
      </c>
      <c r="O1253" s="1297">
        <f t="shared" si="189"/>
        <v>0</v>
      </c>
      <c r="P1253" s="1297">
        <f t="shared" si="189"/>
        <v>0</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0</v>
      </c>
      <c r="H1254" s="1297">
        <f t="shared" ref="H1254:Q1254" si="190">H76*H$7</f>
        <v>0</v>
      </c>
      <c r="I1254" s="1297">
        <f t="shared" si="190"/>
        <v>0</v>
      </c>
      <c r="J1254" s="1297">
        <f t="shared" si="190"/>
        <v>0</v>
      </c>
      <c r="K1254" s="1297">
        <f t="shared" si="190"/>
        <v>0.887231891481851</v>
      </c>
      <c r="L1254" s="1297">
        <f t="shared" si="190"/>
        <v>0.20668420173566338</v>
      </c>
      <c r="M1254" s="1297">
        <f t="shared" si="190"/>
        <v>0.2412043942756954</v>
      </c>
      <c r="N1254" s="1297">
        <f t="shared" si="190"/>
        <v>0</v>
      </c>
      <c r="O1254" s="1297">
        <f t="shared" si="190"/>
        <v>0</v>
      </c>
      <c r="P1254" s="1297">
        <f t="shared" si="190"/>
        <v>0</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f>Asset15</f>
        <v>0</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-7.0704147621636491</v>
      </c>
      <c r="H1293" s="1306">
        <f>SUM(H1294:H1343)</f>
        <v>-3.8755344768128555</v>
      </c>
      <c r="I1293" s="1306">
        <f t="shared" ref="I1293:Q1293" si="228">SUM(I1294:I1343)</f>
        <v>-3.4737568222883874</v>
      </c>
      <c r="J1293" s="1306">
        <f t="shared" si="228"/>
        <v>-5.3318439452289415</v>
      </c>
      <c r="K1293" s="1306">
        <f t="shared" si="228"/>
        <v>-11.932473355689995</v>
      </c>
      <c r="L1293" s="1306">
        <f t="shared" si="228"/>
        <v>3.4514360483710873</v>
      </c>
      <c r="M1293" s="1306">
        <f t="shared" si="228"/>
        <v>10.508493021262796</v>
      </c>
      <c r="N1293" s="1306">
        <f t="shared" si="228"/>
        <v>-9.471453663688024</v>
      </c>
      <c r="O1293" s="1306">
        <f t="shared" si="228"/>
        <v>-9.096268961413509</v>
      </c>
      <c r="P1293" s="1306">
        <f t="shared" si="228"/>
        <v>-8.7357653414025389</v>
      </c>
      <c r="Q1293" s="1306">
        <f t="shared" si="228"/>
        <v>-8.0716470573097769</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-1.4989512643824603</v>
      </c>
      <c r="H1294" s="1297">
        <f>H1504+H1556</f>
        <v>0.73891834149090174</v>
      </c>
      <c r="I1294" s="1297">
        <f t="shared" ref="I1294:Q1294" si="229">I1504+I1556</f>
        <v>1.0226279485711429</v>
      </c>
      <c r="J1294" s="1297">
        <f t="shared" si="229"/>
        <v>-0.20208160337490844</v>
      </c>
      <c r="K1294" s="1297">
        <f t="shared" si="229"/>
        <v>-4.9272614408202386</v>
      </c>
      <c r="L1294" s="1297">
        <f t="shared" si="229"/>
        <v>4.9963899432730754</v>
      </c>
      <c r="M1294" s="1297">
        <f t="shared" si="229"/>
        <v>10.609336053846391</v>
      </c>
      <c r="N1294" s="1297">
        <f t="shared" si="229"/>
        <v>-4.5211323460700648</v>
      </c>
      <c r="O1294" s="1297">
        <f t="shared" si="229"/>
        <v>-4.5211323460700648</v>
      </c>
      <c r="P1294" s="1297">
        <f t="shared" si="229"/>
        <v>-4.5211323460700648</v>
      </c>
      <c r="Q1294" s="1297">
        <f t="shared" si="229"/>
        <v>-4.5211323460700648</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-1.1958344001278152</v>
      </c>
      <c r="H1295" s="1297">
        <f t="shared" ref="H1295:Q1295" si="230">H1505+H1557</f>
        <v>-0.79766345416346507</v>
      </c>
      <c r="I1295" s="1297">
        <f t="shared" si="230"/>
        <v>-0.78868738738534006</v>
      </c>
      <c r="J1295" s="1297">
        <f t="shared" si="230"/>
        <v>-1.0443893567271409</v>
      </c>
      <c r="K1295" s="1297">
        <f t="shared" si="230"/>
        <v>-1.8962081145698721</v>
      </c>
      <c r="L1295" s="1297">
        <f t="shared" si="230"/>
        <v>-0.22399808209630323</v>
      </c>
      <c r="M1295" s="1297">
        <f t="shared" si="230"/>
        <v>0.62775778410540406</v>
      </c>
      <c r="N1295" s="1297">
        <f t="shared" si="230"/>
        <v>-1.9506537999675477</v>
      </c>
      <c r="O1295" s="1297">
        <f t="shared" si="230"/>
        <v>-1.9506537999675477</v>
      </c>
      <c r="P1295" s="1297">
        <f t="shared" si="230"/>
        <v>-1.9506537999675477</v>
      </c>
      <c r="Q1295" s="1297">
        <f t="shared" si="230"/>
        <v>-1.9506537999675477</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-1.489441567747569E-3</v>
      </c>
      <c r="H1296" s="1297">
        <f t="shared" ref="H1296:Q1296" si="231">H1506+H1558</f>
        <v>-4.4498500772610205E-4</v>
      </c>
      <c r="I1296" s="1297">
        <f t="shared" si="231"/>
        <v>-3.3629510455895776E-4</v>
      </c>
      <c r="J1296" s="1297">
        <f t="shared" si="231"/>
        <v>-9.730140201112986E-4</v>
      </c>
      <c r="K1296" s="1297">
        <f t="shared" si="231"/>
        <v>-3.3045048715863068E-3</v>
      </c>
      <c r="L1296" s="1297">
        <f t="shared" si="231"/>
        <v>1.4843997143105642E-3</v>
      </c>
      <c r="M1296" s="1297">
        <f t="shared" si="231"/>
        <v>4.0770505183102199E-3</v>
      </c>
      <c r="N1296" s="1297">
        <f t="shared" si="231"/>
        <v>-3.182141681656727E-3</v>
      </c>
      <c r="O1296" s="1297">
        <f t="shared" si="231"/>
        <v>-3.182141681656727E-3</v>
      </c>
      <c r="P1296" s="1297">
        <f t="shared" si="231"/>
        <v>-3.182141681656727E-3</v>
      </c>
      <c r="Q1296" s="1297">
        <f t="shared" si="231"/>
        <v>-3.182141681656727E-3</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-0.15362390739847637</v>
      </c>
      <c r="H1297" s="1297">
        <f t="shared" ref="H1297:Q1297" si="232">H1507+H1559</f>
        <v>-7.2652861258534457E-2</v>
      </c>
      <c r="I1297" s="1297">
        <f t="shared" si="232"/>
        <v>-6.7106129660572805E-2</v>
      </c>
      <c r="J1297" s="1297">
        <f t="shared" si="232"/>
        <v>-0.11109179947371299</v>
      </c>
      <c r="K1297" s="1297">
        <f t="shared" si="232"/>
        <v>-0.26583898851862137</v>
      </c>
      <c r="L1297" s="1297">
        <f t="shared" si="232"/>
        <v>4.7201946988999377E-2</v>
      </c>
      <c r="M1297" s="1297">
        <f t="shared" si="232"/>
        <v>0.21152195394959517</v>
      </c>
      <c r="N1297" s="1297">
        <f t="shared" si="232"/>
        <v>-0.27176253526052696</v>
      </c>
      <c r="O1297" s="1297">
        <f t="shared" si="232"/>
        <v>-0.27176253526052696</v>
      </c>
      <c r="P1297" s="1297">
        <f t="shared" si="232"/>
        <v>-0.27176253526052696</v>
      </c>
      <c r="Q1297" s="1297">
        <f t="shared" si="232"/>
        <v>-0.27176253526052696</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-2.9565952932909508E-4</v>
      </c>
      <c r="H1298" s="1297">
        <f t="shared" ref="H1298:Q1298" si="233">H1508+H1560</f>
        <v>6.6999520052371292E-4</v>
      </c>
      <c r="I1298" s="1297">
        <f t="shared" si="233"/>
        <v>8.0871746100991625E-4</v>
      </c>
      <c r="J1298" s="1297">
        <f t="shared" si="233"/>
        <v>2.8091636637681862E-4</v>
      </c>
      <c r="K1298" s="1297">
        <f t="shared" si="233"/>
        <v>-1.8083062029569834E-3</v>
      </c>
      <c r="L1298" s="1297">
        <f t="shared" si="233"/>
        <v>2.6022312611591165E-3</v>
      </c>
      <c r="M1298" s="1297">
        <f t="shared" si="233"/>
        <v>5.1178450179374252E-3</v>
      </c>
      <c r="N1298" s="1297">
        <f t="shared" si="233"/>
        <v>-1.5779790789579146E-3</v>
      </c>
      <c r="O1298" s="1297">
        <f t="shared" si="233"/>
        <v>-1.5779790789579146E-3</v>
      </c>
      <c r="P1298" s="1297">
        <f t="shared" si="233"/>
        <v>-1.5779790789579146E-3</v>
      </c>
      <c r="Q1298" s="1297">
        <f t="shared" si="233"/>
        <v>-1.5779790789579146E-3</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-6.8046661766916261E-2</v>
      </c>
      <c r="H1299" s="1297">
        <f t="shared" ref="H1299:Q1299" si="234">H1509+H1561</f>
        <v>-0.10214896778133697</v>
      </c>
      <c r="I1299" s="1297">
        <f t="shared" si="234"/>
        <v>-0.10445273786585742</v>
      </c>
      <c r="J1299" s="1297">
        <f t="shared" si="234"/>
        <v>-0.12187582388395277</v>
      </c>
      <c r="K1299" s="1297">
        <f t="shared" si="234"/>
        <v>-0.18322024926753303</v>
      </c>
      <c r="L1299" s="1297">
        <f t="shared" si="234"/>
        <v>-0.11324837311437008</v>
      </c>
      <c r="M1299" s="1297">
        <f t="shared" si="234"/>
        <v>-8.0854339294444869E-2</v>
      </c>
      <c r="N1299" s="1297">
        <f t="shared" si="234"/>
        <v>-0.21099009284584458</v>
      </c>
      <c r="O1299" s="1297">
        <f t="shared" si="234"/>
        <v>-0.21099009284584458</v>
      </c>
      <c r="P1299" s="1297">
        <f t="shared" si="234"/>
        <v>-0.21099009284584458</v>
      </c>
      <c r="Q1299" s="1297">
        <f t="shared" si="234"/>
        <v>-0.21099009284584458</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-2.5871909855946493E-2</v>
      </c>
      <c r="H1300" s="1297">
        <f t="shared" ref="H1300:Q1300" si="235">H1510+H1562</f>
        <v>1.3973914966089407E-2</v>
      </c>
      <c r="I1300" s="1297">
        <f t="shared" si="235"/>
        <v>1.9059948352104131E-2</v>
      </c>
      <c r="J1300" s="1297">
        <f t="shared" si="235"/>
        <v>-2.7279195027840319E-3</v>
      </c>
      <c r="K1300" s="1297">
        <f t="shared" si="235"/>
        <v>-8.6909788501775942E-2</v>
      </c>
      <c r="L1300" s="1297">
        <f t="shared" si="235"/>
        <v>8.9352640299067657E-2</v>
      </c>
      <c r="M1300" s="1297">
        <f t="shared" si="235"/>
        <v>0.18837127114338975</v>
      </c>
      <c r="N1300" s="1297">
        <f t="shared" si="235"/>
        <v>-7.9099582203569607E-2</v>
      </c>
      <c r="O1300" s="1297">
        <f t="shared" si="235"/>
        <v>-7.9099582203569607E-2</v>
      </c>
      <c r="P1300" s="1297">
        <f t="shared" si="235"/>
        <v>-7.9099582203569607E-2</v>
      </c>
      <c r="Q1300" s="1297">
        <f t="shared" si="235"/>
        <v>-7.9099582203569607E-2</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1.364493646832721E-4</v>
      </c>
      <c r="H1301" s="1297">
        <f t="shared" ref="H1301:Q1301" si="236">H1511+H1563</f>
        <v>2.6049424166806631E-4</v>
      </c>
      <c r="I1301" s="1297">
        <f t="shared" si="236"/>
        <v>2.8530321706502594E-4</v>
      </c>
      <c r="J1301" s="1297">
        <f t="shared" si="236"/>
        <v>2.2328077857262918E-4</v>
      </c>
      <c r="K1301" s="1297">
        <f t="shared" si="236"/>
        <v>-4.9617950793916976E-5</v>
      </c>
      <c r="L1301" s="1297">
        <f t="shared" si="236"/>
        <v>5.4579745873308927E-4</v>
      </c>
      <c r="M1301" s="1297">
        <f t="shared" si="236"/>
        <v>9.0552760198899169E-4</v>
      </c>
      <c r="N1301" s="1297">
        <f t="shared" si="236"/>
        <v>0</v>
      </c>
      <c r="O1301" s="1297">
        <f t="shared" si="236"/>
        <v>0</v>
      </c>
      <c r="P1301" s="1297">
        <f t="shared" si="236"/>
        <v>0</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-2.525213112008437E-2</v>
      </c>
      <c r="H1302" s="1297">
        <f t="shared" ref="H1302:Q1302" si="237">H1512+H1564</f>
        <v>3.731106018850644E-2</v>
      </c>
      <c r="I1302" s="1297">
        <f t="shared" si="237"/>
        <v>4.6143669653545494E-2</v>
      </c>
      <c r="J1302" s="1297">
        <f t="shared" si="237"/>
        <v>1.2907141493227484E-2</v>
      </c>
      <c r="K1302" s="1297">
        <f t="shared" si="237"/>
        <v>-0.13250874655544953</v>
      </c>
      <c r="L1302" s="1297">
        <f t="shared" si="237"/>
        <v>0.17784061862727679</v>
      </c>
      <c r="M1302" s="1297">
        <f t="shared" si="237"/>
        <v>0.35916930412688797</v>
      </c>
      <c r="N1302" s="1297">
        <f t="shared" si="237"/>
        <v>-0.11798025655912527</v>
      </c>
      <c r="O1302" s="1297">
        <f t="shared" si="237"/>
        <v>-0.11798025655912527</v>
      </c>
      <c r="P1302" s="1297">
        <f t="shared" si="237"/>
        <v>-0.11798025655912527</v>
      </c>
      <c r="Q1302" s="1297">
        <f t="shared" si="237"/>
        <v>-0.11798025655912527</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-0.50363763004232787</v>
      </c>
      <c r="H1303" s="1297">
        <f t="shared" ref="H1303:Q1303" si="238">H1513+H1565</f>
        <v>-0.44274810059884662</v>
      </c>
      <c r="I1303" s="1297">
        <f t="shared" si="238"/>
        <v>-0.12451418335165433</v>
      </c>
      <c r="J1303" s="1297">
        <f t="shared" si="238"/>
        <v>-2.4729582654741636E-4</v>
      </c>
      <c r="K1303" s="1297">
        <f t="shared" si="238"/>
        <v>-3.9359569146471535E-4</v>
      </c>
      <c r="L1303" s="1297">
        <f t="shared" si="238"/>
        <v>-0.16859051018658566</v>
      </c>
      <c r="M1303" s="1297">
        <f t="shared" si="238"/>
        <v>-0.16276333637926621</v>
      </c>
      <c r="N1303" s="1297">
        <f t="shared" si="238"/>
        <v>-0.23052225482483932</v>
      </c>
      <c r="O1303" s="1297">
        <f t="shared" si="238"/>
        <v>-0.23011684157719262</v>
      </c>
      <c r="P1303" s="1297">
        <f t="shared" si="238"/>
        <v>-0.23011684157719262</v>
      </c>
      <c r="Q1303" s="1297">
        <f t="shared" si="238"/>
        <v>-1.3879856494787295E-9</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-0.21332529416093537</v>
      </c>
      <c r="H1304" s="1297">
        <f t="shared" ref="H1304:Q1304" si="239">H1514+H1566</f>
        <v>-0.20256889896766511</v>
      </c>
      <c r="I1304" s="1297">
        <f t="shared" si="239"/>
        <v>-0.209100146265083</v>
      </c>
      <c r="J1304" s="1297">
        <f t="shared" si="239"/>
        <v>-0.22360355380417776</v>
      </c>
      <c r="K1304" s="1297">
        <f t="shared" si="239"/>
        <v>-0.2477109289043542</v>
      </c>
      <c r="L1304" s="1297">
        <f t="shared" si="239"/>
        <v>-0.22028415720711114</v>
      </c>
      <c r="M1304" s="1297">
        <f t="shared" si="239"/>
        <v>-0.22910974621042893</v>
      </c>
      <c r="N1304" s="1297">
        <f t="shared" si="239"/>
        <v>-0.14197554935067888</v>
      </c>
      <c r="O1304" s="1297">
        <f t="shared" si="239"/>
        <v>0</v>
      </c>
      <c r="P1304" s="1297">
        <f t="shared" si="239"/>
        <v>0</v>
      </c>
      <c r="Q1304" s="1297">
        <f t="shared" si="239"/>
        <v>0</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-0.88914898024925959</v>
      </c>
      <c r="H1305" s="1297">
        <f t="shared" ref="H1305:Q1305" si="240">H1515+H1567</f>
        <v>-0.79553104218509152</v>
      </c>
      <c r="I1305" s="1297">
        <f t="shared" si="240"/>
        <v>-0.9354995018043083</v>
      </c>
      <c r="J1305" s="1297">
        <f t="shared" si="240"/>
        <v>-1.1805396432585082</v>
      </c>
      <c r="K1305" s="1297">
        <f t="shared" si="240"/>
        <v>-1.599154467691571</v>
      </c>
      <c r="L1305" s="1297">
        <f t="shared" si="240"/>
        <v>-0.99624307620933128</v>
      </c>
      <c r="M1305" s="1297">
        <f t="shared" si="240"/>
        <v>-0.85873290637613164</v>
      </c>
      <c r="N1305" s="1297">
        <f t="shared" si="240"/>
        <v>-1.6508946887185159</v>
      </c>
      <c r="O1305" s="1297">
        <f t="shared" si="240"/>
        <v>-1.418090949042327</v>
      </c>
      <c r="P1305" s="1297">
        <f t="shared" si="240"/>
        <v>-1.0575873290313575</v>
      </c>
      <c r="Q1305" s="1297">
        <f t="shared" si="240"/>
        <v>-0.81849867522512221</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0</v>
      </c>
      <c r="I1306" s="1297">
        <f t="shared" si="241"/>
        <v>0</v>
      </c>
      <c r="J1306" s="1297">
        <f t="shared" si="241"/>
        <v>0</v>
      </c>
      <c r="K1306" s="1297">
        <f t="shared" si="241"/>
        <v>0</v>
      </c>
      <c r="L1306" s="1297">
        <f t="shared" si="241"/>
        <v>-0.14270379471408717</v>
      </c>
      <c r="M1306" s="1297">
        <f t="shared" si="241"/>
        <v>-0.16810598379061883</v>
      </c>
      <c r="N1306" s="1297">
        <f t="shared" si="241"/>
        <v>-0.29168243712669711</v>
      </c>
      <c r="O1306" s="1297">
        <f t="shared" si="241"/>
        <v>-0.29168243712669711</v>
      </c>
      <c r="P1306" s="1297">
        <f t="shared" si="241"/>
        <v>-0.29168243712669711</v>
      </c>
      <c r="Q1306" s="1297">
        <f t="shared" si="241"/>
        <v>-9.6769647029377612E-2</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-2.4950739313270325</v>
      </c>
      <c r="H1307" s="1297">
        <f t="shared" ref="H1307:Q1307" si="242">H1517+H1569</f>
        <v>-2.252909972937879</v>
      </c>
      <c r="I1307" s="1297">
        <f t="shared" si="242"/>
        <v>-2.3329860281058803</v>
      </c>
      <c r="J1307" s="1297">
        <f t="shared" si="242"/>
        <v>-2.4577252739952744</v>
      </c>
      <c r="K1307" s="1297">
        <f t="shared" si="242"/>
        <v>-2.588104606143776</v>
      </c>
      <c r="L1307" s="1297">
        <f t="shared" si="242"/>
        <v>1.086464276252112E-3</v>
      </c>
      <c r="M1307" s="1297">
        <f t="shared" si="242"/>
        <v>1.8025430037819186E-3</v>
      </c>
      <c r="N1307" s="1297">
        <f t="shared" si="242"/>
        <v>0</v>
      </c>
      <c r="O1307" s="1297">
        <f t="shared" si="242"/>
        <v>0</v>
      </c>
      <c r="P1307" s="1297">
        <f t="shared" si="242"/>
        <v>0</v>
      </c>
      <c r="Q1307" s="1297">
        <f t="shared" si="242"/>
        <v>0</v>
      </c>
      <c r="R1307" s="1269"/>
      <c r="S1307" s="75"/>
      <c r="T1307" s="75"/>
      <c r="U1307" s="75"/>
      <c r="V1307" s="75"/>
      <c r="W1307" s="75"/>
      <c r="X1307" s="75"/>
      <c r="Y1307" s="75"/>
      <c r="Z1307" s="75"/>
    </row>
    <row r="1308" spans="1:26" ht="12.75" hidden="1" customHeight="1" outlineLevel="1">
      <c r="A1308" s="3"/>
      <c r="B1308" s="3"/>
      <c r="C1308" s="29"/>
      <c r="D1308" s="153">
        <f>Asset15</f>
        <v>0</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0</v>
      </c>
      <c r="P1308" s="1297">
        <f t="shared" si="243"/>
        <v>0</v>
      </c>
      <c r="Q1308" s="1297">
        <f t="shared" si="243"/>
        <v>0</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f>Asset15</f>
        <v>0</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f>Asset15</f>
        <v>0</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f>Asset15</f>
        <v>0</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-10.361488540374804</v>
      </c>
      <c r="H1503" s="1302">
        <f t="shared" ref="H1503:Q1503" si="279">SUM(H1504:H1553)</f>
        <v>-10.02341755969319</v>
      </c>
      <c r="I1503" s="1302">
        <f t="shared" si="279"/>
        <v>-10.024414010413436</v>
      </c>
      <c r="J1503" s="1302">
        <f t="shared" si="279"/>
        <v>-10.322177142246279</v>
      </c>
      <c r="K1503" s="1302">
        <f t="shared" si="279"/>
        <v>-10.850760308296231</v>
      </c>
      <c r="L1503" s="1302">
        <f t="shared" si="279"/>
        <v>-8.218927471497496</v>
      </c>
      <c r="M1503" s="1302">
        <f t="shared" si="279"/>
        <v>-8.483148752310484</v>
      </c>
      <c r="N1503" s="1302">
        <f t="shared" si="279"/>
        <v>-9.471453663688024</v>
      </c>
      <c r="O1503" s="1302">
        <f t="shared" si="279"/>
        <v>-9.096268961413509</v>
      </c>
      <c r="P1503" s="1302">
        <f t="shared" si="279"/>
        <v>-8.7357653414025389</v>
      </c>
      <c r="Q1503" s="1302">
        <f t="shared" si="279"/>
        <v>-8.0716470573097769</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-3.9503170682292978</v>
      </c>
      <c r="H1504" s="1297">
        <f t="shared" ref="H1504:Q1504" si="281">H$128*H$7</f>
        <v>-3.8701045155658469</v>
      </c>
      <c r="I1504" s="1297">
        <f t="shared" si="281"/>
        <v>-3.9449407907287219</v>
      </c>
      <c r="J1504" s="1297">
        <f t="shared" si="281"/>
        <v>-4.0269043301928242</v>
      </c>
      <c r="K1504" s="1297">
        <f t="shared" si="281"/>
        <v>-4.0912711127155124</v>
      </c>
      <c r="L1504" s="1297">
        <f t="shared" si="281"/>
        <v>-4.0937179423918844</v>
      </c>
      <c r="M1504" s="1297">
        <f t="shared" si="281"/>
        <v>-4.2594014489541925</v>
      </c>
      <c r="N1504" s="1297">
        <f t="shared" si="281"/>
        <v>-4.5211323460700648</v>
      </c>
      <c r="O1504" s="1297">
        <f t="shared" si="281"/>
        <v>-4.5211323460700648</v>
      </c>
      <c r="P1504" s="1297">
        <f t="shared" si="281"/>
        <v>-4.5211323460700648</v>
      </c>
      <c r="Q1504" s="1297">
        <f t="shared" si="281"/>
        <v>-4.5211323460700648</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-1.6492591414147106</v>
      </c>
      <c r="H1505" s="1297">
        <f t="shared" ref="H1505:Q1505" si="282">H$141*H$7</f>
        <v>-1.6316427771230986</v>
      </c>
      <c r="I1505" s="1297">
        <f t="shared" si="282"/>
        <v>-1.680636027118759</v>
      </c>
      <c r="J1505" s="1297">
        <f t="shared" si="282"/>
        <v>-1.7157979514844852</v>
      </c>
      <c r="K1505" s="1297">
        <f t="shared" si="282"/>
        <v>-1.7519283573883171</v>
      </c>
      <c r="L1505" s="1297">
        <f t="shared" si="282"/>
        <v>-1.751896362889793</v>
      </c>
      <c r="M1505" s="1297">
        <f t="shared" si="282"/>
        <v>-1.8377293531811634</v>
      </c>
      <c r="N1505" s="1297">
        <f t="shared" si="282"/>
        <v>-1.9506537999675477</v>
      </c>
      <c r="O1505" s="1297">
        <f t="shared" si="282"/>
        <v>-1.9506537999675477</v>
      </c>
      <c r="P1505" s="1297">
        <f t="shared" si="282"/>
        <v>-1.9506537999675477</v>
      </c>
      <c r="Q1505" s="1297">
        <f t="shared" si="282"/>
        <v>-1.9506537999675477</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-2.6254028466158566E-3</v>
      </c>
      <c r="H1506" s="1297">
        <f t="shared" ref="H1506:Q1506" si="283">H$154*H$7</f>
        <v>-2.740528046216658E-3</v>
      </c>
      <c r="I1506" s="1297">
        <f t="shared" si="283"/>
        <v>-2.7935216824694661E-3</v>
      </c>
      <c r="J1506" s="1297">
        <f t="shared" si="283"/>
        <v>-2.8515623316987329E-3</v>
      </c>
      <c r="K1506" s="1297">
        <f t="shared" si="283"/>
        <v>-2.8969854484868543E-3</v>
      </c>
      <c r="L1506" s="1297">
        <f t="shared" si="283"/>
        <v>-2.8868914225339388E-3</v>
      </c>
      <c r="M1506" s="1297">
        <f t="shared" si="283"/>
        <v>-2.9979257080160124E-3</v>
      </c>
      <c r="N1506" s="1297">
        <f t="shared" si="283"/>
        <v>-3.182141681656727E-3</v>
      </c>
      <c r="O1506" s="1297">
        <f t="shared" si="283"/>
        <v>-3.182141681656727E-3</v>
      </c>
      <c r="P1506" s="1297">
        <f t="shared" si="283"/>
        <v>-3.182141681656727E-3</v>
      </c>
      <c r="Q1506" s="1297">
        <f t="shared" si="283"/>
        <v>-3.182141681656727E-3</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-0.23641911144074157</v>
      </c>
      <c r="H1507" s="1297">
        <f>H$167*H$7</f>
        <v>-0.22614479233547233</v>
      </c>
      <c r="I1507" s="1297">
        <f t="shared" ref="I1507:Q1507" si="284">I$167*I$7</f>
        <v>-0.23051775793311957</v>
      </c>
      <c r="J1507" s="1297">
        <f t="shared" si="284"/>
        <v>-0.23530719644482848</v>
      </c>
      <c r="K1507" s="1297">
        <f t="shared" si="284"/>
        <v>-0.23905545267138328</v>
      </c>
      <c r="L1507" s="1297">
        <f t="shared" si="284"/>
        <v>-0.23822250684326002</v>
      </c>
      <c r="M1507" s="1297">
        <f t="shared" si="284"/>
        <v>-0.24738491095261611</v>
      </c>
      <c r="N1507" s="1297">
        <f t="shared" si="284"/>
        <v>-0.27176253526052696</v>
      </c>
      <c r="O1507" s="1297">
        <f t="shared" si="284"/>
        <v>-0.27176253526052696</v>
      </c>
      <c r="P1507" s="1297">
        <f t="shared" si="284"/>
        <v>-0.27176253526052696</v>
      </c>
      <c r="Q1507" s="1297">
        <f t="shared" si="284"/>
        <v>-0.27176253526052696</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-1.3723613693660897E-3</v>
      </c>
      <c r="H1508" s="1297">
        <f t="shared" ref="H1508:Q1508" si="285">H$180*H$7</f>
        <v>-1.358989119546626E-3</v>
      </c>
      <c r="I1508" s="1297">
        <f t="shared" si="285"/>
        <v>-1.3852679146759805E-3</v>
      </c>
      <c r="J1508" s="1297">
        <f t="shared" si="285"/>
        <v>-1.4140494521986072E-3</v>
      </c>
      <c r="K1508" s="1297">
        <f t="shared" si="285"/>
        <v>-1.436574133738054E-3</v>
      </c>
      <c r="L1508" s="1297">
        <f t="shared" si="285"/>
        <v>-1.4315686489515104E-3</v>
      </c>
      <c r="M1508" s="1297">
        <f t="shared" si="285"/>
        <v>-1.4866289816034912E-3</v>
      </c>
      <c r="N1508" s="1297">
        <f t="shared" si="285"/>
        <v>-1.5779790789579146E-3</v>
      </c>
      <c r="O1508" s="1297">
        <f t="shared" si="285"/>
        <v>-1.5779790789579146E-3</v>
      </c>
      <c r="P1508" s="1297">
        <f t="shared" si="285"/>
        <v>-1.5779790789579146E-3</v>
      </c>
      <c r="Q1508" s="1297">
        <f t="shared" si="285"/>
        <v>-1.5779790789579146E-3</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-7.6960996282037966E-2</v>
      </c>
      <c r="H1509" s="1297">
        <f t="shared" ref="H1509:Q1509" si="286">H$193*H$7</f>
        <v>-0.13816469383056179</v>
      </c>
      <c r="I1509" s="1297">
        <f t="shared" si="286"/>
        <v>-0.14111224316672716</v>
      </c>
      <c r="J1509" s="1297">
        <f t="shared" si="286"/>
        <v>-0.14962422972756842</v>
      </c>
      <c r="K1509" s="1297">
        <f t="shared" si="286"/>
        <v>-0.17632429653608539</v>
      </c>
      <c r="L1509" s="1297">
        <f t="shared" si="286"/>
        <v>-0.19141369247870441</v>
      </c>
      <c r="M1509" s="1297">
        <f t="shared" si="286"/>
        <v>-0.19877575757403915</v>
      </c>
      <c r="N1509" s="1297">
        <f t="shared" si="286"/>
        <v>-0.21099009284584458</v>
      </c>
      <c r="O1509" s="1297">
        <f t="shared" si="286"/>
        <v>-0.21099009284584458</v>
      </c>
      <c r="P1509" s="1297">
        <f t="shared" si="286"/>
        <v>-0.21099009284584458</v>
      </c>
      <c r="Q1509" s="1297">
        <f t="shared" si="286"/>
        <v>-0.21099009284584458</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-6.9579422319843071E-2</v>
      </c>
      <c r="H1510" s="1297">
        <f t="shared" ref="H1510:Q1510" si="287">H$206*H$7</f>
        <v>-6.8122241295064709E-2</v>
      </c>
      <c r="I1510" s="1297">
        <f t="shared" si="287"/>
        <v>-6.9439522204085294E-2</v>
      </c>
      <c r="J1510" s="1297">
        <f t="shared" si="287"/>
        <v>-7.0882258437774515E-2</v>
      </c>
      <c r="K1510" s="1297">
        <f t="shared" si="287"/>
        <v>-7.2011356359792167E-2</v>
      </c>
      <c r="L1510" s="1297">
        <f t="shared" si="287"/>
        <v>-7.1760445710454909E-2</v>
      </c>
      <c r="M1510" s="1297">
        <f t="shared" si="287"/>
        <v>-7.4520462853164701E-2</v>
      </c>
      <c r="N1510" s="1297">
        <f t="shared" si="287"/>
        <v>-7.9099582203569607E-2</v>
      </c>
      <c r="O1510" s="1297">
        <f t="shared" si="287"/>
        <v>-7.9099582203569607E-2</v>
      </c>
      <c r="P1510" s="1297">
        <f t="shared" si="287"/>
        <v>-7.9099582203569607E-2</v>
      </c>
      <c r="Q1510" s="1297">
        <f t="shared" si="287"/>
        <v>-7.9099582203569607E-2</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-9.3783570892203502E-2</v>
      </c>
      <c r="H1512" s="1297">
        <f t="shared" ref="H1512:Q1512" si="289">H$232*H$7</f>
        <v>-9.377509481117538E-2</v>
      </c>
      <c r="I1512" s="1297">
        <f t="shared" si="289"/>
        <v>-9.5762695009902643E-2</v>
      </c>
      <c r="J1512" s="1297">
        <f t="shared" si="289"/>
        <v>-0.10229244702866118</v>
      </c>
      <c r="K1512" s="1297">
        <f t="shared" si="289"/>
        <v>-0.10654542381929831</v>
      </c>
      <c r="L1512" s="1297">
        <f t="shared" si="289"/>
        <v>-0.10737942423241821</v>
      </c>
      <c r="M1512" s="1297">
        <f t="shared" si="289"/>
        <v>-0.11259971307270485</v>
      </c>
      <c r="N1512" s="1297">
        <f t="shared" si="289"/>
        <v>-0.11798025655912527</v>
      </c>
      <c r="O1512" s="1297">
        <f t="shared" si="289"/>
        <v>-0.11798025655912527</v>
      </c>
      <c r="P1512" s="1297">
        <f t="shared" si="289"/>
        <v>-0.11798025655912527</v>
      </c>
      <c r="Q1512" s="1297">
        <f t="shared" si="289"/>
        <v>-0.11798025655912527</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-0.51447025802937218</v>
      </c>
      <c r="H1513" s="1297">
        <f t="shared" ref="H1513:Q1513" si="290">H$245*H$7</f>
        <v>-0.45382366771763077</v>
      </c>
      <c r="I1513" s="1297">
        <f t="shared" si="290"/>
        <v>-0.1272155290265263</v>
      </c>
      <c r="J1513" s="1297">
        <f t="shared" si="290"/>
        <v>-3.6329656609102745E-4</v>
      </c>
      <c r="K1513" s="1297">
        <f t="shared" si="290"/>
        <v>-3.6908359103761016E-4</v>
      </c>
      <c r="L1513" s="1297">
        <f t="shared" si="290"/>
        <v>-0.20913359074683635</v>
      </c>
      <c r="M1513" s="1297">
        <f t="shared" si="290"/>
        <v>-0.2171771916985798</v>
      </c>
      <c r="N1513" s="1297">
        <f t="shared" si="290"/>
        <v>-0.23052225482483932</v>
      </c>
      <c r="O1513" s="1297">
        <f t="shared" si="290"/>
        <v>-0.23011684157719262</v>
      </c>
      <c r="P1513" s="1297">
        <f t="shared" si="290"/>
        <v>-0.23011684157719262</v>
      </c>
      <c r="Q1513" s="1297">
        <f t="shared" si="290"/>
        <v>-1.3879856494787295E-9</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-0.23081545707586948</v>
      </c>
      <c r="H1514" s="1297">
        <f t="shared" ref="H1514:Q1514" si="291">H$258*H$7</f>
        <v>-0.23149592766793831</v>
      </c>
      <c r="I1514" s="1297">
        <f t="shared" si="291"/>
        <v>-0.23597236825820228</v>
      </c>
      <c r="J1514" s="1297">
        <f t="shared" si="291"/>
        <v>-0.24087513652372952</v>
      </c>
      <c r="K1514" s="1297">
        <f t="shared" si="291"/>
        <v>-0.24471208560109867</v>
      </c>
      <c r="L1514" s="1297">
        <f t="shared" si="291"/>
        <v>-0.24385943025057222</v>
      </c>
      <c r="M1514" s="1297">
        <f t="shared" si="291"/>
        <v>-0.25323863910636341</v>
      </c>
      <c r="N1514" s="1297">
        <f t="shared" si="291"/>
        <v>-0.14197554935067888</v>
      </c>
      <c r="O1514" s="1297">
        <f t="shared" si="291"/>
        <v>0</v>
      </c>
      <c r="P1514" s="1297">
        <f t="shared" si="291"/>
        <v>0</v>
      </c>
      <c r="Q1514" s="1297">
        <f t="shared" si="291"/>
        <v>0</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-0.91643458498899943</v>
      </c>
      <c r="H1515" s="1297">
        <f t="shared" ref="H1515:Q1515" si="292">H$271*H$7</f>
        <v>-0.86633928281580397</v>
      </c>
      <c r="I1515" s="1297">
        <f t="shared" si="292"/>
        <v>-1.0077566210287441</v>
      </c>
      <c r="J1515" s="1297">
        <f t="shared" si="292"/>
        <v>-1.2373133895976147</v>
      </c>
      <c r="K1515" s="1297">
        <f t="shared" si="292"/>
        <v>-1.5852211853069595</v>
      </c>
      <c r="L1515" s="1297">
        <f t="shared" si="292"/>
        <v>-1.1303975176494669</v>
      </c>
      <c r="M1515" s="1297">
        <f t="shared" si="292"/>
        <v>-1.0512808224721433</v>
      </c>
      <c r="N1515" s="1297">
        <f t="shared" si="292"/>
        <v>-1.6508946887185159</v>
      </c>
      <c r="O1515" s="1297">
        <f t="shared" si="292"/>
        <v>-1.418090949042327</v>
      </c>
      <c r="P1515" s="1297">
        <f t="shared" si="292"/>
        <v>-1.0575873290313575</v>
      </c>
      <c r="Q1515" s="1297">
        <f t="shared" si="292"/>
        <v>-0.81849867522512221</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0</v>
      </c>
      <c r="I1516" s="1297">
        <f t="shared" si="293"/>
        <v>0</v>
      </c>
      <c r="J1516" s="1297">
        <f t="shared" si="293"/>
        <v>0</v>
      </c>
      <c r="K1516" s="1297">
        <f t="shared" si="293"/>
        <v>0</v>
      </c>
      <c r="L1516" s="1297">
        <f t="shared" si="293"/>
        <v>-0.17682809823261977</v>
      </c>
      <c r="M1516" s="1297">
        <f t="shared" si="293"/>
        <v>-0.22655589775589674</v>
      </c>
      <c r="N1516" s="1297">
        <f t="shared" si="293"/>
        <v>-0.29168243712669711</v>
      </c>
      <c r="O1516" s="1297">
        <f t="shared" si="293"/>
        <v>-0.29168243712669711</v>
      </c>
      <c r="P1516" s="1297">
        <f t="shared" si="293"/>
        <v>-0.29168243712669711</v>
      </c>
      <c r="Q1516" s="1297">
        <f t="shared" si="293"/>
        <v>-9.6769647029377612E-2</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-2.6194511654857449</v>
      </c>
      <c r="H1517" s="1297">
        <f t="shared" ref="H1517:Q1517" si="294">H$297*H$7</f>
        <v>-2.4397050493648336</v>
      </c>
      <c r="I1517" s="1297">
        <f t="shared" si="294"/>
        <v>-2.4868816663415014</v>
      </c>
      <c r="J1517" s="1297">
        <f t="shared" si="294"/>
        <v>-2.5385512944588049</v>
      </c>
      <c r="K1517" s="1297">
        <f t="shared" si="294"/>
        <v>-2.5789883947245205</v>
      </c>
      <c r="L1517" s="1297">
        <f t="shared" si="294"/>
        <v>0</v>
      </c>
      <c r="M1517" s="1297">
        <f t="shared" si="294"/>
        <v>0</v>
      </c>
      <c r="N1517" s="1297">
        <f t="shared" si="294"/>
        <v>0</v>
      </c>
      <c r="O1517" s="1297">
        <f t="shared" si="294"/>
        <v>0</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f>Asset15</f>
        <v>0</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0</v>
      </c>
      <c r="P1518" s="1297">
        <f t="shared" si="295"/>
        <v>0</v>
      </c>
      <c r="Q1518" s="1297">
        <f t="shared" si="295"/>
        <v>0</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3.2910737782111545</v>
      </c>
      <c r="H1555" s="81">
        <f t="shared" ref="H1555:Q1555" si="331">SUM(H1556:H1605)</f>
        <v>6.1478830828803339</v>
      </c>
      <c r="I1555" s="81">
        <f t="shared" si="331"/>
        <v>6.5506571881250482</v>
      </c>
      <c r="J1555" s="81">
        <f t="shared" si="331"/>
        <v>4.990333197017339</v>
      </c>
      <c r="K1555" s="81">
        <f t="shared" si="331"/>
        <v>-1.0817130473937639</v>
      </c>
      <c r="L1555" s="81">
        <f t="shared" si="331"/>
        <v>11.670363519868586</v>
      </c>
      <c r="M1555" s="81">
        <f t="shared" si="331"/>
        <v>18.991641773573274</v>
      </c>
      <c r="N1555" s="81">
        <f t="shared" si="331"/>
        <v>0</v>
      </c>
      <c r="O1555" s="81">
        <f t="shared" si="331"/>
        <v>0</v>
      </c>
      <c r="P1555" s="81">
        <f t="shared" si="331"/>
        <v>0</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2.4513658038468376</v>
      </c>
      <c r="H1556" s="1297">
        <f>H1190*H$6</f>
        <v>4.6090228570567486</v>
      </c>
      <c r="I1556" s="1297">
        <f>I1190*I$6</f>
        <v>4.9675687392998649</v>
      </c>
      <c r="J1556" s="1297">
        <f>J1190*J$6</f>
        <v>3.8248227268179158</v>
      </c>
      <c r="K1556" s="1297">
        <f>IF(COUNT($H1556:J1556)&gt;='RFM input'!$AA$7,0,K1190*K$6)</f>
        <v>-0.8359903281047264</v>
      </c>
      <c r="L1556" s="1297">
        <f>IF(COUNT($H1556:K1556)&gt;='RFM input'!$AA$7,0,L1190*L$6)</f>
        <v>9.0901078856649598</v>
      </c>
      <c r="M1556" s="1297">
        <f>IF(COUNT($H1556:L1556)&gt;='RFM input'!$AA$7,0,M1190*M$6)</f>
        <v>14.868737502800583</v>
      </c>
      <c r="N1556" s="1297">
        <f>IF(COUNT($H1556:M1556)&gt;='RFM input'!$AA$7,0,N1190*N$6)</f>
        <v>0</v>
      </c>
      <c r="O1556" s="1297">
        <f>IF(COUNT($H1556:N1556)&gt;='RFM input'!$AA$7,0,O1190*O$6)</f>
        <v>0</v>
      </c>
      <c r="P1556" s="1297">
        <f>IF(COUNT($H1556:O1556)&gt;='RFM input'!$AA$7,0,P1190*P$6)</f>
        <v>0</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0.45342474128689553</v>
      </c>
      <c r="H1557" s="1297">
        <f t="shared" si="332"/>
        <v>0.83397932295963351</v>
      </c>
      <c r="I1557" s="1297">
        <f t="shared" si="332"/>
        <v>0.89194863973341898</v>
      </c>
      <c r="J1557" s="1297">
        <f t="shared" si="332"/>
        <v>0.67140859475734427</v>
      </c>
      <c r="K1557" s="1297">
        <f>IF(COUNT($H1557:J1557)&gt;='RFM input'!$AA$7,0,K1191*K$6)</f>
        <v>-0.14427975718155506</v>
      </c>
      <c r="L1557" s="1297">
        <f>IF(COUNT($H1557:K1557)&gt;='RFM input'!$AA$7,0,L1191*L$6)</f>
        <v>1.5278982807934898</v>
      </c>
      <c r="M1557" s="1297">
        <f>IF(COUNT($H1557:L1557)&gt;='RFM input'!$AA$7,0,M1191*M$6)</f>
        <v>2.4654871372865674</v>
      </c>
      <c r="N1557" s="1297">
        <f>IF(COUNT($H1557:M1557)&gt;='RFM input'!$AA$7,0,N1191*N$6)</f>
        <v>0</v>
      </c>
      <c r="O1557" s="1297">
        <f>IF(COUNT($H1557:N1557)&gt;='RFM input'!$AA$7,0,O1191*O$6)</f>
        <v>0</v>
      </c>
      <c r="P1557" s="1297">
        <f>IF(COUNT($H1557:O1557)&gt;='RFM input'!$AA$7,0,P1191*P$6)</f>
        <v>0</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1.1359612788682876E-3</v>
      </c>
      <c r="H1558" s="1297">
        <f t="shared" si="332"/>
        <v>2.2955430384905559E-3</v>
      </c>
      <c r="I1558" s="1297">
        <f t="shared" si="332"/>
        <v>2.4572265779105084E-3</v>
      </c>
      <c r="J1558" s="1297">
        <f t="shared" si="332"/>
        <v>1.8785483115874343E-3</v>
      </c>
      <c r="K1558" s="1297">
        <f>IF(COUNT($H1558:J1558)&gt;='RFM input'!$AA$7,0,K1192*K$6)</f>
        <v>-4.0751942309945235E-4</v>
      </c>
      <c r="L1558" s="1297">
        <f>IF(COUNT($H1558:K1558)&gt;='RFM input'!$AA$7,0,L1192*L$6)</f>
        <v>4.371291136844503E-3</v>
      </c>
      <c r="M1558" s="1297">
        <f>IF(COUNT($H1558:L1558)&gt;='RFM input'!$AA$7,0,M1192*M$6)</f>
        <v>7.0749762263262322E-3</v>
      </c>
      <c r="N1558" s="1297">
        <f>IF(COUNT($H1558:M1558)&gt;='RFM input'!$AA$7,0,N1192*N$6)</f>
        <v>0</v>
      </c>
      <c r="O1558" s="1297">
        <f>IF(COUNT($H1558:N1558)&gt;='RFM input'!$AA$7,0,O1192*O$6)</f>
        <v>0</v>
      </c>
      <c r="P1558" s="1297">
        <f>IF(COUNT($H1558:O1558)&gt;='RFM input'!$AA$7,0,P1192*P$6)</f>
        <v>0</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8.2795204042265216E-2</v>
      </c>
      <c r="H1559" s="1297">
        <f t="shared" si="332"/>
        <v>0.15349193107693787</v>
      </c>
      <c r="I1559" s="1297">
        <f t="shared" si="332"/>
        <v>0.16341162827254677</v>
      </c>
      <c r="J1559" s="1297">
        <f t="shared" si="332"/>
        <v>0.12421539697111549</v>
      </c>
      <c r="K1559" s="1297">
        <f>IF(COUNT($H1559:J1559)&gt;='RFM input'!$AA$7,0,K1193*K$6)</f>
        <v>-2.6783535847238079E-2</v>
      </c>
      <c r="L1559" s="1297">
        <f>IF(COUNT($H1559:K1559)&gt;='RFM input'!$AA$7,0,L1193*L$6)</f>
        <v>0.28542445383225939</v>
      </c>
      <c r="M1559" s="1297">
        <f>IF(COUNT($H1559:L1559)&gt;='RFM input'!$AA$7,0,M1193*M$6)</f>
        <v>0.45890686490221128</v>
      </c>
      <c r="N1559" s="1297">
        <f>IF(COUNT($H1559:M1559)&gt;='RFM input'!$AA$7,0,N1193*N$6)</f>
        <v>0</v>
      </c>
      <c r="O1559" s="1297">
        <f>IF(COUNT($H1559:N1559)&gt;='RFM input'!$AA$7,0,O1193*O$6)</f>
        <v>0</v>
      </c>
      <c r="P1559" s="1297">
        <f>IF(COUNT($H1559:O1559)&gt;='RFM input'!$AA$7,0,P1193*P$6)</f>
        <v>0</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1.0767018400369946E-3</v>
      </c>
      <c r="H1560" s="1297">
        <f t="shared" si="332"/>
        <v>2.0289843200703389E-3</v>
      </c>
      <c r="I1560" s="1297">
        <f t="shared" si="332"/>
        <v>2.1939853756858967E-3</v>
      </c>
      <c r="J1560" s="1297">
        <f t="shared" si="332"/>
        <v>1.6949658185754259E-3</v>
      </c>
      <c r="K1560" s="1297">
        <f>IF(COUNT($H1560:J1560)&gt;='RFM input'!$AA$7,0,K1194*K$6)</f>
        <v>-3.7173206921892952E-4</v>
      </c>
      <c r="L1560" s="1297">
        <f>IF(COUNT($H1560:K1560)&gt;='RFM input'!$AA$7,0,L1194*L$6)</f>
        <v>4.0337999101106269E-3</v>
      </c>
      <c r="M1560" s="1297">
        <f>IF(COUNT($H1560:L1560)&gt;='RFM input'!$AA$7,0,M1194*M$6)</f>
        <v>6.6044739995409166E-3</v>
      </c>
      <c r="N1560" s="1297">
        <f>IF(COUNT($H1560:M1560)&gt;='RFM input'!$AA$7,0,N1194*N$6)</f>
        <v>0</v>
      </c>
      <c r="O1560" s="1297">
        <f>IF(COUNT($H1560:N1560)&gt;='RFM input'!$AA$7,0,O1194*O$6)</f>
        <v>0</v>
      </c>
      <c r="P1560" s="1297">
        <f>IF(COUNT($H1560:O1560)&gt;='RFM input'!$AA$7,0,P1194*P$6)</f>
        <v>0</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8.9143345151217034E-3</v>
      </c>
      <c r="H1561" s="1297">
        <f t="shared" si="332"/>
        <v>3.601572604922481E-2</v>
      </c>
      <c r="I1561" s="1297">
        <f t="shared" si="332"/>
        <v>3.6659505300869741E-2</v>
      </c>
      <c r="J1561" s="1297">
        <f t="shared" si="332"/>
        <v>2.7748405843615657E-2</v>
      </c>
      <c r="K1561" s="1297">
        <f>IF(COUNT($H1561:J1561)&gt;='RFM input'!$AA$7,0,K1195*K$6)</f>
        <v>-6.8959527314476484E-3</v>
      </c>
      <c r="L1561" s="1297">
        <f>IF(COUNT($H1561:K1561)&gt;='RFM input'!$AA$7,0,L1195*L$6)</f>
        <v>7.8165319364334324E-2</v>
      </c>
      <c r="M1561" s="1297">
        <f>IF(COUNT($H1561:L1561)&gt;='RFM input'!$AA$7,0,M1195*M$6)</f>
        <v>0.11792141827959428</v>
      </c>
      <c r="N1561" s="1297">
        <f>IF(COUNT($H1561:M1561)&gt;='RFM input'!$AA$7,0,N1195*N$6)</f>
        <v>0</v>
      </c>
      <c r="O1561" s="1297">
        <f>IF(COUNT($H1561:N1561)&gt;='RFM input'!$AA$7,0,O1195*O$6)</f>
        <v>0</v>
      </c>
      <c r="P1561" s="1297">
        <f>IF(COUNT($H1561:O1561)&gt;='RFM input'!$AA$7,0,P1195*P$6)</f>
        <v>0</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4.3707512463896578E-2</v>
      </c>
      <c r="H1562" s="1297">
        <f t="shared" si="332"/>
        <v>8.2096156261154116E-2</v>
      </c>
      <c r="I1562" s="1297">
        <f t="shared" si="332"/>
        <v>8.8499470556189425E-2</v>
      </c>
      <c r="J1562" s="1297">
        <f t="shared" si="332"/>
        <v>6.8154338934990483E-2</v>
      </c>
      <c r="K1562" s="1297">
        <f>IF(COUNT($H1562:J1562)&gt;='RFM input'!$AA$7,0,K1196*K$6)</f>
        <v>-1.4898432141983772E-2</v>
      </c>
      <c r="L1562" s="1297">
        <f>IF(COUNT($H1562:K1562)&gt;='RFM input'!$AA$7,0,L1196*L$6)</f>
        <v>0.16111308600952257</v>
      </c>
      <c r="M1562" s="1297">
        <f>IF(COUNT($H1562:L1562)&gt;='RFM input'!$AA$7,0,M1196*M$6)</f>
        <v>0.26289173399655447</v>
      </c>
      <c r="N1562" s="1297">
        <f>IF(COUNT($H1562:M1562)&gt;='RFM input'!$AA$7,0,N1196*N$6)</f>
        <v>0</v>
      </c>
      <c r="O1562" s="1297">
        <f>IF(COUNT($H1562:N1562)&gt;='RFM input'!$AA$7,0,O1196*O$6)</f>
        <v>0</v>
      </c>
      <c r="P1562" s="1297">
        <f>IF(COUNT($H1562:O1562)&gt;='RFM input'!$AA$7,0,P1196*P$6)</f>
        <v>0</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1.364493646832721E-4</v>
      </c>
      <c r="H1563" s="1297">
        <f t="shared" si="332"/>
        <v>2.6049424166806631E-4</v>
      </c>
      <c r="I1563" s="1297">
        <f t="shared" si="332"/>
        <v>2.8530321706502594E-4</v>
      </c>
      <c r="J1563" s="1297">
        <f t="shared" si="332"/>
        <v>2.2328077857262918E-4</v>
      </c>
      <c r="K1563" s="1297">
        <f>IF(COUNT($H1563:J1563)&gt;='RFM input'!$AA$7,0,K1197*K$6)</f>
        <v>-4.9617950793916976E-5</v>
      </c>
      <c r="L1563" s="1297">
        <f>IF(COUNT($H1563:K1563)&gt;='RFM input'!$AA$7,0,L1197*L$6)</f>
        <v>5.4579745873308927E-4</v>
      </c>
      <c r="M1563" s="1297">
        <f>IF(COUNT($H1563:L1563)&gt;='RFM input'!$AA$7,0,M1197*M$6)</f>
        <v>9.0552760198899169E-4</v>
      </c>
      <c r="N1563" s="1297">
        <f>IF(COUNT($H1563:M1563)&gt;='RFM input'!$AA$7,0,N1197*N$6)</f>
        <v>0</v>
      </c>
      <c r="O1563" s="1297">
        <f>IF(COUNT($H1563:N1563)&gt;='RFM input'!$AA$7,0,O1197*O$6)</f>
        <v>0</v>
      </c>
      <c r="P1563" s="1297">
        <f>IF(COUNT($H1563:O1563)&gt;='RFM input'!$AA$7,0,P1197*P$6)</f>
        <v>0</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6.8531439772119132E-2</v>
      </c>
      <c r="H1564" s="1297">
        <f t="shared" si="332"/>
        <v>0.13108615499968182</v>
      </c>
      <c r="I1564" s="1297">
        <f t="shared" si="332"/>
        <v>0.14190636466344814</v>
      </c>
      <c r="J1564" s="1297">
        <f t="shared" si="332"/>
        <v>0.11519958852188866</v>
      </c>
      <c r="K1564" s="1297">
        <f>IF(COUNT($H1564:J1564)&gt;='RFM input'!$AA$7,0,K1198*K$6)</f>
        <v>-2.5963322736151213E-2</v>
      </c>
      <c r="L1564" s="1297">
        <f>IF(COUNT($H1564:K1564)&gt;='RFM input'!$AA$7,0,L1198*L$6)</f>
        <v>0.28522004285969499</v>
      </c>
      <c r="M1564" s="1297">
        <f>IF(COUNT($H1564:L1564)&gt;='RFM input'!$AA$7,0,M1198*M$6)</f>
        <v>0.4717690171995928</v>
      </c>
      <c r="N1564" s="1297">
        <f>IF(COUNT($H1564:M1564)&gt;='RFM input'!$AA$7,0,N1198*N$6)</f>
        <v>0</v>
      </c>
      <c r="O1564" s="1297">
        <f>IF(COUNT($H1564:N1564)&gt;='RFM input'!$AA$7,0,O1198*O$6)</f>
        <v>0</v>
      </c>
      <c r="P1564" s="1297">
        <f>IF(COUNT($H1564:O1564)&gt;='RFM input'!$AA$7,0,P1198*P$6)</f>
        <v>0</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1.0832627987044294E-2</v>
      </c>
      <c r="H1565" s="1297">
        <f t="shared" si="332"/>
        <v>1.1075567118784185E-2</v>
      </c>
      <c r="I1565" s="1297">
        <f t="shared" si="332"/>
        <v>2.7013456748719669E-3</v>
      </c>
      <c r="J1565" s="1297">
        <f t="shared" si="332"/>
        <v>1.1600073954361107E-4</v>
      </c>
      <c r="K1565" s="1297">
        <f>IF(COUNT($H1565:J1565)&gt;='RFM input'!$AA$7,0,K1199*K$6)</f>
        <v>-2.4512100427105192E-5</v>
      </c>
      <c r="L1565" s="1297">
        <f>IF(COUNT($H1565:K1565)&gt;='RFM input'!$AA$7,0,L1199*L$6)</f>
        <v>4.0543080560250681E-2</v>
      </c>
      <c r="M1565" s="1297">
        <f>IF(COUNT($H1565:L1565)&gt;='RFM input'!$AA$7,0,M1199*M$6)</f>
        <v>5.44138553193136E-2</v>
      </c>
      <c r="N1565" s="1297">
        <f>IF(COUNT($H1565:M1565)&gt;='RFM input'!$AA$7,0,N1199*N$6)</f>
        <v>0</v>
      </c>
      <c r="O1565" s="1297">
        <f>IF(COUNT($H1565:N1565)&gt;='RFM input'!$AA$7,0,O1199*O$6)</f>
        <v>0</v>
      </c>
      <c r="P1565" s="1297">
        <f>IF(COUNT($H1565:O1565)&gt;='RFM input'!$AA$7,0,P1199*P$6)</f>
        <v>0</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1.7490162914934108E-2</v>
      </c>
      <c r="H1566" s="1297">
        <f t="shared" si="332"/>
        <v>2.8927028700273191E-2</v>
      </c>
      <c r="I1566" s="1297">
        <f t="shared" si="332"/>
        <v>2.6872221993119269E-2</v>
      </c>
      <c r="J1566" s="1297">
        <f t="shared" si="332"/>
        <v>1.7271582719551756E-2</v>
      </c>
      <c r="K1566" s="1297">
        <f>IF(COUNT($H1566:J1566)&gt;='RFM input'!$AA$7,0,K1200*K$6)</f>
        <v>-2.9988433032555311E-3</v>
      </c>
      <c r="L1566" s="1297">
        <f>IF(COUNT($H1566:K1566)&gt;='RFM input'!$AA$7,0,L1200*L$6)</f>
        <v>2.3575273043461083E-2</v>
      </c>
      <c r="M1566" s="1297">
        <f>IF(COUNT($H1566:L1566)&gt;='RFM input'!$AA$7,0,M1200*M$6)</f>
        <v>2.4128892895934482E-2</v>
      </c>
      <c r="N1566" s="1297">
        <f>IF(COUNT($H1566:M1566)&gt;='RFM input'!$AA$7,0,N1200*N$6)</f>
        <v>0</v>
      </c>
      <c r="O1566" s="1297">
        <f>IF(COUNT($H1566:N1566)&gt;='RFM input'!$AA$7,0,O1200*O$6)</f>
        <v>0</v>
      </c>
      <c r="P1566" s="1297">
        <f>IF(COUNT($H1566:O1566)&gt;='RFM input'!$AA$7,0,P1200*P$6)</f>
        <v>0</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2.7285604739739792E-2</v>
      </c>
      <c r="H1567" s="1297">
        <f t="shared" si="332"/>
        <v>7.0808240630712449E-2</v>
      </c>
      <c r="I1567" s="1297">
        <f t="shared" si="332"/>
        <v>7.2257119224435798E-2</v>
      </c>
      <c r="J1567" s="1297">
        <f t="shared" si="332"/>
        <v>5.6773746339106396E-2</v>
      </c>
      <c r="K1567" s="1297">
        <f>IF(COUNT($H1567:J1567)&gt;='RFM input'!$AA$7,0,K1201*K$6)</f>
        <v>-1.3933282384611355E-2</v>
      </c>
      <c r="L1567" s="1297">
        <f>IF(COUNT($H1567:K1567)&gt;='RFM input'!$AA$7,0,L1201*L$6)</f>
        <v>0.13415444144013566</v>
      </c>
      <c r="M1567" s="1297">
        <f>IF(COUNT($H1567:L1567)&gt;='RFM input'!$AA$7,0,M1201*M$6)</f>
        <v>0.19254791609601166</v>
      </c>
      <c r="N1567" s="1297">
        <f>IF(COUNT($H1567:M1567)&gt;='RFM input'!$AA$7,0,N1201*N$6)</f>
        <v>0</v>
      </c>
      <c r="O1567" s="1297">
        <f>IF(COUNT($H1567:N1567)&gt;='RFM input'!$AA$7,0,O1201*O$6)</f>
        <v>0</v>
      </c>
      <c r="P1567" s="1297">
        <f>IF(COUNT($H1567:O1567)&gt;='RFM input'!$AA$7,0,P1201*P$6)</f>
        <v>0</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0</v>
      </c>
      <c r="I1568" s="1297">
        <f t="shared" si="332"/>
        <v>0</v>
      </c>
      <c r="J1568" s="1297">
        <f t="shared" si="332"/>
        <v>0</v>
      </c>
      <c r="K1568" s="1297">
        <f>IF(COUNT($H1568:J1568)&gt;='RFM input'!$AA$7,0,K1202*K$6)</f>
        <v>0</v>
      </c>
      <c r="L1568" s="1297">
        <f>IF(COUNT($H1568:K1568)&gt;='RFM input'!$AA$7,0,L1202*L$6)</f>
        <v>3.4124303518532607E-2</v>
      </c>
      <c r="M1568" s="1297">
        <f>IF(COUNT($H1568:L1568)&gt;='RFM input'!$AA$7,0,M1202*M$6)</f>
        <v>5.8449913965277898E-2</v>
      </c>
      <c r="N1568" s="1297">
        <f>IF(COUNT($H1568:M1568)&gt;='RFM input'!$AA$7,0,N1202*N$6)</f>
        <v>0</v>
      </c>
      <c r="O1568" s="1297">
        <f>IF(COUNT($H1568:N1568)&gt;='RFM input'!$AA$7,0,O1202*O$6)</f>
        <v>0</v>
      </c>
      <c r="P1568" s="1297">
        <f>IF(COUNT($H1568:O1568)&gt;='RFM input'!$AA$7,0,P1202*P$6)</f>
        <v>0</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0.12437723415871225</v>
      </c>
      <c r="H1569" s="1297">
        <f t="shared" si="332"/>
        <v>0.18679507642695461</v>
      </c>
      <c r="I1569" s="1297">
        <f t="shared" si="332"/>
        <v>0.1538956382356213</v>
      </c>
      <c r="J1569" s="1297">
        <f t="shared" si="332"/>
        <v>8.0826020463530351E-2</v>
      </c>
      <c r="K1569" s="1297">
        <f>IF(COUNT($H1569:J1569)&gt;='RFM input'!$AA$7,0,K1203*K$6)</f>
        <v>-9.1162114192554333E-3</v>
      </c>
      <c r="L1569" s="1297">
        <f>IF(COUNT($H1569:K1569)&gt;='RFM input'!$AA$7,0,L1203*L$6)</f>
        <v>1.086464276252112E-3</v>
      </c>
      <c r="M1569" s="1297">
        <f>IF(COUNT($H1569:L1569)&gt;='RFM input'!$AA$7,0,M1203*M$6)</f>
        <v>1.8025430037819186E-3</v>
      </c>
      <c r="N1569" s="1297">
        <f>IF(COUNT($H1569:M1569)&gt;='RFM input'!$AA$7,0,N1203*N$6)</f>
        <v>0</v>
      </c>
      <c r="O1569" s="1297">
        <f>IF(COUNT($H1569:N1569)&gt;='RFM input'!$AA$7,0,O1203*O$6)</f>
        <v>0</v>
      </c>
      <c r="P1569" s="1297">
        <f>IF(COUNT($H1569:O1569)&gt;='RFM input'!$AA$7,0,P1203*P$6)</f>
        <v>0</v>
      </c>
      <c r="Q1569" s="1297">
        <f>IF(COUNT($H1569:P1569)&gt;='RFM input'!$AA$7,0,Q1203*Q$6)</f>
        <v>0</v>
      </c>
      <c r="R1569" s="1269"/>
      <c r="S1569" s="3"/>
      <c r="T1569" s="3"/>
      <c r="U1569" s="3"/>
      <c r="V1569" s="3"/>
      <c r="W1569" s="3"/>
      <c r="X1569" s="3"/>
      <c r="Y1569" s="3"/>
      <c r="Z1569" s="3"/>
    </row>
    <row r="1570" spans="1:26" hidden="1" outlineLevel="1">
      <c r="A1570" s="3"/>
      <c r="B1570" s="3"/>
      <c r="C1570" s="3"/>
      <c r="D1570" s="153">
        <f>Asset15</f>
        <v>0</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0</v>
      </c>
      <c r="P1570" s="1297">
        <f>IF(COUNT($H1570:O1570)&gt;='RFM input'!$AA$7,0,P1204*P$6)</f>
        <v>0</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election activeCell="M321" sqref="M321"/>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6">
      <c r="A2" s="3"/>
      <c r="B2" s="3"/>
      <c r="C2" s="203" t="str">
        <f>'DMS input'!$C$16&amp;" - Total Asset Roll Forward"&amp;" - TNSP RFM - version "&amp;Intro!$M$4</f>
        <v>Carpentaria Gas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6">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321.6276646888191</v>
      </c>
      <c r="H7" s="1327">
        <f t="shared" ref="H7:Q7" si="1">SUM(H8:H57)</f>
        <v>317.93338228609718</v>
      </c>
      <c r="I7" s="1327">
        <f t="shared" si="1"/>
        <v>315.28597857627835</v>
      </c>
      <c r="J7" s="1327">
        <f t="shared" si="1"/>
        <v>313.28202847942038</v>
      </c>
      <c r="K7" s="1327">
        <f t="shared" si="1"/>
        <v>310.45164460201283</v>
      </c>
      <c r="L7" s="1327">
        <f t="shared" si="1"/>
        <v>303.42945151658427</v>
      </c>
      <c r="M7" s="1327">
        <f t="shared" si="1"/>
        <v>309.06945790417899</v>
      </c>
      <c r="N7" s="1327">
        <f t="shared" si="1"/>
        <v>323.32460716569256</v>
      </c>
      <c r="O7" s="1327">
        <f t="shared" si="1"/>
        <v>313.8531535020046</v>
      </c>
      <c r="P7" s="1327">
        <f t="shared" si="1"/>
        <v>304.7568845405911</v>
      </c>
      <c r="Q7" s="1327">
        <f t="shared" si="1"/>
        <v>296.02111919918843</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239.56529446685127</v>
      </c>
      <c r="H8" s="1297">
        <f t="shared" ref="H8:H37" si="2">G8+G60+G112+G164+G216+G268</f>
        <v>238.35232489350605</v>
      </c>
      <c r="I8" s="1297">
        <f t="shared" ref="I8:I37" si="3">H8+H60+H112</f>
        <v>239.09124323499697</v>
      </c>
      <c r="J8" s="1297">
        <f>IF(COUNT($H8:I8)&gt;='RFM input'!$AA$7,0,I8+I60+I112)</f>
        <v>240.11387118356811</v>
      </c>
      <c r="K8" s="1297">
        <f>IF(COUNT($H8:J8)&gt;='RFM input'!$AA$7,0,J8+J60+J112)</f>
        <v>239.92922416605845</v>
      </c>
      <c r="L8" s="1297">
        <f>IF(COUNT($H8:K8)&gt;='RFM input'!$AA$7,0,K8+K60+K112)</f>
        <v>236.34280502728978</v>
      </c>
      <c r="M8" s="1297">
        <f>IF(COUNT($H8:L8)&gt;='RFM input'!$AA$7,0,L8+L60+L112)</f>
        <v>241.97342675790549</v>
      </c>
      <c r="N8" s="1297">
        <f>IF(COUNT($H8:M8)&gt;='RFM input'!$AA$7,0,M8+M60+M112)</f>
        <v>252.58276281175188</v>
      </c>
      <c r="O8" s="1297">
        <f>IF(COUNT($H8:N8)&gt;='RFM input'!$AA$7,0,N8+N60+N112)</f>
        <v>248.06163046568182</v>
      </c>
      <c r="P8" s="1297">
        <f>IF(COUNT($H8:O8)&gt;='RFM input'!$AA$7,0,O8+O60+O112)</f>
        <v>243.54049811961175</v>
      </c>
      <c r="Q8" s="1297">
        <f>IF(COUNT($H8:P8)&gt;='RFM input'!$AA$7,0,P8+P60+P112)</f>
        <v>239.01936577354169</v>
      </c>
      <c r="R8" s="1297"/>
      <c r="S8" s="3"/>
      <c r="T8" s="3"/>
      <c r="U8" s="3"/>
      <c r="V8" s="3"/>
      <c r="W8" s="3"/>
      <c r="X8" s="3"/>
      <c r="Y8" s="3"/>
      <c r="Z8" s="3"/>
      <c r="AA8" s="172"/>
    </row>
    <row r="9" spans="1:27" hidden="1" outlineLevel="1">
      <c r="A9" s="3"/>
      <c r="B9" s="3"/>
      <c r="C9" s="29"/>
      <c r="D9" s="153" t="str">
        <f>Asset2</f>
        <v>Compressors</v>
      </c>
      <c r="E9" s="3"/>
      <c r="F9" s="3"/>
      <c r="G9" s="1296">
        <f>'Capital base roll forward'!G771</f>
        <v>44.311963353037747</v>
      </c>
      <c r="H9" s="1297">
        <f t="shared" si="2"/>
        <v>43.128644987341033</v>
      </c>
      <c r="I9" s="1297">
        <f t="shared" si="3"/>
        <v>42.929875834125703</v>
      </c>
      <c r="J9" s="1297">
        <f>IF(COUNT($H9:I9)&gt;='RFM input'!$AA$7,0,I9+I61+I113)</f>
        <v>42.149539559766431</v>
      </c>
      <c r="K9" s="1297">
        <f>IF(COUNT($H9:J9)&gt;='RFM input'!$AA$7,0,J9+J61+J113)</f>
        <v>41.40829031110664</v>
      </c>
      <c r="L9" s="1297">
        <f>IF(COUNT($H9:K9)&gt;='RFM input'!$AA$7,0,K9+K61+K113)</f>
        <v>39.725355300630874</v>
      </c>
      <c r="M9" s="1297">
        <f>IF(COUNT($H9:L9)&gt;='RFM input'!$AA$7,0,L9+L61+L113)</f>
        <v>40.123270124608815</v>
      </c>
      <c r="N9" s="1297">
        <f>IF(COUNT($H9:M9)&gt;='RFM input'!$AA$7,0,M9+M61+M113)</f>
        <v>40.751027908714221</v>
      </c>
      <c r="O9" s="1297">
        <f>IF(COUNT($H9:N9)&gt;='RFM input'!$AA$7,0,N9+N61+N113)</f>
        <v>38.800374108746674</v>
      </c>
      <c r="P9" s="1297">
        <f>IF(COUNT($H9:O9)&gt;='RFM input'!$AA$7,0,O9+O61+O113)</f>
        <v>36.849720308779126</v>
      </c>
      <c r="Q9" s="1297">
        <f>IF(COUNT($H9:P9)&gt;='RFM input'!$AA$7,0,P9+P61+P113)</f>
        <v>34.899066508811579</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0.11101439770758323</v>
      </c>
      <c r="H10" s="1297">
        <f t="shared" si="2"/>
        <v>0.11871236856194015</v>
      </c>
      <c r="I10" s="1297">
        <f t="shared" si="3"/>
        <v>0.11826738355421404</v>
      </c>
      <c r="J10" s="1297">
        <f>IF(COUNT($H10:I10)&gt;='RFM input'!$AA$7,0,I10+I62+I114)</f>
        <v>0.11793108844965508</v>
      </c>
      <c r="K10" s="1297">
        <f>IF(COUNT($H10:J10)&gt;='RFM input'!$AA$7,0,J10+J62+J114)</f>
        <v>0.11695807442954378</v>
      </c>
      <c r="L10" s="1297">
        <f>IF(COUNT($H10:K10)&gt;='RFM input'!$AA$7,0,K10+K62+K114)</f>
        <v>0.11365356955795748</v>
      </c>
      <c r="M10" s="1297">
        <f>IF(COUNT($H10:L10)&gt;='RFM input'!$AA$7,0,L10+L62+L114)</f>
        <v>0.11513796927226805</v>
      </c>
      <c r="N10" s="1297">
        <f>IF(COUNT($H10:M10)&gt;='RFM input'!$AA$7,0,M10+M62+M114)</f>
        <v>0.11921501979057827</v>
      </c>
      <c r="O10" s="1297">
        <f>IF(COUNT($H10:N10)&gt;='RFM input'!$AA$7,0,N10+N62+N114)</f>
        <v>0.11603287810892154</v>
      </c>
      <c r="P10" s="1297">
        <f>IF(COUNT($H10:O10)&gt;='RFM input'!$AA$7,0,O10+O62+O114)</f>
        <v>0.11285073642726481</v>
      </c>
      <c r="Q10" s="1297">
        <f>IF(COUNT($H10:P10)&gt;='RFM input'!$AA$7,0,P10+P62+P114)</f>
        <v>0.10966859474560808</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8.0913494859486885</v>
      </c>
      <c r="H11" s="1297">
        <f t="shared" si="2"/>
        <v>7.9377255785502125</v>
      </c>
      <c r="I11" s="1297">
        <f t="shared" si="3"/>
        <v>7.8650727172916781</v>
      </c>
      <c r="J11" s="1297">
        <f>IF(COUNT($H11:I11)&gt;='RFM input'!$AA$7,0,I11+I63+I115)</f>
        <v>7.7979665876311053</v>
      </c>
      <c r="K11" s="1297">
        <f>IF(COUNT($H11:J11)&gt;='RFM input'!$AA$7,0,J11+J63+J115)</f>
        <v>7.6868747881573922</v>
      </c>
      <c r="L11" s="1297">
        <f>IF(COUNT($H11:K11)&gt;='RFM input'!$AA$7,0,K11+K63+K115)</f>
        <v>7.421035799638771</v>
      </c>
      <c r="M11" s="1297">
        <f>IF(COUNT($H11:L11)&gt;='RFM input'!$AA$7,0,L11+L63+L115)</f>
        <v>7.4682377466277705</v>
      </c>
      <c r="N11" s="1297">
        <f>IF(COUNT($H11:M11)&gt;='RFM input'!$AA$7,0,M11+M63+M115)</f>
        <v>8.1120166069317321</v>
      </c>
      <c r="O11" s="1297">
        <f>IF(COUNT($H11:N11)&gt;='RFM input'!$AA$7,0,N11+N63+N115)</f>
        <v>7.8402540716712048</v>
      </c>
      <c r="P11" s="1297">
        <f>IF(COUNT($H11:O11)&gt;='RFM input'!$AA$7,0,O11+O63+O115)</f>
        <v>7.5684915364106775</v>
      </c>
      <c r="Q11" s="1297">
        <f>IF(COUNT($H11:P11)&gt;='RFM input'!$AA$7,0,P11+P63+P115)</f>
        <v>7.2967290011501502</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0.10522313436725229</v>
      </c>
      <c r="H12" s="1297">
        <f t="shared" si="2"/>
        <v>0.1049274748379232</v>
      </c>
      <c r="I12" s="1297">
        <f t="shared" si="3"/>
        <v>0.10559747003844691</v>
      </c>
      <c r="J12" s="1297">
        <f>IF(COUNT($H12:I12)&gt;='RFM input'!$AA$7,0,I12+I64+I116)</f>
        <v>0.10640618749945682</v>
      </c>
      <c r="K12" s="1297">
        <f>IF(COUNT($H12:J12)&gt;='RFM input'!$AA$7,0,J12+J64+J116)</f>
        <v>0.10668710386583365</v>
      </c>
      <c r="L12" s="1297">
        <f>IF(COUNT($H12:K12)&gt;='RFM input'!$AA$7,0,K12+K64+K116)</f>
        <v>0.10487879766287667</v>
      </c>
      <c r="M12" s="1297">
        <f>IF(COUNT($H12:L12)&gt;='RFM input'!$AA$7,0,L12+L64+L116)</f>
        <v>0.10748102892403578</v>
      </c>
      <c r="N12" s="1297">
        <f>IF(COUNT($H12:M12)&gt;='RFM input'!$AA$7,0,M12+M64+M116)</f>
        <v>0.11259887394197321</v>
      </c>
      <c r="O12" s="1297">
        <f>IF(COUNT($H12:N12)&gt;='RFM input'!$AA$7,0,N12+N64+N116)</f>
        <v>0.11102089486301529</v>
      </c>
      <c r="P12" s="1297">
        <f>IF(COUNT($H12:O12)&gt;='RFM input'!$AA$7,0,O12+O64+O116)</f>
        <v>0.10944291578405738</v>
      </c>
      <c r="Q12" s="1297">
        <f>IF(COUNT($H12:P12)&gt;='RFM input'!$AA$7,0,P12+P64+P116)</f>
        <v>0.10786493670509946</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0.87117360034144375</v>
      </c>
      <c r="H13" s="1297">
        <f t="shared" si="2"/>
        <v>1.8625275471170539</v>
      </c>
      <c r="I13" s="1297">
        <f t="shared" si="3"/>
        <v>1.7644379290462022</v>
      </c>
      <c r="J13" s="1297">
        <f>IF(COUNT($H13:I13)&gt;='RFM input'!$AA$7,0,I13+I65+I117)</f>
        <v>1.7419832557380865</v>
      </c>
      <c r="K13" s="1297">
        <f>IF(COUNT($H13:J13)&gt;='RFM input'!$AA$7,0,J13+J65+J117)</f>
        <v>1.9791384339254914</v>
      </c>
      <c r="L13" s="1297">
        <f>IF(COUNT($H13:K13)&gt;='RFM input'!$AA$7,0,K13+K65+K117)</f>
        <v>2.0322983034726998</v>
      </c>
      <c r="M13" s="1297">
        <f>IF(COUNT($H13:L13)&gt;='RFM input'!$AA$7,0,L13+L65+L117)</f>
        <v>1.9190499303583297</v>
      </c>
      <c r="N13" s="1297">
        <f>IF(COUNT($H13:M13)&gt;='RFM input'!$AA$7,0,M13+M65+M117)</f>
        <v>1.8381955910638847</v>
      </c>
      <c r="O13" s="1297">
        <f>IF(COUNT($H13:N13)&gt;='RFM input'!$AA$7,0,N13+N65+N117)</f>
        <v>1.6272054982180402</v>
      </c>
      <c r="P13" s="1297">
        <f>IF(COUNT($H13:O13)&gt;='RFM input'!$AA$7,0,O13+O65+O117)</f>
        <v>1.4162154053721956</v>
      </c>
      <c r="Q13" s="1297">
        <f>IF(COUNT($H13:P13)&gt;='RFM input'!$AA$7,0,P13+P65+P117)</f>
        <v>1.205225312526351</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4.2714159907899152</v>
      </c>
      <c r="H14" s="1297">
        <f t="shared" si="2"/>
        <v>4.2455440809339686</v>
      </c>
      <c r="I14" s="1297">
        <f t="shared" si="3"/>
        <v>4.2595179959000582</v>
      </c>
      <c r="J14" s="1297">
        <f>IF(COUNT($H14:I14)&gt;='RFM input'!$AA$7,0,I14+I66+I118)</f>
        <v>4.2785779442521621</v>
      </c>
      <c r="K14" s="1297">
        <f>IF(COUNT($H14:J14)&gt;='RFM input'!$AA$7,0,J14+J66+J118)</f>
        <v>4.2758500247493778</v>
      </c>
      <c r="L14" s="1297">
        <f>IF(COUNT($H14:K14)&gt;='RFM input'!$AA$7,0,K14+K66+K118)</f>
        <v>4.1889402362476016</v>
      </c>
      <c r="M14" s="1297">
        <f>IF(COUNT($H14:L14)&gt;='RFM input'!$AA$7,0,L14+L66+L118)</f>
        <v>4.2782928765466695</v>
      </c>
      <c r="N14" s="1297">
        <f>IF(COUNT($H14:M14)&gt;='RFM input'!$AA$7,0,M14+M66+M118)</f>
        <v>4.466664147690059</v>
      </c>
      <c r="O14" s="1297">
        <f>IF(COUNT($H14:N14)&gt;='RFM input'!$AA$7,0,N14+N66+N118)</f>
        <v>4.387564565486489</v>
      </c>
      <c r="P14" s="1297">
        <f>IF(COUNT($H14:O14)&gt;='RFM input'!$AA$7,0,O14+O66+O118)</f>
        <v>4.3084649832829189</v>
      </c>
      <c r="Q14" s="1297">
        <f>IF(COUNT($H14:P14)&gt;='RFM input'!$AA$7,0,P14+P66+P118)</f>
        <v>4.2293654010793489</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1.3334824275865296E-2</v>
      </c>
      <c r="H15" s="1297">
        <f t="shared" si="2"/>
        <v>1.3471273640548568E-2</v>
      </c>
      <c r="I15" s="1297">
        <f t="shared" si="3"/>
        <v>1.3731767882216634E-2</v>
      </c>
      <c r="J15" s="1297">
        <f>IF(COUNT($H15:I15)&gt;='RFM input'!$AA$7,0,I15+I67+I119)</f>
        <v>1.401707109928166E-2</v>
      </c>
      <c r="K15" s="1297">
        <f>IF(COUNT($H15:J15)&gt;='RFM input'!$AA$7,0,J15+J67+J119)</f>
        <v>1.4240351877854289E-2</v>
      </c>
      <c r="L15" s="1297">
        <f>IF(COUNT($H15:K15)&gt;='RFM input'!$AA$7,0,K15+K67+K119)</f>
        <v>1.4190733927060372E-2</v>
      </c>
      <c r="M15" s="1297">
        <f>IF(COUNT($H15:L15)&gt;='RFM input'!$AA$7,0,L15+L67+L119)</f>
        <v>1.473653138579346E-2</v>
      </c>
      <c r="N15" s="1297">
        <f>IF(COUNT($H15:M15)&gt;='RFM input'!$AA$7,0,M15+M67+M119)</f>
        <v>1.5642058987782453E-2</v>
      </c>
      <c r="O15" s="1297">
        <f>IF(COUNT($H15:N15)&gt;='RFM input'!$AA$7,0,N15+N67+N119)</f>
        <v>1.5642058987782453E-2</v>
      </c>
      <c r="P15" s="1297">
        <f>IF(COUNT($H15:O15)&gt;='RFM input'!$AA$7,0,O15+O67+O119)</f>
        <v>1.5642058987782453E-2</v>
      </c>
      <c r="Q15" s="1297">
        <f>IF(COUNT($H15:P15)&gt;='RFM input'!$AA$7,0,P15+P67+P119)</f>
        <v>1.5642058987782453E-2</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6.6973907050025856</v>
      </c>
      <c r="H16" s="1297">
        <f t="shared" si="2"/>
        <v>6.7790268728406859</v>
      </c>
      <c r="I16" s="1297">
        <f t="shared" si="3"/>
        <v>6.8300150296711521</v>
      </c>
      <c r="J16" s="1297">
        <f>IF(COUNT($H16:I16)&gt;='RFM input'!$AA$7,0,I16+I68+I120)</f>
        <v>7.2319741683185343</v>
      </c>
      <c r="K16" s="1297">
        <f>IF(COUNT($H16:J16)&gt;='RFM input'!$AA$7,0,J16+J68+J120)</f>
        <v>7.4514736252754599</v>
      </c>
      <c r="L16" s="1297">
        <f>IF(COUNT($H16:K16)&gt;='RFM input'!$AA$7,0,K16+K68+K120)</f>
        <v>7.4157211143520954</v>
      </c>
      <c r="M16" s="1297">
        <f>IF(COUNT($H16:L16)&gt;='RFM input'!$AA$7,0,L16+L68+L120)</f>
        <v>7.6775560607276239</v>
      </c>
      <c r="N16" s="1297">
        <f>IF(COUNT($H16:M16)&gt;='RFM input'!$AA$7,0,M16+M68+M120)</f>
        <v>7.9207733653341315</v>
      </c>
      <c r="O16" s="1297">
        <f>IF(COUNT($H16:N16)&gt;='RFM input'!$AA$7,0,N16+N68+N120)</f>
        <v>7.8027931087750062</v>
      </c>
      <c r="P16" s="1297">
        <f>IF(COUNT($H16:O16)&gt;='RFM input'!$AA$7,0,O16+O68+O120)</f>
        <v>7.684812852215881</v>
      </c>
      <c r="Q16" s="1297">
        <f>IF(COUNT($H16:P16)&gt;='RFM input'!$AA$7,0,P16+P68+P120)</f>
        <v>7.5668325956567557</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1.0586431896429707</v>
      </c>
      <c r="H17" s="1297">
        <f t="shared" si="2"/>
        <v>0.57276504242855342</v>
      </c>
      <c r="I17" s="1297">
        <f t="shared" si="3"/>
        <v>0.1300169418297068</v>
      </c>
      <c r="J17" s="1297">
        <f>IF(COUNT($H17:I17)&gt;='RFM input'!$AA$7,0,I17+I69+I121)</f>
        <v>7.2822686491266636E-3</v>
      </c>
      <c r="K17" s="1297">
        <f>IF(COUNT($H17:J17)&gt;='RFM input'!$AA$7,0,J17+J69+J121)</f>
        <v>7.0349728225792474E-3</v>
      </c>
      <c r="L17" s="1297">
        <f>IF(COUNT($H17:K17)&gt;='RFM input'!$AA$7,0,K17+K69+K121)</f>
        <v>1.0541200945665214</v>
      </c>
      <c r="M17" s="1297">
        <f>IF(COUNT($H17:L17)&gt;='RFM input'!$AA$7,0,L17+L69+L121)</f>
        <v>0.88552959067595327</v>
      </c>
      <c r="N17" s="1297">
        <f>IF(COUNT($H17:M17)&gt;='RFM input'!$AA$7,0,M17+M69+M121)</f>
        <v>0.72276625429668706</v>
      </c>
      <c r="O17" s="1297">
        <f>IF(COUNT($H17:N17)&gt;='RFM input'!$AA$7,0,N17+N69+N121)</f>
        <v>0.49224399947184772</v>
      </c>
      <c r="P17" s="1297">
        <f>IF(COUNT($H17:O17)&gt;='RFM input'!$AA$7,0,O17+O69+O121)</f>
        <v>0.26212715789465513</v>
      </c>
      <c r="Q17" s="1297">
        <f>IF(COUNT($H17:P17)&gt;='RFM input'!$AA$7,0,P17+P69+P121)</f>
        <v>3.2010316317462512E-2</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1.7092659212322057</v>
      </c>
      <c r="H18" s="1297">
        <f t="shared" si="2"/>
        <v>1.4959406270712703</v>
      </c>
      <c r="I18" s="1297">
        <f t="shared" si="3"/>
        <v>1.2933717281036052</v>
      </c>
      <c r="J18" s="1297">
        <f>IF(COUNT($H18:I18)&gt;='RFM input'!$AA$7,0,I18+I70+I122)</f>
        <v>1.0842715818385222</v>
      </c>
      <c r="K18" s="1297">
        <f>IF(COUNT($H18:J18)&gt;='RFM input'!$AA$7,0,J18+J70+J122)</f>
        <v>0.8606680280343445</v>
      </c>
      <c r="L18" s="1297">
        <f>IF(COUNT($H18:K18)&gt;='RFM input'!$AA$7,0,K18+K70+K122)</f>
        <v>0.6129570991299903</v>
      </c>
      <c r="M18" s="1297">
        <f>IF(COUNT($H18:L18)&gt;='RFM input'!$AA$7,0,L18+L70+L122)</f>
        <v>0.39267294192287916</v>
      </c>
      <c r="N18" s="1297">
        <f>IF(COUNT($H18:M18)&gt;='RFM input'!$AA$7,0,M18+M70+M122)</f>
        <v>0.16356319571245023</v>
      </c>
      <c r="O18" s="1297">
        <f>IF(COUNT($H18:N18)&gt;='RFM input'!$AA$7,0,N18+N70+N122)</f>
        <v>2.1587646361771351E-2</v>
      </c>
      <c r="P18" s="1297">
        <f>IF(COUNT($H18:O18)&gt;='RFM input'!$AA$7,0,O18+O70+O122)</f>
        <v>2.1587646361771351E-2</v>
      </c>
      <c r="Q18" s="1297">
        <f>IF(COUNT($H18:P18)&gt;='RFM input'!$AA$7,0,P18+P70+P122)</f>
        <v>2.1587646361771351E-2</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2.6665477359291296</v>
      </c>
      <c r="H19" s="1297">
        <f t="shared" si="2"/>
        <v>3.6617975869025572</v>
      </c>
      <c r="I19" s="1297">
        <f t="shared" si="3"/>
        <v>3.4777665644108753</v>
      </c>
      <c r="J19" s="1297">
        <f>IF(COUNT($H19:I19)&gt;='RFM input'!$AA$7,0,I19+I71+I123)</f>
        <v>3.5641296312883304</v>
      </c>
      <c r="K19" s="1297">
        <f>IF(COUNT($H19:J19)&gt;='RFM input'!$AA$7,0,J19+J71+J123)</f>
        <v>3.9988520443834918</v>
      </c>
      <c r="L19" s="1297">
        <f>IF(COUNT($H19:K19)&gt;='RFM input'!$AA$7,0,K19+K71+K123)</f>
        <v>3.4880154774435397</v>
      </c>
      <c r="M19" s="1297">
        <f>IF(COUNT($H19:L19)&gt;='RFM input'!$AA$7,0,L19+L71+L123)</f>
        <v>3.1335195112611229</v>
      </c>
      <c r="N19" s="1297">
        <f>IF(COUNT($H19:M19)&gt;='RFM input'!$AA$7,0,M19+M71+M123)</f>
        <v>5.4639335440261352</v>
      </c>
      <c r="O19" s="1297">
        <f>IF(COUNT($H19:N19)&gt;='RFM input'!$AA$7,0,N19+N71+N123)</f>
        <v>3.8130388553076191</v>
      </c>
      <c r="P19" s="1297">
        <f>IF(COUNT($H19:O19)&gt;='RFM input'!$AA$7,0,O19+O71+O123)</f>
        <v>2.3949479062652923</v>
      </c>
      <c r="Q19" s="1297">
        <f>IF(COUNT($H19:P19)&gt;='RFM input'!$AA$7,0,P19+P71+P123)</f>
        <v>1.3373605772339348</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0</v>
      </c>
      <c r="I20" s="1297">
        <f t="shared" si="3"/>
        <v>0</v>
      </c>
      <c r="J20" s="1297">
        <f>IF(COUNT($H20:I20)&gt;='RFM input'!$AA$7,0,I20+I72+I124)</f>
        <v>0</v>
      </c>
      <c r="K20" s="1297">
        <f>IF(COUNT($H20:J20)&gt;='RFM input'!$AA$7,0,J20+J72+J124)</f>
        <v>0</v>
      </c>
      <c r="L20" s="1297">
        <f>IF(COUNT($H20:K20)&gt;='RFM input'!$AA$7,0,K20+K72+K124)</f>
        <v>0.887231891481851</v>
      </c>
      <c r="M20" s="1297">
        <f>IF(COUNT($H20:L20)&gt;='RFM input'!$AA$7,0,L20+L72+L124)</f>
        <v>0.95121229850342703</v>
      </c>
      <c r="N20" s="1297">
        <f>IF(COUNT($H20:M20)&gt;='RFM input'!$AA$7,0,M20+M72+M124)</f>
        <v>1.0243107089885035</v>
      </c>
      <c r="O20" s="1297">
        <f>IF(COUNT($H20:N20)&gt;='RFM input'!$AA$7,0,N20+N72+N124)</f>
        <v>0.73262827186180646</v>
      </c>
      <c r="P20" s="1297">
        <f>IF(COUNT($H20:O20)&gt;='RFM input'!$AA$7,0,O20+O72+O124)</f>
        <v>0.44094583473510934</v>
      </c>
      <c r="Q20" s="1297">
        <f>IF(COUNT($H20:P20)&gt;='RFM input'!$AA$7,0,P20+P72+P124)</f>
        <v>0.14926339760841223</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12.155047883692397</v>
      </c>
      <c r="H21" s="1297">
        <f t="shared" si="2"/>
        <v>9.6599739523653643</v>
      </c>
      <c r="I21" s="1297">
        <f t="shared" si="3"/>
        <v>7.4070639794274857</v>
      </c>
      <c r="J21" s="1297">
        <f>IF(COUNT($H21:I21)&gt;='RFM input'!$AA$7,0,I21+I73+I125)</f>
        <v>5.0740779513216054</v>
      </c>
      <c r="K21" s="1297">
        <f>IF(COUNT($H21:J21)&gt;='RFM input'!$AA$7,0,J21+J73+J125)</f>
        <v>2.616352677326331</v>
      </c>
      <c r="L21" s="1297">
        <f>IF(COUNT($H21:K21)&gt;='RFM input'!$AA$7,0,K21+K73+K125)</f>
        <v>2.8248071182555012E-2</v>
      </c>
      <c r="M21" s="1297">
        <f>IF(COUNT($H21:L21)&gt;='RFM input'!$AA$7,0,L21+L73+L125)</f>
        <v>2.9334535458807126E-2</v>
      </c>
      <c r="N21" s="1297">
        <f>IF(COUNT($H21:M21)&gt;='RFM input'!$AA$7,0,M21+M73+M125)</f>
        <v>3.1137078462589046E-2</v>
      </c>
      <c r="O21" s="1297">
        <f>IF(COUNT($H21:N21)&gt;='RFM input'!$AA$7,0,N21+N73+N125)</f>
        <v>3.1137078462589046E-2</v>
      </c>
      <c r="P21" s="1297">
        <f>IF(COUNT($H21:O21)&gt;='RFM input'!$AA$7,0,O21+O73+O125)</f>
        <v>3.1137078462589046E-2</v>
      </c>
      <c r="Q21" s="1297">
        <f>IF(COUNT($H21:P21)&gt;='RFM input'!$AA$7,0,P21+P73+P125)</f>
        <v>3.1137078462589046E-2</v>
      </c>
      <c r="R21" s="1297"/>
      <c r="S21" s="75"/>
      <c r="T21" s="75"/>
      <c r="U21" s="75"/>
      <c r="V21" s="75"/>
      <c r="W21" s="75"/>
      <c r="X21" s="75"/>
      <c r="Y21" s="75"/>
      <c r="Z21" s="75"/>
      <c r="AA21" s="172"/>
    </row>
    <row r="22" spans="1:27" hidden="1" outlineLevel="1">
      <c r="A22" s="3"/>
      <c r="B22" s="3"/>
      <c r="C22" s="29"/>
      <c r="D22" s="153">
        <f>Asset15</f>
        <v>0</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v>
      </c>
      <c r="P22" s="1297">
        <f>IF(COUNT($H22:O22)&gt;='RFM input'!$AA$7,0,O22+O74+O126)</f>
        <v>0</v>
      </c>
      <c r="Q22" s="1297">
        <f>IF(COUNT($H22:P22)&gt;='RFM input'!$AA$7,0,P22+P74+P126)</f>
        <v>0</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3.3761323594417614</v>
      </c>
      <c r="H59" s="1269">
        <f t="shared" ref="H59:Q59" si="6">SUM(H60:H109)</f>
        <v>1.2281307669939858</v>
      </c>
      <c r="I59" s="1269">
        <f t="shared" si="6"/>
        <v>1.4698067254304825</v>
      </c>
      <c r="J59" s="1269">
        <f t="shared" si="6"/>
        <v>2.5014600678213519</v>
      </c>
      <c r="K59" s="1269">
        <f t="shared" si="6"/>
        <v>4.9102802702613868</v>
      </c>
      <c r="L59" s="1269">
        <f t="shared" si="6"/>
        <v>2.188570339223725</v>
      </c>
      <c r="M59" s="1269">
        <f t="shared" si="6"/>
        <v>3.7466562402508252</v>
      </c>
      <c r="N59" s="1269">
        <f t="shared" si="6"/>
        <v>0</v>
      </c>
      <c r="O59" s="1269">
        <f t="shared" si="6"/>
        <v>0</v>
      </c>
      <c r="P59" s="1269">
        <f t="shared" si="6"/>
        <v>0</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0.28598169103724558</v>
      </c>
      <c r="H60" s="1297">
        <f>'Capital base roll forward'!H822</f>
        <v>0</v>
      </c>
      <c r="I60" s="1297">
        <f>'Capital base roll forward'!I822</f>
        <v>0</v>
      </c>
      <c r="J60" s="1297">
        <f>'Capital base roll forward'!J822</f>
        <v>1.743458586527185E-2</v>
      </c>
      <c r="K60" s="1297">
        <f>'Capital base roll forward'!K822</f>
        <v>1.3408423020515747</v>
      </c>
      <c r="L60" s="1297">
        <f>'Capital base roll forward'!L822</f>
        <v>0.63423178734263486</v>
      </c>
      <c r="M60" s="1297">
        <f>'Capital base roll forward'!M822</f>
        <v>0</v>
      </c>
      <c r="N60" s="1297">
        <f>'Capital base roll forward'!N822</f>
        <v>0</v>
      </c>
      <c r="O60" s="1297">
        <f>'Capital base roll forward'!O822</f>
        <v>0</v>
      </c>
      <c r="P60" s="1297">
        <f>'Capital base roll forward'!P822</f>
        <v>0</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1.2516034431101927E-2</v>
      </c>
      <c r="H61" s="1297">
        <f>'Capital base roll forward'!H823</f>
        <v>0.59889430094813101</v>
      </c>
      <c r="I61" s="1297">
        <f>'Capital base roll forward'!I823</f>
        <v>8.351113026066519E-3</v>
      </c>
      <c r="J61" s="1297">
        <f>'Capital base roll forward'!J823</f>
        <v>0.3031401080673542</v>
      </c>
      <c r="K61" s="1297">
        <f>'Capital base roll forward'!K823</f>
        <v>0.2132731040941076</v>
      </c>
      <c r="L61" s="1297">
        <f>'Capital base roll forward'!L823</f>
        <v>0.6219129060742431</v>
      </c>
      <c r="M61" s="1297">
        <f>'Capital base roll forward'!M823</f>
        <v>3.0383456195806359E-17</v>
      </c>
      <c r="N61" s="1297">
        <f>'Capital base roll forward'!N823</f>
        <v>0</v>
      </c>
      <c r="O61" s="1297">
        <f>'Capital base roll forward'!O823</f>
        <v>0</v>
      </c>
      <c r="P61" s="1297">
        <f>'Capital base roll forward'!P823</f>
        <v>0</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9.187412422104484E-3</v>
      </c>
      <c r="H62" s="1297">
        <f>'Capital base roll forward'!H824</f>
        <v>0</v>
      </c>
      <c r="I62" s="1297">
        <f>'Capital base roll forward'!I824</f>
        <v>0</v>
      </c>
      <c r="J62" s="1297">
        <f>'Capital base roll forward'!J824</f>
        <v>0</v>
      </c>
      <c r="K62" s="1297">
        <f>'Capital base roll forward'!K824</f>
        <v>0</v>
      </c>
      <c r="L62" s="1297">
        <f>'Capital base roll forward'!L824</f>
        <v>0</v>
      </c>
      <c r="M62" s="1297">
        <f>'Capital base roll forward'!M824</f>
        <v>0</v>
      </c>
      <c r="N62" s="1297">
        <f>'Capital base roll forward'!N824</f>
        <v>0</v>
      </c>
      <c r="O62" s="1297">
        <f>'Capital base roll forward'!O824</f>
        <v>0</v>
      </c>
      <c r="P62" s="1297">
        <f>'Capital base roll forward'!P824</f>
        <v>0</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0</v>
      </c>
      <c r="H63" s="1297">
        <f>'Capital base roll forward'!H825</f>
        <v>0</v>
      </c>
      <c r="I63" s="1297">
        <f>'Capital base roll forward'!I825</f>
        <v>0</v>
      </c>
      <c r="J63" s="1297">
        <f>'Capital base roll forward'!J825</f>
        <v>0</v>
      </c>
      <c r="K63" s="1297">
        <f>'Capital base roll forward'!K825</f>
        <v>0</v>
      </c>
      <c r="L63" s="1297">
        <f>'Capital base roll forward'!L825</f>
        <v>0</v>
      </c>
      <c r="M63" s="1297">
        <f>'Capital base roll forward'!M825</f>
        <v>0.43225690635436659</v>
      </c>
      <c r="N63" s="1297">
        <f>'Capital base roll forward'!N825</f>
        <v>0</v>
      </c>
      <c r="O63" s="1297">
        <f>'Capital base roll forward'!O825</f>
        <v>0</v>
      </c>
      <c r="P63" s="1297">
        <f>'Capital base roll forward'!P825</f>
        <v>0</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0</v>
      </c>
      <c r="K64" s="1297">
        <f>'Capital base roll forward'!K826</f>
        <v>0</v>
      </c>
      <c r="L64" s="1297">
        <f>'Capital base roll forward'!L826</f>
        <v>0</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1.0594006085425263</v>
      </c>
      <c r="H65" s="1297">
        <f>'Capital base roll forward'!H827</f>
        <v>4.0593497104851892E-3</v>
      </c>
      <c r="I65" s="1297">
        <f>'Capital base roll forward'!I827</f>
        <v>8.1998064557741834E-2</v>
      </c>
      <c r="J65" s="1297">
        <f>'Capital base roll forward'!J827</f>
        <v>0.35903100207135785</v>
      </c>
      <c r="K65" s="1297">
        <f>'Capital base roll forward'!K827</f>
        <v>0.23638011881474144</v>
      </c>
      <c r="L65" s="1297">
        <f>'Capital base roll forward'!L827</f>
        <v>0</v>
      </c>
      <c r="M65" s="1297">
        <f>'Capital base roll forward'!M827</f>
        <v>0</v>
      </c>
      <c r="N65" s="1297">
        <f>'Capital base roll forward'!N827</f>
        <v>0</v>
      </c>
      <c r="O65" s="1297">
        <f>'Capital base roll forward'!O827</f>
        <v>0</v>
      </c>
      <c r="P65" s="1297">
        <f>'Capital base roll forward'!P827</f>
        <v>0</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0</v>
      </c>
      <c r="I66" s="1297">
        <f>'Capital base roll forward'!I828</f>
        <v>0</v>
      </c>
      <c r="J66" s="1297">
        <f>'Capital base roll forward'!J828</f>
        <v>0</v>
      </c>
      <c r="K66" s="1297">
        <f>'Capital base roll forward'!K828</f>
        <v>0</v>
      </c>
      <c r="L66" s="1297">
        <f>'Capital base roll forward'!L828</f>
        <v>0</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v>
      </c>
      <c r="M67" s="1297">
        <f>'Capital base roll forward'!M829</f>
        <v>0</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0.10688829895818489</v>
      </c>
      <c r="H68" s="1297">
        <f>'Capital base roll forward'!H830</f>
        <v>1.3677096641959778E-2</v>
      </c>
      <c r="I68" s="1297">
        <f>'Capital base roll forward'!I830</f>
        <v>0.35581546899383631</v>
      </c>
      <c r="J68" s="1297">
        <f>'Capital base roll forward'!J830</f>
        <v>0.20659231546369816</v>
      </c>
      <c r="K68" s="1297">
        <f>'Capital base roll forward'!K830</f>
        <v>9.6756235632085907E-2</v>
      </c>
      <c r="L68" s="1297">
        <f>'Capital base roll forward'!L830</f>
        <v>8.3994327748251316E-2</v>
      </c>
      <c r="M68" s="1297">
        <f>'Capital base roll forward'!M830</f>
        <v>-0.11595199952038025</v>
      </c>
      <c r="N68" s="1297">
        <f>'Capital base roll forward'!N830</f>
        <v>0</v>
      </c>
      <c r="O68" s="1297">
        <f>'Capital base roll forward'!O830</f>
        <v>0</v>
      </c>
      <c r="P68" s="1297">
        <f>'Capital base roll forward'!P830</f>
        <v>0</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1.7759482827910556E-2</v>
      </c>
      <c r="H69" s="1297">
        <f>'Capital base roll forward'!H831</f>
        <v>0</v>
      </c>
      <c r="I69" s="1297">
        <f>'Capital base roll forward'!I831</f>
        <v>1.7795101710741917E-3</v>
      </c>
      <c r="J69" s="1297">
        <f>'Capital base roll forward'!J831</f>
        <v>0</v>
      </c>
      <c r="K69" s="1297">
        <f>'Capital base roll forward'!K831</f>
        <v>1.047478717435407</v>
      </c>
      <c r="L69" s="1297">
        <f>'Capital base roll forward'!L831</f>
        <v>6.2960173790787738E-9</v>
      </c>
      <c r="M69" s="1297">
        <f>'Capital base roll forward'!M831</f>
        <v>0</v>
      </c>
      <c r="N69" s="1297">
        <f>'Capital base roll forward'!N831</f>
        <v>0</v>
      </c>
      <c r="O69" s="1297">
        <f>'Capital base roll forward'!O831</f>
        <v>0</v>
      </c>
      <c r="P69" s="1297">
        <f>'Capital base roll forward'!P831</f>
        <v>0</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1.8843988312226876</v>
      </c>
      <c r="H71" s="1297">
        <f>'Capital base roll forward'!H833</f>
        <v>0.61150001969340984</v>
      </c>
      <c r="I71" s="1297">
        <f>'Capital base roll forward'!I833</f>
        <v>1.0218625686817637</v>
      </c>
      <c r="J71" s="1297">
        <f>'Capital base roll forward'!J833</f>
        <v>1.6152620563536699</v>
      </c>
      <c r="K71" s="1297">
        <f>'Capital base roll forward'!K833</f>
        <v>1.0883179007516188</v>
      </c>
      <c r="L71" s="1297">
        <f>'Capital base roll forward'!L833</f>
        <v>0.64174711002691454</v>
      </c>
      <c r="M71" s="1297">
        <f>'Capital base roll forward'!M833</f>
        <v>3.1891469391411436</v>
      </c>
      <c r="N71" s="1297">
        <f>'Capital base roll forward'!N833</f>
        <v>0</v>
      </c>
      <c r="O71" s="1297">
        <f>'Capital base roll forward'!O833</f>
        <v>0</v>
      </c>
      <c r="P71" s="1297">
        <f>'Capital base roll forward'!P833</f>
        <v>0</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0</v>
      </c>
      <c r="H72" s="1297">
        <f>'Capital base roll forward'!H834</f>
        <v>0</v>
      </c>
      <c r="I72" s="1297">
        <f>'Capital base roll forward'!I834</f>
        <v>0</v>
      </c>
      <c r="J72" s="1297">
        <f>'Capital base roll forward'!J834</f>
        <v>0</v>
      </c>
      <c r="K72" s="1297">
        <f>'Capital base roll forward'!K834</f>
        <v>0.887231891481851</v>
      </c>
      <c r="L72" s="1297">
        <f>'Capital base roll forward'!L834</f>
        <v>0.20668420173566338</v>
      </c>
      <c r="M72" s="1297">
        <f>'Capital base roll forward'!M834</f>
        <v>0.2412043942756954</v>
      </c>
      <c r="N72" s="1297">
        <f>'Capital base roll forward'!N834</f>
        <v>0</v>
      </c>
      <c r="O72" s="1297">
        <f>'Capital base roll forward'!O834</f>
        <v>0</v>
      </c>
      <c r="P72" s="1297">
        <f>'Capital base roll forward'!P834</f>
        <v>0</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f>Asset15</f>
        <v>0</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-7.0704147621636491</v>
      </c>
      <c r="H111" s="1269">
        <f t="shared" ref="H111:Q111" si="7">SUM(H112:H161)</f>
        <v>-3.8755344768128555</v>
      </c>
      <c r="I111" s="1269">
        <f t="shared" si="7"/>
        <v>-3.4737568222883874</v>
      </c>
      <c r="J111" s="1269">
        <f t="shared" si="7"/>
        <v>-5.3318439452289415</v>
      </c>
      <c r="K111" s="1269">
        <f t="shared" si="7"/>
        <v>-11.932473355689995</v>
      </c>
      <c r="L111" s="1269">
        <f t="shared" si="7"/>
        <v>3.4514360483710873</v>
      </c>
      <c r="M111" s="1269">
        <f t="shared" si="7"/>
        <v>10.508493021262796</v>
      </c>
      <c r="N111" s="1269">
        <f t="shared" si="7"/>
        <v>-9.471453663688024</v>
      </c>
      <c r="O111" s="1269">
        <f t="shared" si="7"/>
        <v>-9.096268961413509</v>
      </c>
      <c r="P111" s="1269">
        <f t="shared" si="7"/>
        <v>-8.7357653414025389</v>
      </c>
      <c r="Q111" s="1269">
        <f t="shared" si="7"/>
        <v>-8.0716470573097769</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-1.4989512643824603</v>
      </c>
      <c r="H112" s="1297">
        <f>'Capital base roll forward'!H874</f>
        <v>0.73891834149090174</v>
      </c>
      <c r="I112" s="1297">
        <f>'Capital base roll forward'!I874</f>
        <v>1.0226279485711429</v>
      </c>
      <c r="J112" s="1297">
        <f>'Capital base roll forward'!J874</f>
        <v>-0.20208160337490844</v>
      </c>
      <c r="K112" s="1297">
        <f>'Capital base roll forward'!K874</f>
        <v>-4.9272614408202386</v>
      </c>
      <c r="L112" s="1297">
        <f>'Capital base roll forward'!L874</f>
        <v>4.9963899432730754</v>
      </c>
      <c r="M112" s="1297">
        <f>'Capital base roll forward'!M874</f>
        <v>10.609336053846391</v>
      </c>
      <c r="N112" s="1297">
        <f>'Capital base roll forward'!N874</f>
        <v>-4.5211323460700648</v>
      </c>
      <c r="O112" s="1297">
        <f>'Capital base roll forward'!O874</f>
        <v>-4.5211323460700648</v>
      </c>
      <c r="P112" s="1297">
        <f>'Capital base roll forward'!P874</f>
        <v>-4.5211323460700648</v>
      </c>
      <c r="Q112" s="1297">
        <f>'Capital base roll forward'!Q874</f>
        <v>-4.5211323460700648</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-1.1958344001278152</v>
      </c>
      <c r="H113" s="1297">
        <f>'Capital base roll forward'!H875</f>
        <v>-0.79766345416346507</v>
      </c>
      <c r="I113" s="1297">
        <f>'Capital base roll forward'!I875</f>
        <v>-0.78868738738534006</v>
      </c>
      <c r="J113" s="1297">
        <f>'Capital base roll forward'!J875</f>
        <v>-1.0443893567271409</v>
      </c>
      <c r="K113" s="1297">
        <f>'Capital base roll forward'!K875</f>
        <v>-1.8962081145698721</v>
      </c>
      <c r="L113" s="1297">
        <f>'Capital base roll forward'!L875</f>
        <v>-0.22399808209630323</v>
      </c>
      <c r="M113" s="1297">
        <f>'Capital base roll forward'!M875</f>
        <v>0.62775778410540406</v>
      </c>
      <c r="N113" s="1297">
        <f>'Capital base roll forward'!N875</f>
        <v>-1.9506537999675477</v>
      </c>
      <c r="O113" s="1297">
        <f>'Capital base roll forward'!O875</f>
        <v>-1.9506537999675477</v>
      </c>
      <c r="P113" s="1297">
        <f>'Capital base roll forward'!P875</f>
        <v>-1.9506537999675477</v>
      </c>
      <c r="Q113" s="1297">
        <f>'Capital base roll forward'!Q875</f>
        <v>-1.9506537999675477</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-1.489441567747569E-3</v>
      </c>
      <c r="H114" s="1297">
        <f>'Capital base roll forward'!H876</f>
        <v>-4.4498500772610205E-4</v>
      </c>
      <c r="I114" s="1297">
        <f>'Capital base roll forward'!I876</f>
        <v>-3.3629510455895776E-4</v>
      </c>
      <c r="J114" s="1297">
        <f>'Capital base roll forward'!J876</f>
        <v>-9.730140201112986E-4</v>
      </c>
      <c r="K114" s="1297">
        <f>'Capital base roll forward'!K876</f>
        <v>-3.3045048715863068E-3</v>
      </c>
      <c r="L114" s="1297">
        <f>'Capital base roll forward'!L876</f>
        <v>1.4843997143105642E-3</v>
      </c>
      <c r="M114" s="1297">
        <f>'Capital base roll forward'!M876</f>
        <v>4.0770505183102199E-3</v>
      </c>
      <c r="N114" s="1297">
        <f>'Capital base roll forward'!N876</f>
        <v>-3.182141681656727E-3</v>
      </c>
      <c r="O114" s="1297">
        <f>'Capital base roll forward'!O876</f>
        <v>-3.182141681656727E-3</v>
      </c>
      <c r="P114" s="1297">
        <f>'Capital base roll forward'!P876</f>
        <v>-3.182141681656727E-3</v>
      </c>
      <c r="Q114" s="1297">
        <f>'Capital base roll forward'!Q876</f>
        <v>-3.182141681656727E-3</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-0.15362390739847637</v>
      </c>
      <c r="H115" s="1297">
        <f>'Capital base roll forward'!H877</f>
        <v>-7.2652861258534457E-2</v>
      </c>
      <c r="I115" s="1297">
        <f>'Capital base roll forward'!I877</f>
        <v>-6.7106129660572805E-2</v>
      </c>
      <c r="J115" s="1297">
        <f>'Capital base roll forward'!J877</f>
        <v>-0.11109179947371299</v>
      </c>
      <c r="K115" s="1297">
        <f>'Capital base roll forward'!K877</f>
        <v>-0.26583898851862137</v>
      </c>
      <c r="L115" s="1297">
        <f>'Capital base roll forward'!L877</f>
        <v>4.7201946988999377E-2</v>
      </c>
      <c r="M115" s="1297">
        <f>'Capital base roll forward'!M877</f>
        <v>0.21152195394959517</v>
      </c>
      <c r="N115" s="1297">
        <f>'Capital base roll forward'!N877</f>
        <v>-0.27176253526052696</v>
      </c>
      <c r="O115" s="1297">
        <f>'Capital base roll forward'!O877</f>
        <v>-0.27176253526052696</v>
      </c>
      <c r="P115" s="1297">
        <f>'Capital base roll forward'!P877</f>
        <v>-0.27176253526052696</v>
      </c>
      <c r="Q115" s="1297">
        <f>'Capital base roll forward'!Q877</f>
        <v>-0.27176253526052696</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-2.9565952932909508E-4</v>
      </c>
      <c r="H116" s="1297">
        <f>'Capital base roll forward'!H878</f>
        <v>6.6999520052371292E-4</v>
      </c>
      <c r="I116" s="1297">
        <f>'Capital base roll forward'!I878</f>
        <v>8.0871746100991625E-4</v>
      </c>
      <c r="J116" s="1297">
        <f>'Capital base roll forward'!J878</f>
        <v>2.8091636637681862E-4</v>
      </c>
      <c r="K116" s="1297">
        <f>'Capital base roll forward'!K878</f>
        <v>-1.8083062029569834E-3</v>
      </c>
      <c r="L116" s="1297">
        <f>'Capital base roll forward'!L878</f>
        <v>2.6022312611591165E-3</v>
      </c>
      <c r="M116" s="1297">
        <f>'Capital base roll forward'!M878</f>
        <v>5.1178450179374252E-3</v>
      </c>
      <c r="N116" s="1297">
        <f>'Capital base roll forward'!N878</f>
        <v>-1.5779790789579146E-3</v>
      </c>
      <c r="O116" s="1297">
        <f>'Capital base roll forward'!O878</f>
        <v>-1.5779790789579146E-3</v>
      </c>
      <c r="P116" s="1297">
        <f>'Capital base roll forward'!P878</f>
        <v>-1.5779790789579146E-3</v>
      </c>
      <c r="Q116" s="1297">
        <f>'Capital base roll forward'!Q878</f>
        <v>-1.5779790789579146E-3</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-6.8046661766916261E-2</v>
      </c>
      <c r="H117" s="1297">
        <f>'Capital base roll forward'!H879</f>
        <v>-0.10214896778133697</v>
      </c>
      <c r="I117" s="1297">
        <f>'Capital base roll forward'!I879</f>
        <v>-0.10445273786585742</v>
      </c>
      <c r="J117" s="1297">
        <f>'Capital base roll forward'!J879</f>
        <v>-0.12187582388395277</v>
      </c>
      <c r="K117" s="1297">
        <f>'Capital base roll forward'!K879</f>
        <v>-0.18322024926753303</v>
      </c>
      <c r="L117" s="1297">
        <f>'Capital base roll forward'!L879</f>
        <v>-0.11324837311437008</v>
      </c>
      <c r="M117" s="1297">
        <f>'Capital base roll forward'!M879</f>
        <v>-8.0854339294444869E-2</v>
      </c>
      <c r="N117" s="1297">
        <f>'Capital base roll forward'!N879</f>
        <v>-0.21099009284584458</v>
      </c>
      <c r="O117" s="1297">
        <f>'Capital base roll forward'!O879</f>
        <v>-0.21099009284584458</v>
      </c>
      <c r="P117" s="1297">
        <f>'Capital base roll forward'!P879</f>
        <v>-0.21099009284584458</v>
      </c>
      <c r="Q117" s="1297">
        <f>'Capital base roll forward'!Q879</f>
        <v>-0.21099009284584458</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-2.5871909855946493E-2</v>
      </c>
      <c r="H118" s="1297">
        <f>'Capital base roll forward'!H880</f>
        <v>1.3973914966089407E-2</v>
      </c>
      <c r="I118" s="1297">
        <f>'Capital base roll forward'!I880</f>
        <v>1.9059948352104131E-2</v>
      </c>
      <c r="J118" s="1297">
        <f>'Capital base roll forward'!J880</f>
        <v>-2.7279195027840319E-3</v>
      </c>
      <c r="K118" s="1297">
        <f>'Capital base roll forward'!K880</f>
        <v>-8.6909788501775942E-2</v>
      </c>
      <c r="L118" s="1297">
        <f>'Capital base roll forward'!L880</f>
        <v>8.9352640299067657E-2</v>
      </c>
      <c r="M118" s="1297">
        <f>'Capital base roll forward'!M880</f>
        <v>0.18837127114338975</v>
      </c>
      <c r="N118" s="1297">
        <f>'Capital base roll forward'!N880</f>
        <v>-7.9099582203569607E-2</v>
      </c>
      <c r="O118" s="1297">
        <f>'Capital base roll forward'!O880</f>
        <v>-7.9099582203569607E-2</v>
      </c>
      <c r="P118" s="1297">
        <f>'Capital base roll forward'!P880</f>
        <v>-7.9099582203569607E-2</v>
      </c>
      <c r="Q118" s="1297">
        <f>'Capital base roll forward'!Q880</f>
        <v>-7.9099582203569607E-2</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1.364493646832721E-4</v>
      </c>
      <c r="H119" s="1297">
        <f>'Capital base roll forward'!H881</f>
        <v>2.6049424166806631E-4</v>
      </c>
      <c r="I119" s="1297">
        <f>'Capital base roll forward'!I881</f>
        <v>2.8530321706502594E-4</v>
      </c>
      <c r="J119" s="1297">
        <f>'Capital base roll forward'!J881</f>
        <v>2.2328077857262918E-4</v>
      </c>
      <c r="K119" s="1297">
        <f>'Capital base roll forward'!K881</f>
        <v>-4.9617950793916976E-5</v>
      </c>
      <c r="L119" s="1297">
        <f>'Capital base roll forward'!L881</f>
        <v>5.4579745873308927E-4</v>
      </c>
      <c r="M119" s="1297">
        <f>'Capital base roll forward'!M881</f>
        <v>9.0552760198899169E-4</v>
      </c>
      <c r="N119" s="1297">
        <f>'Capital base roll forward'!N881</f>
        <v>0</v>
      </c>
      <c r="O119" s="1297">
        <f>'Capital base roll forward'!O881</f>
        <v>0</v>
      </c>
      <c r="P119" s="1297">
        <f>'Capital base roll forward'!P881</f>
        <v>0</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-2.525213112008437E-2</v>
      </c>
      <c r="H120" s="1297">
        <f>'Capital base roll forward'!H882</f>
        <v>3.731106018850644E-2</v>
      </c>
      <c r="I120" s="1297">
        <f>'Capital base roll forward'!I882</f>
        <v>4.6143669653545494E-2</v>
      </c>
      <c r="J120" s="1297">
        <f>'Capital base roll forward'!J882</f>
        <v>1.2907141493227484E-2</v>
      </c>
      <c r="K120" s="1297">
        <f>'Capital base roll forward'!K882</f>
        <v>-0.13250874655544953</v>
      </c>
      <c r="L120" s="1297">
        <f>'Capital base roll forward'!L882</f>
        <v>0.17784061862727679</v>
      </c>
      <c r="M120" s="1297">
        <f>'Capital base roll forward'!M882</f>
        <v>0.35916930412688797</v>
      </c>
      <c r="N120" s="1297">
        <f>'Capital base roll forward'!N882</f>
        <v>-0.11798025655912527</v>
      </c>
      <c r="O120" s="1297">
        <f>'Capital base roll forward'!O882</f>
        <v>-0.11798025655912527</v>
      </c>
      <c r="P120" s="1297">
        <f>'Capital base roll forward'!P882</f>
        <v>-0.11798025655912527</v>
      </c>
      <c r="Q120" s="1297">
        <f>'Capital base roll forward'!Q882</f>
        <v>-0.11798025655912527</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-0.50363763004232787</v>
      </c>
      <c r="H121" s="1297">
        <f>'Capital base roll forward'!H883</f>
        <v>-0.44274810059884662</v>
      </c>
      <c r="I121" s="1297">
        <f>'Capital base roll forward'!I883</f>
        <v>-0.12451418335165433</v>
      </c>
      <c r="J121" s="1297">
        <f>'Capital base roll forward'!J883</f>
        <v>-2.4729582654741636E-4</v>
      </c>
      <c r="K121" s="1297">
        <f>'Capital base roll forward'!K883</f>
        <v>-3.9359569146471535E-4</v>
      </c>
      <c r="L121" s="1297">
        <f>'Capital base roll forward'!L883</f>
        <v>-0.16859051018658566</v>
      </c>
      <c r="M121" s="1297">
        <f>'Capital base roll forward'!M883</f>
        <v>-0.16276333637926621</v>
      </c>
      <c r="N121" s="1297">
        <f>'Capital base roll forward'!N883</f>
        <v>-0.23052225482483932</v>
      </c>
      <c r="O121" s="1297">
        <f>'Capital base roll forward'!O883</f>
        <v>-0.23011684157719262</v>
      </c>
      <c r="P121" s="1297">
        <f>'Capital base roll forward'!P883</f>
        <v>-0.23011684157719262</v>
      </c>
      <c r="Q121" s="1297">
        <f>'Capital base roll forward'!Q883</f>
        <v>-1.3879856494787295E-9</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-0.21332529416093537</v>
      </c>
      <c r="H122" s="1297">
        <f>'Capital base roll forward'!H884</f>
        <v>-0.20256889896766511</v>
      </c>
      <c r="I122" s="1297">
        <f>'Capital base roll forward'!I884</f>
        <v>-0.209100146265083</v>
      </c>
      <c r="J122" s="1297">
        <f>'Capital base roll forward'!J884</f>
        <v>-0.22360355380417776</v>
      </c>
      <c r="K122" s="1297">
        <f>'Capital base roll forward'!K884</f>
        <v>-0.2477109289043542</v>
      </c>
      <c r="L122" s="1297">
        <f>'Capital base roll forward'!L884</f>
        <v>-0.22028415720711114</v>
      </c>
      <c r="M122" s="1297">
        <f>'Capital base roll forward'!M884</f>
        <v>-0.22910974621042893</v>
      </c>
      <c r="N122" s="1297">
        <f>'Capital base roll forward'!N884</f>
        <v>-0.14197554935067888</v>
      </c>
      <c r="O122" s="1297">
        <f>'Capital base roll forward'!O884</f>
        <v>0</v>
      </c>
      <c r="P122" s="1297">
        <f>'Capital base roll forward'!P884</f>
        <v>0</v>
      </c>
      <c r="Q122" s="1297">
        <f>'Capital base roll forward'!Q884</f>
        <v>0</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-0.88914898024925959</v>
      </c>
      <c r="H123" s="1297">
        <f>'Capital base roll forward'!H885</f>
        <v>-0.79553104218509152</v>
      </c>
      <c r="I123" s="1297">
        <f>'Capital base roll forward'!I885</f>
        <v>-0.9354995018043083</v>
      </c>
      <c r="J123" s="1297">
        <f>'Capital base roll forward'!J885</f>
        <v>-1.1805396432585082</v>
      </c>
      <c r="K123" s="1297">
        <f>'Capital base roll forward'!K885</f>
        <v>-1.599154467691571</v>
      </c>
      <c r="L123" s="1297">
        <f>'Capital base roll forward'!L885</f>
        <v>-0.99624307620933128</v>
      </c>
      <c r="M123" s="1297">
        <f>'Capital base roll forward'!M885</f>
        <v>-0.85873290637613164</v>
      </c>
      <c r="N123" s="1297">
        <f>'Capital base roll forward'!N885</f>
        <v>-1.6508946887185159</v>
      </c>
      <c r="O123" s="1297">
        <f>'Capital base roll forward'!O885</f>
        <v>-1.418090949042327</v>
      </c>
      <c r="P123" s="1297">
        <f>'Capital base roll forward'!P885</f>
        <v>-1.0575873290313575</v>
      </c>
      <c r="Q123" s="1297">
        <f>'Capital base roll forward'!Q885</f>
        <v>-0.81849867522512221</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0</v>
      </c>
      <c r="I124" s="1297">
        <f>'Capital base roll forward'!I886</f>
        <v>0</v>
      </c>
      <c r="J124" s="1297">
        <f>'Capital base roll forward'!J886</f>
        <v>0</v>
      </c>
      <c r="K124" s="1297">
        <f>'Capital base roll forward'!K886</f>
        <v>0</v>
      </c>
      <c r="L124" s="1297">
        <f>'Capital base roll forward'!L886</f>
        <v>-0.14270379471408717</v>
      </c>
      <c r="M124" s="1297">
        <f>'Capital base roll forward'!M886</f>
        <v>-0.16810598379061883</v>
      </c>
      <c r="N124" s="1297">
        <f>'Capital base roll forward'!N886</f>
        <v>-0.29168243712669711</v>
      </c>
      <c r="O124" s="1297">
        <f>'Capital base roll forward'!O886</f>
        <v>-0.29168243712669711</v>
      </c>
      <c r="P124" s="1297">
        <f>'Capital base roll forward'!P886</f>
        <v>-0.29168243712669711</v>
      </c>
      <c r="Q124" s="1297">
        <f>'Capital base roll forward'!Q886</f>
        <v>-9.6769647029377612E-2</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-2.4950739313270325</v>
      </c>
      <c r="H125" s="1297">
        <f>'Capital base roll forward'!H887</f>
        <v>-2.252909972937879</v>
      </c>
      <c r="I125" s="1297">
        <f>'Capital base roll forward'!I887</f>
        <v>-2.3329860281058803</v>
      </c>
      <c r="J125" s="1297">
        <f>'Capital base roll forward'!J887</f>
        <v>-2.4577252739952744</v>
      </c>
      <c r="K125" s="1297">
        <f>'Capital base roll forward'!K887</f>
        <v>-2.588104606143776</v>
      </c>
      <c r="L125" s="1297">
        <f>'Capital base roll forward'!L887</f>
        <v>1.086464276252112E-3</v>
      </c>
      <c r="M125" s="1297">
        <f>'Capital base roll forward'!M887</f>
        <v>1.8025430037819186E-3</v>
      </c>
      <c r="N125" s="1297">
        <f>'Capital base roll forward'!N887</f>
        <v>0</v>
      </c>
      <c r="O125" s="1297">
        <f>'Capital base roll forward'!O887</f>
        <v>0</v>
      </c>
      <c r="P125" s="1297">
        <f>'Capital base roll forward'!P887</f>
        <v>0</v>
      </c>
      <c r="Q125" s="1297">
        <f>'Capital base roll forward'!Q887</f>
        <v>0</v>
      </c>
      <c r="R125" s="1269"/>
      <c r="S125" s="75"/>
      <c r="T125" s="75"/>
      <c r="U125" s="75"/>
      <c r="V125" s="75"/>
      <c r="W125" s="75"/>
      <c r="X125" s="75"/>
      <c r="Y125" s="75"/>
      <c r="Z125" s="75"/>
      <c r="AA125" s="172"/>
    </row>
    <row r="126" spans="1:27" hidden="1" outlineLevel="1">
      <c r="A126" s="3"/>
      <c r="B126" s="3"/>
      <c r="C126" s="29"/>
      <c r="D126" s="153">
        <f>Asset15</f>
        <v>0</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0</v>
      </c>
      <c r="P126" s="1297">
        <f>'Capital base roll forward'!P888</f>
        <v>0</v>
      </c>
      <c r="Q126" s="1297">
        <f>'Capital base roll forward'!Q888</f>
        <v>0</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f>Asset15</f>
        <v>0</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f>Asset15</f>
        <v>0</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f>Asset15</f>
        <v>0</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317.93338228609718</v>
      </c>
      <c r="H321" s="81">
        <f t="shared" ref="H321:N321" si="8">SUM(H322:H371)</f>
        <v>315.28597857627835</v>
      </c>
      <c r="I321" s="81">
        <f t="shared" si="8"/>
        <v>313.28202847942038</v>
      </c>
      <c r="J321" s="81">
        <f t="shared" si="8"/>
        <v>310.45164460201283</v>
      </c>
      <c r="K321" s="81">
        <f t="shared" si="8"/>
        <v>303.42945151658427</v>
      </c>
      <c r="L321" s="81">
        <f t="shared" si="8"/>
        <v>309.06945790417899</v>
      </c>
      <c r="M321" s="81">
        <f t="shared" si="8"/>
        <v>323.32460716569256</v>
      </c>
      <c r="N321" s="81">
        <f t="shared" si="8"/>
        <v>313.8531535020046</v>
      </c>
      <c r="O321" s="81">
        <f>SUM(O322:O371)</f>
        <v>304.7568845405911</v>
      </c>
      <c r="P321" s="81">
        <f>SUM(P322:P371)</f>
        <v>296.02111919918843</v>
      </c>
      <c r="Q321" s="81">
        <f>SUM(Q322:Q371)</f>
        <v>287.9494721418788</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238.35232489350605</v>
      </c>
      <c r="H322" s="361">
        <f t="shared" ref="H322:I331" si="10">H8+H60+H112</f>
        <v>239.09124323499697</v>
      </c>
      <c r="I322" s="361">
        <f t="shared" si="10"/>
        <v>240.11387118356811</v>
      </c>
      <c r="J322" s="1329">
        <f>IF(COUNT($H322:I322)&gt;='RFM input'!$AA$7,0, J8+J60+J112)</f>
        <v>239.92922416605845</v>
      </c>
      <c r="K322" s="361">
        <f>IF(COUNT($H322:J322)&gt;='RFM input'!$AA$7,0, K8+K60+K112)</f>
        <v>236.34280502728978</v>
      </c>
      <c r="L322" s="361">
        <f>IF(COUNT($H322:K322)&gt;='RFM input'!$AA$7,0, L8+L60+L112)</f>
        <v>241.97342675790549</v>
      </c>
      <c r="M322" s="361">
        <f>IF(COUNT($H322:L322)&gt;='RFM input'!$AA$7,0, M8+M60+M112)</f>
        <v>252.58276281175188</v>
      </c>
      <c r="N322" s="361">
        <f>IF(COUNT($H322:M322)&gt;='RFM input'!$AA$7,0, N8+N60+N112)</f>
        <v>248.06163046568182</v>
      </c>
      <c r="O322" s="361">
        <f>IF(COUNT($H322:N322)&gt;='RFM input'!$AA$7,0, O8+O60+O112)</f>
        <v>243.54049811961175</v>
      </c>
      <c r="P322" s="361">
        <f>IF(COUNT($H322:O322)&gt;='RFM input'!$AA$7,0, P8+P60+P112)</f>
        <v>239.01936577354169</v>
      </c>
      <c r="Q322" s="361">
        <f>IF(COUNT($H322:P322)&gt;='RFM input'!$AA$7,0, Q8+Q60+Q112)</f>
        <v>234.49823342747163</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43.128644987341033</v>
      </c>
      <c r="H323" s="361">
        <f t="shared" si="10"/>
        <v>42.929875834125703</v>
      </c>
      <c r="I323" s="361">
        <f t="shared" si="10"/>
        <v>42.149539559766431</v>
      </c>
      <c r="J323" s="1329">
        <f>IF(COUNT($H323:I323)&gt;='RFM input'!$AA$7,0, J9+J61+J113)</f>
        <v>41.40829031110664</v>
      </c>
      <c r="K323" s="361">
        <f>IF(COUNT($H323:J323)&gt;='RFM input'!$AA$7,0, K9+K61+K113)</f>
        <v>39.725355300630874</v>
      </c>
      <c r="L323" s="361">
        <f>IF(COUNT($H323:K323)&gt;='RFM input'!$AA$7,0, L9+L61+L113)</f>
        <v>40.123270124608815</v>
      </c>
      <c r="M323" s="361">
        <f>IF(COUNT($H323:L323)&gt;='RFM input'!$AA$7,0, M9+M61+M113)</f>
        <v>40.751027908714221</v>
      </c>
      <c r="N323" s="361">
        <f>IF(COUNT($H323:M323)&gt;='RFM input'!$AA$7,0, N9+N61+N113)</f>
        <v>38.800374108746674</v>
      </c>
      <c r="O323" s="361">
        <f>IF(COUNT($H323:N323)&gt;='RFM input'!$AA$7,0, O9+O61+O113)</f>
        <v>36.849720308779126</v>
      </c>
      <c r="P323" s="361">
        <f>IF(COUNT($H323:O323)&gt;='RFM input'!$AA$7,0, P9+P61+P113)</f>
        <v>34.899066508811579</v>
      </c>
      <c r="Q323" s="361">
        <f>IF(COUNT($H323:P323)&gt;='RFM input'!$AA$7,0, Q9+Q61+Q113)</f>
        <v>32.948412708844032</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0.11871236856194015</v>
      </c>
      <c r="H324" s="361">
        <f t="shared" si="10"/>
        <v>0.11826738355421404</v>
      </c>
      <c r="I324" s="361">
        <f t="shared" si="10"/>
        <v>0.11793108844965508</v>
      </c>
      <c r="J324" s="1329">
        <f>IF(COUNT($H324:I324)&gt;='RFM input'!$AA$7,0, J10+J62+J114)</f>
        <v>0.11695807442954378</v>
      </c>
      <c r="K324" s="361">
        <f>IF(COUNT($H324:J324)&gt;='RFM input'!$AA$7,0, K10+K62+K114)</f>
        <v>0.11365356955795748</v>
      </c>
      <c r="L324" s="361">
        <f>IF(COUNT($H324:K324)&gt;='RFM input'!$AA$7,0, L10+L62+L114)</f>
        <v>0.11513796927226805</v>
      </c>
      <c r="M324" s="361">
        <f>IF(COUNT($H324:L324)&gt;='RFM input'!$AA$7,0, M10+M62+M114)</f>
        <v>0.11921501979057827</v>
      </c>
      <c r="N324" s="361">
        <f>IF(COUNT($H324:M324)&gt;='RFM input'!$AA$7,0, N10+N62+N114)</f>
        <v>0.11603287810892154</v>
      </c>
      <c r="O324" s="361">
        <f>IF(COUNT($H324:N324)&gt;='RFM input'!$AA$7,0, O10+O62+O114)</f>
        <v>0.11285073642726481</v>
      </c>
      <c r="P324" s="361">
        <f>IF(COUNT($H324:O324)&gt;='RFM input'!$AA$7,0, P10+P62+P114)</f>
        <v>0.10966859474560808</v>
      </c>
      <c r="Q324" s="361">
        <f>IF(COUNT($H324:P324)&gt;='RFM input'!$AA$7,0, Q10+Q62+Q114)</f>
        <v>0.10648645306395135</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7.9377255785502125</v>
      </c>
      <c r="H325" s="361">
        <f t="shared" si="10"/>
        <v>7.8650727172916781</v>
      </c>
      <c r="I325" s="361">
        <f t="shared" si="10"/>
        <v>7.7979665876311053</v>
      </c>
      <c r="J325" s="1329">
        <f>IF(COUNT($H325:I325)&gt;='RFM input'!$AA$7,0, J11+J63+J115)</f>
        <v>7.6868747881573922</v>
      </c>
      <c r="K325" s="361">
        <f>IF(COUNT($H325:J325)&gt;='RFM input'!$AA$7,0, K11+K63+K115)</f>
        <v>7.421035799638771</v>
      </c>
      <c r="L325" s="361">
        <f>IF(COUNT($H325:K325)&gt;='RFM input'!$AA$7,0, L11+L63+L115)</f>
        <v>7.4682377466277705</v>
      </c>
      <c r="M325" s="361">
        <f>IF(COUNT($H325:L325)&gt;='RFM input'!$AA$7,0, M11+M63+M115)</f>
        <v>8.1120166069317321</v>
      </c>
      <c r="N325" s="361">
        <f>IF(COUNT($H325:M325)&gt;='RFM input'!$AA$7,0, N11+N63+N115)</f>
        <v>7.8402540716712048</v>
      </c>
      <c r="O325" s="361">
        <f>IF(COUNT($H325:N325)&gt;='RFM input'!$AA$7,0, O11+O63+O115)</f>
        <v>7.5684915364106775</v>
      </c>
      <c r="P325" s="361">
        <f>IF(COUNT($H325:O325)&gt;='RFM input'!$AA$7,0, P11+P63+P115)</f>
        <v>7.2967290011501502</v>
      </c>
      <c r="Q325" s="361">
        <f>IF(COUNT($H325:P325)&gt;='RFM input'!$AA$7,0, Q11+Q63+Q115)</f>
        <v>7.0249664658896229</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0.1049274748379232</v>
      </c>
      <c r="H326" s="361">
        <f t="shared" si="10"/>
        <v>0.10559747003844691</v>
      </c>
      <c r="I326" s="361">
        <f t="shared" si="10"/>
        <v>0.10640618749945682</v>
      </c>
      <c r="J326" s="1329">
        <f>IF(COUNT($H326:I326)&gt;='RFM input'!$AA$7,0, J12+J64+J116)</f>
        <v>0.10668710386583365</v>
      </c>
      <c r="K326" s="361">
        <f>IF(COUNT($H326:J326)&gt;='RFM input'!$AA$7,0, K12+K64+K116)</f>
        <v>0.10487879766287667</v>
      </c>
      <c r="L326" s="361">
        <f>IF(COUNT($H326:K326)&gt;='RFM input'!$AA$7,0, L12+L64+L116)</f>
        <v>0.10748102892403578</v>
      </c>
      <c r="M326" s="361">
        <f>IF(COUNT($H326:L326)&gt;='RFM input'!$AA$7,0, M12+M64+M116)</f>
        <v>0.11259887394197321</v>
      </c>
      <c r="N326" s="361">
        <f>IF(COUNT($H326:M326)&gt;='RFM input'!$AA$7,0, N12+N64+N116)</f>
        <v>0.11102089486301529</v>
      </c>
      <c r="O326" s="361">
        <f>IF(COUNT($H326:N326)&gt;='RFM input'!$AA$7,0, O12+O64+O116)</f>
        <v>0.10944291578405738</v>
      </c>
      <c r="P326" s="361">
        <f>IF(COUNT($H326:O326)&gt;='RFM input'!$AA$7,0, P12+P64+P116)</f>
        <v>0.10786493670509946</v>
      </c>
      <c r="Q326" s="361">
        <f>IF(COUNT($H326:P326)&gt;='RFM input'!$AA$7,0, Q12+Q64+Q116)</f>
        <v>0.10628695762614154</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1.8625275471170539</v>
      </c>
      <c r="H327" s="361">
        <f t="shared" si="10"/>
        <v>1.7644379290462022</v>
      </c>
      <c r="I327" s="361">
        <f t="shared" si="10"/>
        <v>1.7419832557380865</v>
      </c>
      <c r="J327" s="1329">
        <f>IF(COUNT($H327:I327)&gt;='RFM input'!$AA$7,0, J13+J65+J117)</f>
        <v>1.9791384339254914</v>
      </c>
      <c r="K327" s="361">
        <f>IF(COUNT($H327:J327)&gt;='RFM input'!$AA$7,0, K13+K65+K117)</f>
        <v>2.0322983034726998</v>
      </c>
      <c r="L327" s="361">
        <f>IF(COUNT($H327:K327)&gt;='RFM input'!$AA$7,0, L13+L65+L117)</f>
        <v>1.9190499303583297</v>
      </c>
      <c r="M327" s="361">
        <f>IF(COUNT($H327:L327)&gt;='RFM input'!$AA$7,0, M13+M65+M117)</f>
        <v>1.8381955910638847</v>
      </c>
      <c r="N327" s="361">
        <f>IF(COUNT($H327:M327)&gt;='RFM input'!$AA$7,0, N13+N65+N117)</f>
        <v>1.6272054982180402</v>
      </c>
      <c r="O327" s="361">
        <f>IF(COUNT($H327:N327)&gt;='RFM input'!$AA$7,0, O13+O65+O117)</f>
        <v>1.4162154053721956</v>
      </c>
      <c r="P327" s="361">
        <f>IF(COUNT($H327:O327)&gt;='RFM input'!$AA$7,0, P13+P65+P117)</f>
        <v>1.205225312526351</v>
      </c>
      <c r="Q327" s="361">
        <f>IF(COUNT($H327:P327)&gt;='RFM input'!$AA$7,0, Q13+Q65+Q117)</f>
        <v>0.99423521968050643</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4.2455440809339686</v>
      </c>
      <c r="H328" s="361">
        <f t="shared" si="10"/>
        <v>4.2595179959000582</v>
      </c>
      <c r="I328" s="361">
        <f t="shared" si="10"/>
        <v>4.2785779442521621</v>
      </c>
      <c r="J328" s="1329">
        <f>IF(COUNT($H328:I328)&gt;='RFM input'!$AA$7,0, J14+J66+J118)</f>
        <v>4.2758500247493778</v>
      </c>
      <c r="K328" s="361">
        <f>IF(COUNT($H328:J328)&gt;='RFM input'!$AA$7,0, K14+K66+K118)</f>
        <v>4.1889402362476016</v>
      </c>
      <c r="L328" s="361">
        <f>IF(COUNT($H328:K328)&gt;='RFM input'!$AA$7,0, L14+L66+L118)</f>
        <v>4.2782928765466695</v>
      </c>
      <c r="M328" s="361">
        <f>IF(COUNT($H328:L328)&gt;='RFM input'!$AA$7,0, M14+M66+M118)</f>
        <v>4.466664147690059</v>
      </c>
      <c r="N328" s="361">
        <f>IF(COUNT($H328:M328)&gt;='RFM input'!$AA$7,0, N14+N66+N118)</f>
        <v>4.387564565486489</v>
      </c>
      <c r="O328" s="361">
        <f>IF(COUNT($H328:N328)&gt;='RFM input'!$AA$7,0, O14+O66+O118)</f>
        <v>4.3084649832829189</v>
      </c>
      <c r="P328" s="361">
        <f>IF(COUNT($H328:O328)&gt;='RFM input'!$AA$7,0, P14+P66+P118)</f>
        <v>4.2293654010793489</v>
      </c>
      <c r="Q328" s="361">
        <f>IF(COUNT($H328:P328)&gt;='RFM input'!$AA$7,0, Q14+Q66+Q118)</f>
        <v>4.1502658188757788</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1.3471273640548568E-2</v>
      </c>
      <c r="H329" s="361">
        <f t="shared" si="10"/>
        <v>1.3731767882216634E-2</v>
      </c>
      <c r="I329" s="361">
        <f t="shared" si="10"/>
        <v>1.401707109928166E-2</v>
      </c>
      <c r="J329" s="1329">
        <f>IF(COUNT($H329:I329)&gt;='RFM input'!$AA$7,0, J15+J67+J119)</f>
        <v>1.4240351877854289E-2</v>
      </c>
      <c r="K329" s="361">
        <f>IF(COUNT($H329:J329)&gt;='RFM input'!$AA$7,0, K15+K67+K119)</f>
        <v>1.4190733927060372E-2</v>
      </c>
      <c r="L329" s="361">
        <f>IF(COUNT($H329:K329)&gt;='RFM input'!$AA$7,0, L15+L67+L119)</f>
        <v>1.473653138579346E-2</v>
      </c>
      <c r="M329" s="361">
        <f>IF(COUNT($H329:L329)&gt;='RFM input'!$AA$7,0, M15+M67+M119)</f>
        <v>1.5642058987782453E-2</v>
      </c>
      <c r="N329" s="361">
        <f>IF(COUNT($H329:M329)&gt;='RFM input'!$AA$7,0, N15+N67+N119)</f>
        <v>1.5642058987782453E-2</v>
      </c>
      <c r="O329" s="361">
        <f>IF(COUNT($H329:N329)&gt;='RFM input'!$AA$7,0, O15+O67+O119)</f>
        <v>1.5642058987782453E-2</v>
      </c>
      <c r="P329" s="361">
        <f>IF(COUNT($H329:O329)&gt;='RFM input'!$AA$7,0, P15+P67+P119)</f>
        <v>1.5642058987782453E-2</v>
      </c>
      <c r="Q329" s="361">
        <f>IF(COUNT($H329:P329)&gt;='RFM input'!$AA$7,0, Q15+Q67+Q119)</f>
        <v>1.5642058987782453E-2</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6.7790268728406859</v>
      </c>
      <c r="H330" s="361">
        <f t="shared" si="10"/>
        <v>6.8300150296711521</v>
      </c>
      <c r="I330" s="361">
        <f t="shared" si="10"/>
        <v>7.2319741683185343</v>
      </c>
      <c r="J330" s="1329">
        <f>IF(COUNT($H330:I330)&gt;='RFM input'!$AA$7,0, J16+J68+J120)</f>
        <v>7.4514736252754599</v>
      </c>
      <c r="K330" s="361">
        <f>IF(COUNT($H330:J330)&gt;='RFM input'!$AA$7,0, K16+K68+K120)</f>
        <v>7.4157211143520954</v>
      </c>
      <c r="L330" s="361">
        <f>IF(COUNT($H330:K330)&gt;='RFM input'!$AA$7,0, L16+L68+L120)</f>
        <v>7.6775560607276239</v>
      </c>
      <c r="M330" s="361">
        <f>IF(COUNT($H330:L330)&gt;='RFM input'!$AA$7,0, M16+M68+M120)</f>
        <v>7.9207733653341315</v>
      </c>
      <c r="N330" s="361">
        <f>IF(COUNT($H330:M330)&gt;='RFM input'!$AA$7,0, N16+N68+N120)</f>
        <v>7.8027931087750062</v>
      </c>
      <c r="O330" s="361">
        <f>IF(COUNT($H330:N330)&gt;='RFM input'!$AA$7,0, O16+O68+O120)</f>
        <v>7.684812852215881</v>
      </c>
      <c r="P330" s="361">
        <f>IF(COUNT($H330:O330)&gt;='RFM input'!$AA$7,0, P16+P68+P120)</f>
        <v>7.5668325956567557</v>
      </c>
      <c r="Q330" s="361">
        <f>IF(COUNT($H330:P330)&gt;='RFM input'!$AA$7,0, Q16+Q68+Q120)</f>
        <v>7.4488523390976304</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0.57276504242855342</v>
      </c>
      <c r="H331" s="361">
        <f t="shared" si="10"/>
        <v>0.1300169418297068</v>
      </c>
      <c r="I331" s="361">
        <f t="shared" si="10"/>
        <v>7.2822686491266636E-3</v>
      </c>
      <c r="J331" s="1329">
        <f>IF(COUNT($H331:I331)&gt;='RFM input'!$AA$7,0, J17+J69+J121)</f>
        <v>7.0349728225792474E-3</v>
      </c>
      <c r="K331" s="361">
        <f>IF(COUNT($H331:J331)&gt;='RFM input'!$AA$7,0, K17+K69+K121)</f>
        <v>1.0541200945665214</v>
      </c>
      <c r="L331" s="361">
        <f>IF(COUNT($H331:K331)&gt;='RFM input'!$AA$7,0, L17+L69+L121)</f>
        <v>0.88552959067595327</v>
      </c>
      <c r="M331" s="361">
        <f>IF(COUNT($H331:L331)&gt;='RFM input'!$AA$7,0, M17+M69+M121)</f>
        <v>0.72276625429668706</v>
      </c>
      <c r="N331" s="361">
        <f>IF(COUNT($H331:M331)&gt;='RFM input'!$AA$7,0, N17+N69+N121)</f>
        <v>0.49224399947184772</v>
      </c>
      <c r="O331" s="361">
        <f>IF(COUNT($H331:N331)&gt;='RFM input'!$AA$7,0, O17+O69+O121)</f>
        <v>0.26212715789465513</v>
      </c>
      <c r="P331" s="361">
        <f>IF(COUNT($H331:O331)&gt;='RFM input'!$AA$7,0, P17+P69+P121)</f>
        <v>3.2010316317462512E-2</v>
      </c>
      <c r="Q331" s="361">
        <f>IF(COUNT($H331:P331)&gt;='RFM input'!$AA$7,0, Q17+Q69+Q121)</f>
        <v>3.2010314929476862E-2</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1.4959406270712703</v>
      </c>
      <c r="H332" s="361">
        <f t="shared" ref="H332:I341" si="11">H18+H70+H122</f>
        <v>1.2933717281036052</v>
      </c>
      <c r="I332" s="361">
        <f t="shared" si="11"/>
        <v>1.0842715818385222</v>
      </c>
      <c r="J332" s="1329">
        <f>IF(COUNT($H332:I332)&gt;='RFM input'!$AA$7,0, J18+J70+J122)</f>
        <v>0.8606680280343445</v>
      </c>
      <c r="K332" s="361">
        <f>IF(COUNT($H332:J332)&gt;='RFM input'!$AA$7,0, K18+K70+K122)</f>
        <v>0.6129570991299903</v>
      </c>
      <c r="L332" s="361">
        <f>IF(COUNT($H332:K332)&gt;='RFM input'!$AA$7,0, L18+L70+L122)</f>
        <v>0.39267294192287916</v>
      </c>
      <c r="M332" s="361">
        <f>IF(COUNT($H332:L332)&gt;='RFM input'!$AA$7,0, M18+M70+M122)</f>
        <v>0.16356319571245023</v>
      </c>
      <c r="N332" s="361">
        <f>IF(COUNT($H332:M332)&gt;='RFM input'!$AA$7,0, N18+N70+N122)</f>
        <v>2.1587646361771351E-2</v>
      </c>
      <c r="O332" s="361">
        <f>IF(COUNT($H332:N332)&gt;='RFM input'!$AA$7,0, O18+O70+O122)</f>
        <v>2.1587646361771351E-2</v>
      </c>
      <c r="P332" s="361">
        <f>IF(COUNT($H332:O332)&gt;='RFM input'!$AA$7,0, P18+P70+P122)</f>
        <v>2.1587646361771351E-2</v>
      </c>
      <c r="Q332" s="361">
        <f>IF(COUNT($H332:P332)&gt;='RFM input'!$AA$7,0, Q18+Q70+Q122)</f>
        <v>2.1587646361771351E-2</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3.6617975869025572</v>
      </c>
      <c r="H333" s="361">
        <f t="shared" si="11"/>
        <v>3.4777665644108753</v>
      </c>
      <c r="I333" s="361">
        <f t="shared" si="11"/>
        <v>3.5641296312883304</v>
      </c>
      <c r="J333" s="1329">
        <f>IF(COUNT($H333:I333)&gt;='RFM input'!$AA$7,0, J19+J71+J123)</f>
        <v>3.9988520443834918</v>
      </c>
      <c r="K333" s="361">
        <f>IF(COUNT($H333:J333)&gt;='RFM input'!$AA$7,0, K19+K71+K123)</f>
        <v>3.4880154774435397</v>
      </c>
      <c r="L333" s="361">
        <f>IF(COUNT($H333:K333)&gt;='RFM input'!$AA$7,0, L19+L71+L123)</f>
        <v>3.1335195112611229</v>
      </c>
      <c r="M333" s="361">
        <f>IF(COUNT($H333:L333)&gt;='RFM input'!$AA$7,0, M19+M71+M123)</f>
        <v>5.4639335440261352</v>
      </c>
      <c r="N333" s="361">
        <f>IF(COUNT($H333:M333)&gt;='RFM input'!$AA$7,0, N19+N71+N123)</f>
        <v>3.8130388553076191</v>
      </c>
      <c r="O333" s="361">
        <f>IF(COUNT($H333:N333)&gt;='RFM input'!$AA$7,0, O19+O71+O123)</f>
        <v>2.3949479062652923</v>
      </c>
      <c r="P333" s="361">
        <f>IF(COUNT($H333:O333)&gt;='RFM input'!$AA$7,0, P19+P71+P123)</f>
        <v>1.3373605772339348</v>
      </c>
      <c r="Q333" s="361">
        <f>IF(COUNT($H333:P333)&gt;='RFM input'!$AA$7,0, Q19+Q71+Q123)</f>
        <v>0.51886190200881255</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0</v>
      </c>
      <c r="H334" s="361">
        <f t="shared" si="11"/>
        <v>0</v>
      </c>
      <c r="I334" s="361">
        <f t="shared" si="11"/>
        <v>0</v>
      </c>
      <c r="J334" s="1329">
        <f>IF(COUNT($H334:I334)&gt;='RFM input'!$AA$7,0, J20+J72+J124)</f>
        <v>0</v>
      </c>
      <c r="K334" s="361">
        <f>IF(COUNT($H334:J334)&gt;='RFM input'!$AA$7,0, K20+K72+K124)</f>
        <v>0.887231891481851</v>
      </c>
      <c r="L334" s="361">
        <f>IF(COUNT($H334:K334)&gt;='RFM input'!$AA$7,0, L20+L72+L124)</f>
        <v>0.95121229850342703</v>
      </c>
      <c r="M334" s="361">
        <f>IF(COUNT($H334:L334)&gt;='RFM input'!$AA$7,0, M20+M72+M124)</f>
        <v>1.0243107089885035</v>
      </c>
      <c r="N334" s="361">
        <f>IF(COUNT($H334:M334)&gt;='RFM input'!$AA$7,0, N20+N72+N124)</f>
        <v>0.73262827186180646</v>
      </c>
      <c r="O334" s="361">
        <f>IF(COUNT($H334:N334)&gt;='RFM input'!$AA$7,0, O20+O72+O124)</f>
        <v>0.44094583473510934</v>
      </c>
      <c r="P334" s="361">
        <f>IF(COUNT($H334:O334)&gt;='RFM input'!$AA$7,0, P20+P72+P124)</f>
        <v>0.14926339760841223</v>
      </c>
      <c r="Q334" s="361">
        <f>IF(COUNT($H334:P334)&gt;='RFM input'!$AA$7,0, Q20+Q72+Q124)</f>
        <v>5.2493750579034618E-2</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9.6599739523653643</v>
      </c>
      <c r="H335" s="361">
        <f t="shared" si="11"/>
        <v>7.4070639794274857</v>
      </c>
      <c r="I335" s="361">
        <f t="shared" si="11"/>
        <v>5.0740779513216054</v>
      </c>
      <c r="J335" s="1329">
        <f>IF(COUNT($H335:I335)&gt;='RFM input'!$AA$7,0, J21+J73+J125)</f>
        <v>2.616352677326331</v>
      </c>
      <c r="K335" s="361">
        <f>IF(COUNT($H335:J335)&gt;='RFM input'!$AA$7,0, K21+K73+K125)</f>
        <v>2.8248071182555012E-2</v>
      </c>
      <c r="L335" s="361">
        <f>IF(COUNT($H335:K335)&gt;='RFM input'!$AA$7,0, L21+L73+L125)</f>
        <v>2.9334535458807126E-2</v>
      </c>
      <c r="M335" s="361">
        <f>IF(COUNT($H335:L335)&gt;='RFM input'!$AA$7,0, M21+M73+M125)</f>
        <v>3.1137078462589046E-2</v>
      </c>
      <c r="N335" s="361">
        <f>IF(COUNT($H335:M335)&gt;='RFM input'!$AA$7,0, N21+N73+N125)</f>
        <v>3.1137078462589046E-2</v>
      </c>
      <c r="O335" s="361">
        <f>IF(COUNT($H335:N335)&gt;='RFM input'!$AA$7,0, O21+O73+O125)</f>
        <v>3.1137078462589046E-2</v>
      </c>
      <c r="P335" s="361">
        <f>IF(COUNT($H335:O335)&gt;='RFM input'!$AA$7,0, P21+P73+P125)</f>
        <v>3.1137078462589046E-2</v>
      </c>
      <c r="Q335" s="361">
        <f>IF(COUNT($H335:P335)&gt;='RFM input'!$AA$7,0, Q21+Q73+Q125)</f>
        <v>3.1137078462589046E-2</v>
      </c>
      <c r="R335" s="1322"/>
      <c r="S335" s="75"/>
      <c r="T335" s="75"/>
      <c r="U335" s="75"/>
      <c r="V335" s="75"/>
      <c r="W335" s="75"/>
      <c r="X335" s="75"/>
      <c r="Y335" s="75"/>
      <c r="Z335" s="75"/>
      <c r="AA335" s="172"/>
    </row>
    <row r="336" spans="1:27" hidden="1" outlineLevel="1">
      <c r="A336" s="3"/>
      <c r="B336" s="4"/>
      <c r="C336" s="29"/>
      <c r="D336" s="153">
        <f>Asset15</f>
        <v>0</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v>
      </c>
      <c r="O336" s="361">
        <f>IF(COUNT($H336:N336)&gt;='RFM input'!$AA$7,0, O22+O74+O126)</f>
        <v>0</v>
      </c>
      <c r="P336" s="361">
        <f>IF(COUNT($H336:O336)&gt;='RFM input'!$AA$7,0, P22+P74+P126)</f>
        <v>0</v>
      </c>
      <c r="Q336" s="361">
        <f>IF(COUNT($H336:P336)&gt;='RFM input'!$AA$7,0, Q22+Q74+Q126)</f>
        <v>0</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0</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0</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f>Asset15</f>
        <v>0</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0</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0</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f>Asset15</f>
        <v>0</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f>Asset15</f>
        <v>0</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287.9494721418788</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234.49823342747163</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32.948412708844032</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0.10648645306395135</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7.0249664658896229</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0.10628695762614154</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0.99423521968050643</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4.1502658188757788</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1.5642058987782453E-2</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7.4488523390976304</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3.2010314929476862E-2</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2.1587646361771351E-2</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0.51886190200881255</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5.2493750579034618E-2</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3.1137078462589046E-2</v>
      </c>
      <c r="R543" s="1269"/>
      <c r="S543" s="3"/>
      <c r="T543" s="3"/>
      <c r="U543" s="3"/>
      <c r="V543" s="3"/>
      <c r="W543" s="3"/>
      <c r="X543" s="3"/>
      <c r="Y543" s="3"/>
      <c r="Z543" s="3"/>
      <c r="AA543" s="172"/>
    </row>
    <row r="544" spans="1:27" hidden="1" outlineLevel="1">
      <c r="A544" s="3"/>
      <c r="B544" s="3"/>
      <c r="C544" s="3"/>
      <c r="D544" s="153">
        <f>Asset15</f>
        <v>0</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321.6276646888191</v>
      </c>
      <c r="H583" s="1327">
        <f t="shared" ref="H583:Q583" si="70">SUM(H584:H633)</f>
        <v>317.93338228609718</v>
      </c>
      <c r="I583" s="1327">
        <f t="shared" si="70"/>
        <v>315.28597857627835</v>
      </c>
      <c r="J583" s="1327">
        <f t="shared" si="70"/>
        <v>313.28202847942038</v>
      </c>
      <c r="K583" s="1327">
        <f t="shared" si="70"/>
        <v>310.45164460201283</v>
      </c>
      <c r="L583" s="1327">
        <f t="shared" si="70"/>
        <v>303.42945151658427</v>
      </c>
      <c r="M583" s="1327">
        <f t="shared" si="70"/>
        <v>309.06945790417899</v>
      </c>
      <c r="N583" s="1327">
        <f t="shared" si="70"/>
        <v>323.32460716569256</v>
      </c>
      <c r="O583" s="1327">
        <f t="shared" si="70"/>
        <v>313.8531535020046</v>
      </c>
      <c r="P583" s="1327">
        <f t="shared" si="70"/>
        <v>304.7568845405911</v>
      </c>
      <c r="Q583" s="1327">
        <f t="shared" si="70"/>
        <v>296.02111919918843</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239.56529446685127</v>
      </c>
      <c r="H584" s="1272">
        <f t="shared" ref="H584:H613" si="71">G584+G636+G688+G740+G792+G844</f>
        <v>238.35232489350605</v>
      </c>
      <c r="I584" s="1272">
        <f t="shared" ref="I584:I613" si="72">H584+H636+H688</f>
        <v>239.09124323499697</v>
      </c>
      <c r="J584" s="1272">
        <f>IF(COUNT($H584:I584)&gt;='RFM input'!$AA$7,0, I584+I636+I688)</f>
        <v>240.11387118356811</v>
      </c>
      <c r="K584" s="1297">
        <f>IF(COUNT($H584:J584)&gt;='RFM input'!$AA$7,0, J584+J636+J688)</f>
        <v>239.92922416605845</v>
      </c>
      <c r="L584" s="1297">
        <f>IF(COUNT($H584:K584)&gt;='RFM input'!$AA$7,0, K584+K636+K688)</f>
        <v>236.34280502728978</v>
      </c>
      <c r="M584" s="1297">
        <f>IF(COUNT($H584:L584)&gt;='RFM input'!$AA$7,0, L584+L636+L688)</f>
        <v>241.97342675790549</v>
      </c>
      <c r="N584" s="1297">
        <f>IF(COUNT($H584:M584)&gt;='RFM input'!$AA$7,0, M584+M636+M688)</f>
        <v>252.58276281175188</v>
      </c>
      <c r="O584" s="1297">
        <f>IF(COUNT($H584:N584)&gt;='RFM input'!$AA$7,0, N584+N636+N688)</f>
        <v>248.06163046568182</v>
      </c>
      <c r="P584" s="1297">
        <f>IF(COUNT($H584:O584)&gt;='RFM input'!$AA$7,0, O584+O636+O688)</f>
        <v>243.54049811961175</v>
      </c>
      <c r="Q584" s="1297">
        <f>IF(COUNT($H584:P584)&gt;='RFM input'!$AA$7,0, P584+P636+P688)</f>
        <v>239.01936577354169</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44.311963353037747</v>
      </c>
      <c r="H585" s="1272">
        <f t="shared" si="71"/>
        <v>43.128644987341033</v>
      </c>
      <c r="I585" s="1272">
        <f t="shared" si="72"/>
        <v>42.929875834125703</v>
      </c>
      <c r="J585" s="1272">
        <f>IF(COUNT($H585:I585)&gt;='RFM input'!$AA$7,0, I585+I637+I689)</f>
        <v>42.149539559766431</v>
      </c>
      <c r="K585" s="1297">
        <f>IF(COUNT($H585:J585)&gt;='RFM input'!$AA$7,0, J585+J637+J689)</f>
        <v>41.40829031110664</v>
      </c>
      <c r="L585" s="1297">
        <f>IF(COUNT($H585:K585)&gt;='RFM input'!$AA$7,0, K585+K637+K689)</f>
        <v>39.725355300630874</v>
      </c>
      <c r="M585" s="1297">
        <f>IF(COUNT($H585:L585)&gt;='RFM input'!$AA$7,0, L585+L637+L689)</f>
        <v>40.123270124608815</v>
      </c>
      <c r="N585" s="1297">
        <f>IF(COUNT($H585:M585)&gt;='RFM input'!$AA$7,0, M585+M637+M689)</f>
        <v>40.751027908714221</v>
      </c>
      <c r="O585" s="1297">
        <f>IF(COUNT($H585:N585)&gt;='RFM input'!$AA$7,0, N585+N637+N689)</f>
        <v>38.800374108746674</v>
      </c>
      <c r="P585" s="1297">
        <f>IF(COUNT($H585:O585)&gt;='RFM input'!$AA$7,0, O585+O637+O689)</f>
        <v>36.849720308779126</v>
      </c>
      <c r="Q585" s="1297">
        <f>IF(COUNT($H585:P585)&gt;='RFM input'!$AA$7,0, P585+P637+P689)</f>
        <v>34.899066508811579</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0.11101439770758323</v>
      </c>
      <c r="H586" s="1272">
        <f t="shared" si="71"/>
        <v>0.11871236856194015</v>
      </c>
      <c r="I586" s="1272">
        <f t="shared" si="72"/>
        <v>0.11826738355421404</v>
      </c>
      <c r="J586" s="1272">
        <f>IF(COUNT($H586:I586)&gt;='RFM input'!$AA$7,0, I586+I638+I690)</f>
        <v>0.11793108844965508</v>
      </c>
      <c r="K586" s="1297">
        <f>IF(COUNT($H586:J586)&gt;='RFM input'!$AA$7,0, J586+J638+J690)</f>
        <v>0.11695807442954378</v>
      </c>
      <c r="L586" s="1297">
        <f>IF(COUNT($H586:K586)&gt;='RFM input'!$AA$7,0, K586+K638+K690)</f>
        <v>0.11365356955795748</v>
      </c>
      <c r="M586" s="1297">
        <f>IF(COUNT($H586:L586)&gt;='RFM input'!$AA$7,0, L586+L638+L690)</f>
        <v>0.11513796927226805</v>
      </c>
      <c r="N586" s="1297">
        <f>IF(COUNT($H586:M586)&gt;='RFM input'!$AA$7,0, M586+M638+M690)</f>
        <v>0.11921501979057827</v>
      </c>
      <c r="O586" s="1297">
        <f>IF(COUNT($H586:N586)&gt;='RFM input'!$AA$7,0, N586+N638+N690)</f>
        <v>0.11603287810892154</v>
      </c>
      <c r="P586" s="1297">
        <f>IF(COUNT($H586:O586)&gt;='RFM input'!$AA$7,0, O586+O638+O690)</f>
        <v>0.11285073642726481</v>
      </c>
      <c r="Q586" s="1297">
        <f>IF(COUNT($H586:P586)&gt;='RFM input'!$AA$7,0, P586+P638+P690)</f>
        <v>0.10966859474560808</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8.0913494859486885</v>
      </c>
      <c r="H587" s="1272">
        <f t="shared" si="71"/>
        <v>7.9377255785502125</v>
      </c>
      <c r="I587" s="1272">
        <f t="shared" si="72"/>
        <v>7.8650727172916781</v>
      </c>
      <c r="J587" s="1272">
        <f>IF(COUNT($H587:I587)&gt;='RFM input'!$AA$7,0, I587+I639+I691)</f>
        <v>7.7979665876311053</v>
      </c>
      <c r="K587" s="1297">
        <f>IF(COUNT($H587:J587)&gt;='RFM input'!$AA$7,0, J587+J639+J691)</f>
        <v>7.6868747881573922</v>
      </c>
      <c r="L587" s="1297">
        <f>IF(COUNT($H587:K587)&gt;='RFM input'!$AA$7,0, K587+K639+K691)</f>
        <v>7.421035799638771</v>
      </c>
      <c r="M587" s="1297">
        <f>IF(COUNT($H587:L587)&gt;='RFM input'!$AA$7,0, L587+L639+L691)</f>
        <v>7.4682377466277705</v>
      </c>
      <c r="N587" s="1297">
        <f>IF(COUNT($H587:M587)&gt;='RFM input'!$AA$7,0, M587+M639+M691)</f>
        <v>8.1120166069317321</v>
      </c>
      <c r="O587" s="1297">
        <f>IF(COUNT($H587:N587)&gt;='RFM input'!$AA$7,0, N587+N639+N691)</f>
        <v>7.8402540716712048</v>
      </c>
      <c r="P587" s="1297">
        <f>IF(COUNT($H587:O587)&gt;='RFM input'!$AA$7,0, O587+O639+O691)</f>
        <v>7.5684915364106775</v>
      </c>
      <c r="Q587" s="1297">
        <f>IF(COUNT($H587:P587)&gt;='RFM input'!$AA$7,0, P587+P639+P691)</f>
        <v>7.2967290011501502</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0.10522313436725229</v>
      </c>
      <c r="H588" s="1272">
        <f t="shared" si="71"/>
        <v>0.1049274748379232</v>
      </c>
      <c r="I588" s="1272">
        <f t="shared" si="72"/>
        <v>0.10559747003844691</v>
      </c>
      <c r="J588" s="1272">
        <f>IF(COUNT($H588:I588)&gt;='RFM input'!$AA$7,0, I588+I640+I692)</f>
        <v>0.10640618749945682</v>
      </c>
      <c r="K588" s="1297">
        <f>IF(COUNT($H588:J588)&gt;='RFM input'!$AA$7,0, J588+J640+J692)</f>
        <v>0.10668710386583365</v>
      </c>
      <c r="L588" s="1297">
        <f>IF(COUNT($H588:K588)&gt;='RFM input'!$AA$7,0, K588+K640+K692)</f>
        <v>0.10487879766287667</v>
      </c>
      <c r="M588" s="1297">
        <f>IF(COUNT($H588:L588)&gt;='RFM input'!$AA$7,0, L588+L640+L692)</f>
        <v>0.10748102892403578</v>
      </c>
      <c r="N588" s="1297">
        <f>IF(COUNT($H588:M588)&gt;='RFM input'!$AA$7,0, M588+M640+M692)</f>
        <v>0.11259887394197321</v>
      </c>
      <c r="O588" s="1297">
        <f>IF(COUNT($H588:N588)&gt;='RFM input'!$AA$7,0, N588+N640+N692)</f>
        <v>0.11102089486301529</v>
      </c>
      <c r="P588" s="1297">
        <f>IF(COUNT($H588:O588)&gt;='RFM input'!$AA$7,0, O588+O640+O692)</f>
        <v>0.10944291578405738</v>
      </c>
      <c r="Q588" s="1297">
        <f>IF(COUNT($H588:P588)&gt;='RFM input'!$AA$7,0, P588+P640+P692)</f>
        <v>0.10786493670509946</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0.87117360034144375</v>
      </c>
      <c r="H589" s="1272">
        <f t="shared" si="71"/>
        <v>1.8625275471170539</v>
      </c>
      <c r="I589" s="1272">
        <f t="shared" si="72"/>
        <v>1.7644379290462022</v>
      </c>
      <c r="J589" s="1272">
        <f>IF(COUNT($H589:I589)&gt;='RFM input'!$AA$7,0, I589+I641+I693)</f>
        <v>1.7419832557380865</v>
      </c>
      <c r="K589" s="1297">
        <f>IF(COUNT($H589:J589)&gt;='RFM input'!$AA$7,0, J589+J641+J693)</f>
        <v>1.9791384339254914</v>
      </c>
      <c r="L589" s="1297">
        <f>IF(COUNT($H589:K589)&gt;='RFM input'!$AA$7,0, K589+K641+K693)</f>
        <v>2.0322983034726998</v>
      </c>
      <c r="M589" s="1297">
        <f>IF(COUNT($H589:L589)&gt;='RFM input'!$AA$7,0, L589+L641+L693)</f>
        <v>1.9190499303583297</v>
      </c>
      <c r="N589" s="1297">
        <f>IF(COUNT($H589:M589)&gt;='RFM input'!$AA$7,0, M589+M641+M693)</f>
        <v>1.8381955910638847</v>
      </c>
      <c r="O589" s="1297">
        <f>IF(COUNT($H589:N589)&gt;='RFM input'!$AA$7,0, N589+N641+N693)</f>
        <v>1.6272054982180402</v>
      </c>
      <c r="P589" s="1297">
        <f>IF(COUNT($H589:O589)&gt;='RFM input'!$AA$7,0, O589+O641+O693)</f>
        <v>1.4162154053721956</v>
      </c>
      <c r="Q589" s="1297">
        <f>IF(COUNT($H589:P589)&gt;='RFM input'!$AA$7,0, P589+P641+P693)</f>
        <v>1.205225312526351</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4.2714159907899152</v>
      </c>
      <c r="H590" s="1272">
        <f t="shared" si="71"/>
        <v>4.2455440809339686</v>
      </c>
      <c r="I590" s="1272">
        <f t="shared" si="72"/>
        <v>4.2595179959000582</v>
      </c>
      <c r="J590" s="1272">
        <f>IF(COUNT($H590:I590)&gt;='RFM input'!$AA$7,0, I590+I642+I694)</f>
        <v>4.2785779442521621</v>
      </c>
      <c r="K590" s="1297">
        <f>IF(COUNT($H590:J590)&gt;='RFM input'!$AA$7,0, J590+J642+J694)</f>
        <v>4.2758500247493778</v>
      </c>
      <c r="L590" s="1297">
        <f>IF(COUNT($H590:K590)&gt;='RFM input'!$AA$7,0, K590+K642+K694)</f>
        <v>4.1889402362476016</v>
      </c>
      <c r="M590" s="1297">
        <f>IF(COUNT($H590:L590)&gt;='RFM input'!$AA$7,0, L590+L642+L694)</f>
        <v>4.2782928765466695</v>
      </c>
      <c r="N590" s="1297">
        <f>IF(COUNT($H590:M590)&gt;='RFM input'!$AA$7,0, M590+M642+M694)</f>
        <v>4.466664147690059</v>
      </c>
      <c r="O590" s="1297">
        <f>IF(COUNT($H590:N590)&gt;='RFM input'!$AA$7,0, N590+N642+N694)</f>
        <v>4.387564565486489</v>
      </c>
      <c r="P590" s="1297">
        <f>IF(COUNT($H590:O590)&gt;='RFM input'!$AA$7,0, O590+O642+O694)</f>
        <v>4.3084649832829189</v>
      </c>
      <c r="Q590" s="1297">
        <f>IF(COUNT($H590:P590)&gt;='RFM input'!$AA$7,0, P590+P642+P694)</f>
        <v>4.2293654010793489</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1.3334824275865296E-2</v>
      </c>
      <c r="H591" s="1272">
        <f t="shared" si="71"/>
        <v>1.3471273640548568E-2</v>
      </c>
      <c r="I591" s="1272">
        <f t="shared" si="72"/>
        <v>1.3731767882216634E-2</v>
      </c>
      <c r="J591" s="1272">
        <f>IF(COUNT($H591:I591)&gt;='RFM input'!$AA$7,0, I591+I643+I695)</f>
        <v>1.401707109928166E-2</v>
      </c>
      <c r="K591" s="1297">
        <f>IF(COUNT($H591:J591)&gt;='RFM input'!$AA$7,0, J591+J643+J695)</f>
        <v>1.4240351877854289E-2</v>
      </c>
      <c r="L591" s="1297">
        <f>IF(COUNT($H591:K591)&gt;='RFM input'!$AA$7,0, K591+K643+K695)</f>
        <v>1.4190733927060372E-2</v>
      </c>
      <c r="M591" s="1297">
        <f>IF(COUNT($H591:L591)&gt;='RFM input'!$AA$7,0, L591+L643+L695)</f>
        <v>1.473653138579346E-2</v>
      </c>
      <c r="N591" s="1297">
        <f>IF(COUNT($H591:M591)&gt;='RFM input'!$AA$7,0, M591+M643+M695)</f>
        <v>1.5642058987782453E-2</v>
      </c>
      <c r="O591" s="1297">
        <f>IF(COUNT($H591:N591)&gt;='RFM input'!$AA$7,0, N591+N643+N695)</f>
        <v>1.5642058987782453E-2</v>
      </c>
      <c r="P591" s="1297">
        <f>IF(COUNT($H591:O591)&gt;='RFM input'!$AA$7,0, O591+O643+O695)</f>
        <v>1.5642058987782453E-2</v>
      </c>
      <c r="Q591" s="1297">
        <f>IF(COUNT($H591:P591)&gt;='RFM input'!$AA$7,0, P591+P643+P695)</f>
        <v>1.5642058987782453E-2</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6.6973907050025856</v>
      </c>
      <c r="H592" s="1272">
        <f t="shared" si="71"/>
        <v>6.7790268728406859</v>
      </c>
      <c r="I592" s="1272">
        <f t="shared" si="72"/>
        <v>6.8300150296711521</v>
      </c>
      <c r="J592" s="1272">
        <f>IF(COUNT($H592:I592)&gt;='RFM input'!$AA$7,0, I592+I644+I696)</f>
        <v>7.2319741683185343</v>
      </c>
      <c r="K592" s="1297">
        <f>IF(COUNT($H592:J592)&gt;='RFM input'!$AA$7,0, J592+J644+J696)</f>
        <v>7.4514736252754599</v>
      </c>
      <c r="L592" s="1297">
        <f>IF(COUNT($H592:K592)&gt;='RFM input'!$AA$7,0, K592+K644+K696)</f>
        <v>7.4157211143520954</v>
      </c>
      <c r="M592" s="1297">
        <f>IF(COUNT($H592:L592)&gt;='RFM input'!$AA$7,0, L592+L644+L696)</f>
        <v>7.6775560607276239</v>
      </c>
      <c r="N592" s="1297">
        <f>IF(COUNT($H592:M592)&gt;='RFM input'!$AA$7,0, M592+M644+M696)</f>
        <v>7.9207733653341315</v>
      </c>
      <c r="O592" s="1297">
        <f>IF(COUNT($H592:N592)&gt;='RFM input'!$AA$7,0, N592+N644+N696)</f>
        <v>7.8027931087750062</v>
      </c>
      <c r="P592" s="1297">
        <f>IF(COUNT($H592:O592)&gt;='RFM input'!$AA$7,0, O592+O644+O696)</f>
        <v>7.684812852215881</v>
      </c>
      <c r="Q592" s="1297">
        <f>IF(COUNT($H592:P592)&gt;='RFM input'!$AA$7,0, P592+P644+P696)</f>
        <v>7.5668325956567557</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1.0586431896429707</v>
      </c>
      <c r="H593" s="1272">
        <f t="shared" si="71"/>
        <v>0.57276504242855342</v>
      </c>
      <c r="I593" s="1272">
        <f t="shared" si="72"/>
        <v>0.1300169418297068</v>
      </c>
      <c r="J593" s="1272">
        <f>IF(COUNT($H593:I593)&gt;='RFM input'!$AA$7,0, I593+I645+I697)</f>
        <v>7.2822686491266636E-3</v>
      </c>
      <c r="K593" s="1297">
        <f>IF(COUNT($H593:J593)&gt;='RFM input'!$AA$7,0, J593+J645+J697)</f>
        <v>7.0349728225792474E-3</v>
      </c>
      <c r="L593" s="1297">
        <f>IF(COUNT($H593:K593)&gt;='RFM input'!$AA$7,0, K593+K645+K697)</f>
        <v>1.0541200945665214</v>
      </c>
      <c r="M593" s="1297">
        <f>IF(COUNT($H593:L593)&gt;='RFM input'!$AA$7,0, L593+L645+L697)</f>
        <v>0.88552959067595327</v>
      </c>
      <c r="N593" s="1297">
        <f>IF(COUNT($H593:M593)&gt;='RFM input'!$AA$7,0, M593+M645+M697)</f>
        <v>0.72276625429668706</v>
      </c>
      <c r="O593" s="1297">
        <f>IF(COUNT($H593:N593)&gt;='RFM input'!$AA$7,0, N593+N645+N697)</f>
        <v>0.49224399947184772</v>
      </c>
      <c r="P593" s="1297">
        <f>IF(COUNT($H593:O593)&gt;='RFM input'!$AA$7,0, O593+O645+O697)</f>
        <v>0.26212715789465513</v>
      </c>
      <c r="Q593" s="1297">
        <f>IF(COUNT($H593:P593)&gt;='RFM input'!$AA$7,0, P593+P645+P697)</f>
        <v>3.2010316317462512E-2</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1.7092659212322057</v>
      </c>
      <c r="H594" s="1272">
        <f t="shared" si="71"/>
        <v>1.4959406270712703</v>
      </c>
      <c r="I594" s="1272">
        <f t="shared" si="72"/>
        <v>1.2933717281036052</v>
      </c>
      <c r="J594" s="1272">
        <f>IF(COUNT($H594:I594)&gt;='RFM input'!$AA$7,0, I594+I646+I698)</f>
        <v>1.0842715818385222</v>
      </c>
      <c r="K594" s="1297">
        <f>IF(COUNT($H594:J594)&gt;='RFM input'!$AA$7,0, J594+J646+J698)</f>
        <v>0.8606680280343445</v>
      </c>
      <c r="L594" s="1297">
        <f>IF(COUNT($H594:K594)&gt;='RFM input'!$AA$7,0, K594+K646+K698)</f>
        <v>0.6129570991299903</v>
      </c>
      <c r="M594" s="1297">
        <f>IF(COUNT($H594:L594)&gt;='RFM input'!$AA$7,0, L594+L646+L698)</f>
        <v>0.39267294192287916</v>
      </c>
      <c r="N594" s="1297">
        <f>IF(COUNT($H594:M594)&gt;='RFM input'!$AA$7,0, M594+M646+M698)</f>
        <v>0.16356319571245023</v>
      </c>
      <c r="O594" s="1297">
        <f>IF(COUNT($H594:N594)&gt;='RFM input'!$AA$7,0, N594+N646+N698)</f>
        <v>2.1587646361771351E-2</v>
      </c>
      <c r="P594" s="1297">
        <f>IF(COUNT($H594:O594)&gt;='RFM input'!$AA$7,0, O594+O646+O698)</f>
        <v>2.1587646361771351E-2</v>
      </c>
      <c r="Q594" s="1297">
        <f>IF(COUNT($H594:P594)&gt;='RFM input'!$AA$7,0, P594+P646+P698)</f>
        <v>2.1587646361771351E-2</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2.6665477359291296</v>
      </c>
      <c r="H595" s="1272">
        <f t="shared" si="71"/>
        <v>3.6617975869025572</v>
      </c>
      <c r="I595" s="1272">
        <f t="shared" si="72"/>
        <v>3.4777665644108753</v>
      </c>
      <c r="J595" s="1272">
        <f>IF(COUNT($H595:I595)&gt;='RFM input'!$AA$7,0, I595+I647+I699)</f>
        <v>3.5641296312883304</v>
      </c>
      <c r="K595" s="1297">
        <f>IF(COUNT($H595:J595)&gt;='RFM input'!$AA$7,0, J595+J647+J699)</f>
        <v>3.9988520443834918</v>
      </c>
      <c r="L595" s="1297">
        <f>IF(COUNT($H595:K595)&gt;='RFM input'!$AA$7,0, K595+K647+K699)</f>
        <v>3.4880154774435397</v>
      </c>
      <c r="M595" s="1297">
        <f>IF(COUNT($H595:L595)&gt;='RFM input'!$AA$7,0, L595+L647+L699)</f>
        <v>3.1335195112611229</v>
      </c>
      <c r="N595" s="1297">
        <f>IF(COUNT($H595:M595)&gt;='RFM input'!$AA$7,0, M595+M647+M699)</f>
        <v>5.4639335440261352</v>
      </c>
      <c r="O595" s="1297">
        <f>IF(COUNT($H595:N595)&gt;='RFM input'!$AA$7,0, N595+N647+N699)</f>
        <v>3.8130388553076191</v>
      </c>
      <c r="P595" s="1297">
        <f>IF(COUNT($H595:O595)&gt;='RFM input'!$AA$7,0, O595+O647+O699)</f>
        <v>2.3949479062652923</v>
      </c>
      <c r="Q595" s="1297">
        <f>IF(COUNT($H595:P595)&gt;='RFM input'!$AA$7,0, P595+P647+P699)</f>
        <v>1.3373605772339348</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0</v>
      </c>
      <c r="I596" s="1272">
        <f t="shared" si="72"/>
        <v>0</v>
      </c>
      <c r="J596" s="1272">
        <f>IF(COUNT($H596:I596)&gt;='RFM input'!$AA$7,0, I596+I648+I700)</f>
        <v>0</v>
      </c>
      <c r="K596" s="1297">
        <f>IF(COUNT($H596:J596)&gt;='RFM input'!$AA$7,0, J596+J648+J700)</f>
        <v>0</v>
      </c>
      <c r="L596" s="1297">
        <f>IF(COUNT($H596:K596)&gt;='RFM input'!$AA$7,0, K596+K648+K700)</f>
        <v>0.887231891481851</v>
      </c>
      <c r="M596" s="1297">
        <f>IF(COUNT($H596:L596)&gt;='RFM input'!$AA$7,0, L596+L648+L700)</f>
        <v>0.95121229850342703</v>
      </c>
      <c r="N596" s="1297">
        <f>IF(COUNT($H596:M596)&gt;='RFM input'!$AA$7,0, M596+M648+M700)</f>
        <v>1.0243107089885035</v>
      </c>
      <c r="O596" s="1297">
        <f>IF(COUNT($H596:N596)&gt;='RFM input'!$AA$7,0, N596+N648+N700)</f>
        <v>0.73262827186180646</v>
      </c>
      <c r="P596" s="1297">
        <f>IF(COUNT($H596:O596)&gt;='RFM input'!$AA$7,0, O596+O648+O700)</f>
        <v>0.44094583473510934</v>
      </c>
      <c r="Q596" s="1297">
        <f>IF(COUNT($H596:P596)&gt;='RFM input'!$AA$7,0, P596+P648+P700)</f>
        <v>0.14926339760841223</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12.155047883692397</v>
      </c>
      <c r="H597" s="1272">
        <f t="shared" si="71"/>
        <v>9.6599739523653643</v>
      </c>
      <c r="I597" s="1272">
        <f t="shared" si="72"/>
        <v>7.4070639794274857</v>
      </c>
      <c r="J597" s="1272">
        <f>IF(COUNT($H597:I597)&gt;='RFM input'!$AA$7,0, I597+I649+I701)</f>
        <v>5.0740779513216054</v>
      </c>
      <c r="K597" s="1297">
        <f>IF(COUNT($H597:J597)&gt;='RFM input'!$AA$7,0, J597+J649+J701)</f>
        <v>2.616352677326331</v>
      </c>
      <c r="L597" s="1297">
        <f>IF(COUNT($H597:K597)&gt;='RFM input'!$AA$7,0, K597+K649+K701)</f>
        <v>2.8248071182555012E-2</v>
      </c>
      <c r="M597" s="1297">
        <f>IF(COUNT($H597:L597)&gt;='RFM input'!$AA$7,0, L597+L649+L701)</f>
        <v>2.9334535458807126E-2</v>
      </c>
      <c r="N597" s="1297">
        <f>IF(COUNT($H597:M597)&gt;='RFM input'!$AA$7,0, M597+M649+M701)</f>
        <v>3.1137078462589046E-2</v>
      </c>
      <c r="O597" s="1297">
        <f>IF(COUNT($H597:N597)&gt;='RFM input'!$AA$7,0, N597+N649+N701)</f>
        <v>3.1137078462589046E-2</v>
      </c>
      <c r="P597" s="1297">
        <f>IF(COUNT($H597:O597)&gt;='RFM input'!$AA$7,0, O597+O649+O701)</f>
        <v>3.1137078462589046E-2</v>
      </c>
      <c r="Q597" s="1297">
        <f>IF(COUNT($H597:P597)&gt;='RFM input'!$AA$7,0, P597+P649+P701)</f>
        <v>3.1137078462589046E-2</v>
      </c>
      <c r="R597" s="1297"/>
      <c r="S597" s="75"/>
      <c r="T597" s="75"/>
      <c r="U597" s="75"/>
      <c r="V597" s="75"/>
      <c r="W597" s="75"/>
      <c r="X597" s="75"/>
      <c r="Y597" s="75"/>
      <c r="Z597" s="75"/>
      <c r="AA597" s="172"/>
    </row>
    <row r="598" spans="1:27" hidden="1" outlineLevel="1">
      <c r="A598" s="3"/>
      <c r="B598" s="3"/>
      <c r="C598" s="29"/>
      <c r="D598" s="153">
        <f>Asset15</f>
        <v>0</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v>
      </c>
      <c r="P598" s="1297">
        <f>IF(COUNT($H598:O598)&gt;='RFM input'!$AA$7,0, O598+O650+O702)</f>
        <v>0</v>
      </c>
      <c r="Q598" s="1297">
        <f>IF(COUNT($H598:P598)&gt;='RFM input'!$AA$7,0, P598+P650+P702)</f>
        <v>0</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3.3761323594417614</v>
      </c>
      <c r="H635" s="1269">
        <f t="shared" ref="H635:Q635" si="75">SUM(H636:H685)</f>
        <v>1.2281307669939858</v>
      </c>
      <c r="I635" s="1269">
        <f t="shared" si="75"/>
        <v>1.4698067254304825</v>
      </c>
      <c r="J635" s="1269">
        <f t="shared" si="75"/>
        <v>2.5014600678213519</v>
      </c>
      <c r="K635" s="1269">
        <f t="shared" si="75"/>
        <v>4.9102802702613868</v>
      </c>
      <c r="L635" s="1269">
        <f t="shared" si="75"/>
        <v>2.188570339223725</v>
      </c>
      <c r="M635" s="1269">
        <f t="shared" si="75"/>
        <v>3.7466562402508252</v>
      </c>
      <c r="N635" s="1269">
        <f t="shared" si="75"/>
        <v>0</v>
      </c>
      <c r="O635" s="1269">
        <f t="shared" si="75"/>
        <v>0</v>
      </c>
      <c r="P635" s="1269">
        <f t="shared" si="75"/>
        <v>0</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0.28598169103724558</v>
      </c>
      <c r="H636" s="1297">
        <f>'Capital base roll forward'!H1242</f>
        <v>0</v>
      </c>
      <c r="I636" s="1297">
        <f>'Capital base roll forward'!I1242</f>
        <v>0</v>
      </c>
      <c r="J636" s="1297">
        <f>'Capital base roll forward'!J1242</f>
        <v>1.743458586527185E-2</v>
      </c>
      <c r="K636" s="1297">
        <f>'Capital base roll forward'!K1242</f>
        <v>1.3408423020515747</v>
      </c>
      <c r="L636" s="1297">
        <f>'Capital base roll forward'!L1242</f>
        <v>0.63423178734263486</v>
      </c>
      <c r="M636" s="1297">
        <f>'Capital base roll forward'!M1242</f>
        <v>0</v>
      </c>
      <c r="N636" s="1297">
        <f>'Capital base roll forward'!N1242</f>
        <v>0</v>
      </c>
      <c r="O636" s="1297">
        <f>'Capital base roll forward'!O1242</f>
        <v>0</v>
      </c>
      <c r="P636" s="1297">
        <f>'Capital base roll forward'!P1242</f>
        <v>0</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1.2516034431101927E-2</v>
      </c>
      <c r="H637" s="1297">
        <f>'Capital base roll forward'!H1243</f>
        <v>0.59889430094813101</v>
      </c>
      <c r="I637" s="1297">
        <f>'Capital base roll forward'!I1243</f>
        <v>8.351113026066519E-3</v>
      </c>
      <c r="J637" s="1297">
        <f>'Capital base roll forward'!J1243</f>
        <v>0.3031401080673542</v>
      </c>
      <c r="K637" s="1297">
        <f>'Capital base roll forward'!K1243</f>
        <v>0.2132731040941076</v>
      </c>
      <c r="L637" s="1297">
        <f>'Capital base roll forward'!L1243</f>
        <v>0.6219129060742431</v>
      </c>
      <c r="M637" s="1297">
        <f>'Capital base roll forward'!M1243</f>
        <v>3.0383456195806359E-17</v>
      </c>
      <c r="N637" s="1297">
        <f>'Capital base roll forward'!N1243</f>
        <v>0</v>
      </c>
      <c r="O637" s="1297">
        <f>'Capital base roll forward'!O1243</f>
        <v>0</v>
      </c>
      <c r="P637" s="1297">
        <f>'Capital base roll forward'!P1243</f>
        <v>0</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9.187412422104484E-3</v>
      </c>
      <c r="H638" s="1297">
        <f>'Capital base roll forward'!H1244</f>
        <v>0</v>
      </c>
      <c r="I638" s="1297">
        <f>'Capital base roll forward'!I1244</f>
        <v>0</v>
      </c>
      <c r="J638" s="1297">
        <f>'Capital base roll forward'!J1244</f>
        <v>0</v>
      </c>
      <c r="K638" s="1297">
        <f>'Capital base roll forward'!K1244</f>
        <v>0</v>
      </c>
      <c r="L638" s="1297">
        <f>'Capital base roll forward'!L1244</f>
        <v>0</v>
      </c>
      <c r="M638" s="1297">
        <f>'Capital base roll forward'!M1244</f>
        <v>0</v>
      </c>
      <c r="N638" s="1297">
        <f>'Capital base roll forward'!N1244</f>
        <v>0</v>
      </c>
      <c r="O638" s="1297">
        <f>'Capital base roll forward'!O1244</f>
        <v>0</v>
      </c>
      <c r="P638" s="1297">
        <f>'Capital base roll forward'!P1244</f>
        <v>0</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0</v>
      </c>
      <c r="H639" s="1297">
        <f>'Capital base roll forward'!H1245</f>
        <v>0</v>
      </c>
      <c r="I639" s="1297">
        <f>'Capital base roll forward'!I1245</f>
        <v>0</v>
      </c>
      <c r="J639" s="1297">
        <f>'Capital base roll forward'!J1245</f>
        <v>0</v>
      </c>
      <c r="K639" s="1297">
        <f>'Capital base roll forward'!K1245</f>
        <v>0</v>
      </c>
      <c r="L639" s="1297">
        <f>'Capital base roll forward'!L1245</f>
        <v>0</v>
      </c>
      <c r="M639" s="1297">
        <f>'Capital base roll forward'!M1245</f>
        <v>0.43225690635436659</v>
      </c>
      <c r="N639" s="1297">
        <f>'Capital base roll forward'!N1245</f>
        <v>0</v>
      </c>
      <c r="O639" s="1297">
        <f>'Capital base roll forward'!O1245</f>
        <v>0</v>
      </c>
      <c r="P639" s="1297">
        <f>'Capital base roll forward'!P1245</f>
        <v>0</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0</v>
      </c>
      <c r="K640" s="1297">
        <f>'Capital base roll forward'!K1246</f>
        <v>0</v>
      </c>
      <c r="L640" s="1297">
        <f>'Capital base roll forward'!L1246</f>
        <v>0</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1.0594006085425263</v>
      </c>
      <c r="H641" s="1297">
        <f>'Capital base roll forward'!H1247</f>
        <v>4.0593497104851892E-3</v>
      </c>
      <c r="I641" s="1297">
        <f>'Capital base roll forward'!I1247</f>
        <v>8.1998064557741834E-2</v>
      </c>
      <c r="J641" s="1297">
        <f>'Capital base roll forward'!J1247</f>
        <v>0.35903100207135785</v>
      </c>
      <c r="K641" s="1297">
        <f>'Capital base roll forward'!K1247</f>
        <v>0.23638011881474144</v>
      </c>
      <c r="L641" s="1297">
        <f>'Capital base roll forward'!L1247</f>
        <v>0</v>
      </c>
      <c r="M641" s="1297">
        <f>'Capital base roll forward'!M1247</f>
        <v>0</v>
      </c>
      <c r="N641" s="1297">
        <f>'Capital base roll forward'!N1247</f>
        <v>0</v>
      </c>
      <c r="O641" s="1297">
        <f>'Capital base roll forward'!O1247</f>
        <v>0</v>
      </c>
      <c r="P641" s="1297">
        <f>'Capital base roll forward'!P1247</f>
        <v>0</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0</v>
      </c>
      <c r="I642" s="1297">
        <f>'Capital base roll forward'!I1248</f>
        <v>0</v>
      </c>
      <c r="J642" s="1297">
        <f>'Capital base roll forward'!J1248</f>
        <v>0</v>
      </c>
      <c r="K642" s="1297">
        <f>'Capital base roll forward'!K1248</f>
        <v>0</v>
      </c>
      <c r="L642" s="1297">
        <f>'Capital base roll forward'!L1248</f>
        <v>0</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v>
      </c>
      <c r="M643" s="1297">
        <f>'Capital base roll forward'!M1249</f>
        <v>0</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0.10688829895818489</v>
      </c>
      <c r="H644" s="1297">
        <f>'Capital base roll forward'!H1250</f>
        <v>1.3677096641959778E-2</v>
      </c>
      <c r="I644" s="1297">
        <f>'Capital base roll forward'!I1250</f>
        <v>0.35581546899383631</v>
      </c>
      <c r="J644" s="1297">
        <f>'Capital base roll forward'!J1250</f>
        <v>0.20659231546369816</v>
      </c>
      <c r="K644" s="1297">
        <f>'Capital base roll forward'!K1250</f>
        <v>9.6756235632085907E-2</v>
      </c>
      <c r="L644" s="1297">
        <f>'Capital base roll forward'!L1250</f>
        <v>8.3994327748251316E-2</v>
      </c>
      <c r="M644" s="1297">
        <f>'Capital base roll forward'!M1250</f>
        <v>-0.11595199952038025</v>
      </c>
      <c r="N644" s="1297">
        <f>'Capital base roll forward'!N1250</f>
        <v>0</v>
      </c>
      <c r="O644" s="1297">
        <f>'Capital base roll forward'!O1250</f>
        <v>0</v>
      </c>
      <c r="P644" s="1297">
        <f>'Capital base roll forward'!P1250</f>
        <v>0</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1.7759482827910556E-2</v>
      </c>
      <c r="H645" s="1297">
        <f>'Capital base roll forward'!H1251</f>
        <v>0</v>
      </c>
      <c r="I645" s="1297">
        <f>'Capital base roll forward'!I1251</f>
        <v>1.7795101710741917E-3</v>
      </c>
      <c r="J645" s="1297">
        <f>'Capital base roll forward'!J1251</f>
        <v>0</v>
      </c>
      <c r="K645" s="1297">
        <f>'Capital base roll forward'!K1251</f>
        <v>1.047478717435407</v>
      </c>
      <c r="L645" s="1297">
        <f>'Capital base roll forward'!L1251</f>
        <v>6.2960173790787738E-9</v>
      </c>
      <c r="M645" s="1297">
        <f>'Capital base roll forward'!M1251</f>
        <v>0</v>
      </c>
      <c r="N645" s="1297">
        <f>'Capital base roll forward'!N1251</f>
        <v>0</v>
      </c>
      <c r="O645" s="1297">
        <f>'Capital base roll forward'!O1251</f>
        <v>0</v>
      </c>
      <c r="P645" s="1297">
        <f>'Capital base roll forward'!P1251</f>
        <v>0</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1.8843988312226876</v>
      </c>
      <c r="H647" s="1297">
        <f>'Capital base roll forward'!H1253</f>
        <v>0.61150001969340984</v>
      </c>
      <c r="I647" s="1297">
        <f>'Capital base roll forward'!I1253</f>
        <v>1.0218625686817637</v>
      </c>
      <c r="J647" s="1297">
        <f>'Capital base roll forward'!J1253</f>
        <v>1.6152620563536699</v>
      </c>
      <c r="K647" s="1297">
        <f>'Capital base roll forward'!K1253</f>
        <v>1.0883179007516188</v>
      </c>
      <c r="L647" s="1297">
        <f>'Capital base roll forward'!L1253</f>
        <v>0.64174711002691454</v>
      </c>
      <c r="M647" s="1297">
        <f>'Capital base roll forward'!M1253</f>
        <v>3.1891469391411436</v>
      </c>
      <c r="N647" s="1297">
        <f>'Capital base roll forward'!N1253</f>
        <v>0</v>
      </c>
      <c r="O647" s="1297">
        <f>'Capital base roll forward'!O1253</f>
        <v>0</v>
      </c>
      <c r="P647" s="1297">
        <f>'Capital base roll forward'!P1253</f>
        <v>0</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0</v>
      </c>
      <c r="H648" s="1297">
        <f>'Capital base roll forward'!H1254</f>
        <v>0</v>
      </c>
      <c r="I648" s="1297">
        <f>'Capital base roll forward'!I1254</f>
        <v>0</v>
      </c>
      <c r="J648" s="1297">
        <f>'Capital base roll forward'!J1254</f>
        <v>0</v>
      </c>
      <c r="K648" s="1297">
        <f>'Capital base roll forward'!K1254</f>
        <v>0.887231891481851</v>
      </c>
      <c r="L648" s="1297">
        <f>'Capital base roll forward'!L1254</f>
        <v>0.20668420173566338</v>
      </c>
      <c r="M648" s="1297">
        <f>'Capital base roll forward'!M1254</f>
        <v>0.2412043942756954</v>
      </c>
      <c r="N648" s="1297">
        <f>'Capital base roll forward'!N1254</f>
        <v>0</v>
      </c>
      <c r="O648" s="1297">
        <f>'Capital base roll forward'!O1254</f>
        <v>0</v>
      </c>
      <c r="P648" s="1297">
        <f>'Capital base roll forward'!P1254</f>
        <v>0</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f>Asset15</f>
        <v>0</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-7.0704147621636491</v>
      </c>
      <c r="H687" s="1269">
        <f t="shared" ref="H687:Q687" si="76">SUM(H688:H737)</f>
        <v>-3.8755344768128555</v>
      </c>
      <c r="I687" s="1269">
        <f t="shared" si="76"/>
        <v>-3.4737568222883874</v>
      </c>
      <c r="J687" s="1269">
        <f t="shared" si="76"/>
        <v>-5.3318439452289415</v>
      </c>
      <c r="K687" s="1269">
        <f t="shared" si="76"/>
        <v>-11.932473355689995</v>
      </c>
      <c r="L687" s="1269">
        <f t="shared" si="76"/>
        <v>3.4514360483710873</v>
      </c>
      <c r="M687" s="1269">
        <f t="shared" si="76"/>
        <v>10.508493021262796</v>
      </c>
      <c r="N687" s="1269">
        <f t="shared" si="76"/>
        <v>-9.471453663688024</v>
      </c>
      <c r="O687" s="1269">
        <f t="shared" si="76"/>
        <v>-9.096268961413509</v>
      </c>
      <c r="P687" s="1269">
        <f t="shared" si="76"/>
        <v>-8.7357653414025389</v>
      </c>
      <c r="Q687" s="1269">
        <f t="shared" si="76"/>
        <v>-8.0716470573097769</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-1.4989512643824603</v>
      </c>
      <c r="H688" s="1297">
        <f>'Capital base roll forward'!H1294</f>
        <v>0.73891834149090174</v>
      </c>
      <c r="I688" s="1297">
        <f>'Capital base roll forward'!I1294</f>
        <v>1.0226279485711429</v>
      </c>
      <c r="J688" s="1297">
        <f>'Capital base roll forward'!J1294</f>
        <v>-0.20208160337490844</v>
      </c>
      <c r="K688" s="1297">
        <f>'Capital base roll forward'!K1294</f>
        <v>-4.9272614408202386</v>
      </c>
      <c r="L688" s="1297">
        <f>'Capital base roll forward'!L1294</f>
        <v>4.9963899432730754</v>
      </c>
      <c r="M688" s="1297">
        <f>'Capital base roll forward'!M1294</f>
        <v>10.609336053846391</v>
      </c>
      <c r="N688" s="1297">
        <f>'Capital base roll forward'!N1294</f>
        <v>-4.5211323460700648</v>
      </c>
      <c r="O688" s="1297">
        <f>'Capital base roll forward'!O1294</f>
        <v>-4.5211323460700648</v>
      </c>
      <c r="P688" s="1297">
        <f>'Capital base roll forward'!P1294</f>
        <v>-4.5211323460700648</v>
      </c>
      <c r="Q688" s="1297">
        <f>'Capital base roll forward'!Q1294</f>
        <v>-4.5211323460700648</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-1.1958344001278152</v>
      </c>
      <c r="H689" s="1297">
        <f>'Capital base roll forward'!H1295</f>
        <v>-0.79766345416346507</v>
      </c>
      <c r="I689" s="1297">
        <f>'Capital base roll forward'!I1295</f>
        <v>-0.78868738738534006</v>
      </c>
      <c r="J689" s="1297">
        <f>'Capital base roll forward'!J1295</f>
        <v>-1.0443893567271409</v>
      </c>
      <c r="K689" s="1297">
        <f>'Capital base roll forward'!K1295</f>
        <v>-1.8962081145698721</v>
      </c>
      <c r="L689" s="1297">
        <f>'Capital base roll forward'!L1295</f>
        <v>-0.22399808209630323</v>
      </c>
      <c r="M689" s="1297">
        <f>'Capital base roll forward'!M1295</f>
        <v>0.62775778410540406</v>
      </c>
      <c r="N689" s="1297">
        <f>'Capital base roll forward'!N1295</f>
        <v>-1.9506537999675477</v>
      </c>
      <c r="O689" s="1297">
        <f>'Capital base roll forward'!O1295</f>
        <v>-1.9506537999675477</v>
      </c>
      <c r="P689" s="1297">
        <f>'Capital base roll forward'!P1295</f>
        <v>-1.9506537999675477</v>
      </c>
      <c r="Q689" s="1297">
        <f>'Capital base roll forward'!Q1295</f>
        <v>-1.9506537999675477</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-1.489441567747569E-3</v>
      </c>
      <c r="H690" s="1297">
        <f>'Capital base roll forward'!H1296</f>
        <v>-4.4498500772610205E-4</v>
      </c>
      <c r="I690" s="1297">
        <f>'Capital base roll forward'!I1296</f>
        <v>-3.3629510455895776E-4</v>
      </c>
      <c r="J690" s="1297">
        <f>'Capital base roll forward'!J1296</f>
        <v>-9.730140201112986E-4</v>
      </c>
      <c r="K690" s="1297">
        <f>'Capital base roll forward'!K1296</f>
        <v>-3.3045048715863068E-3</v>
      </c>
      <c r="L690" s="1297">
        <f>'Capital base roll forward'!L1296</f>
        <v>1.4843997143105642E-3</v>
      </c>
      <c r="M690" s="1297">
        <f>'Capital base roll forward'!M1296</f>
        <v>4.0770505183102199E-3</v>
      </c>
      <c r="N690" s="1297">
        <f>'Capital base roll forward'!N1296</f>
        <v>-3.182141681656727E-3</v>
      </c>
      <c r="O690" s="1297">
        <f>'Capital base roll forward'!O1296</f>
        <v>-3.182141681656727E-3</v>
      </c>
      <c r="P690" s="1297">
        <f>'Capital base roll forward'!P1296</f>
        <v>-3.182141681656727E-3</v>
      </c>
      <c r="Q690" s="1297">
        <f>'Capital base roll forward'!Q1296</f>
        <v>-3.182141681656727E-3</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-0.15362390739847637</v>
      </c>
      <c r="H691" s="1297">
        <f>'Capital base roll forward'!H1297</f>
        <v>-7.2652861258534457E-2</v>
      </c>
      <c r="I691" s="1297">
        <f>'Capital base roll forward'!I1297</f>
        <v>-6.7106129660572805E-2</v>
      </c>
      <c r="J691" s="1297">
        <f>'Capital base roll forward'!J1297</f>
        <v>-0.11109179947371299</v>
      </c>
      <c r="K691" s="1297">
        <f>'Capital base roll forward'!K1297</f>
        <v>-0.26583898851862137</v>
      </c>
      <c r="L691" s="1297">
        <f>'Capital base roll forward'!L1297</f>
        <v>4.7201946988999377E-2</v>
      </c>
      <c r="M691" s="1297">
        <f>'Capital base roll forward'!M1297</f>
        <v>0.21152195394959517</v>
      </c>
      <c r="N691" s="1297">
        <f>'Capital base roll forward'!N1297</f>
        <v>-0.27176253526052696</v>
      </c>
      <c r="O691" s="1297">
        <f>'Capital base roll forward'!O1297</f>
        <v>-0.27176253526052696</v>
      </c>
      <c r="P691" s="1297">
        <f>'Capital base roll forward'!P1297</f>
        <v>-0.27176253526052696</v>
      </c>
      <c r="Q691" s="1297">
        <f>'Capital base roll forward'!Q1297</f>
        <v>-0.27176253526052696</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-2.9565952932909508E-4</v>
      </c>
      <c r="H692" s="1297">
        <f>'Capital base roll forward'!H1298</f>
        <v>6.6999520052371292E-4</v>
      </c>
      <c r="I692" s="1297">
        <f>'Capital base roll forward'!I1298</f>
        <v>8.0871746100991625E-4</v>
      </c>
      <c r="J692" s="1297">
        <f>'Capital base roll forward'!J1298</f>
        <v>2.8091636637681862E-4</v>
      </c>
      <c r="K692" s="1297">
        <f>'Capital base roll forward'!K1298</f>
        <v>-1.8083062029569834E-3</v>
      </c>
      <c r="L692" s="1297">
        <f>'Capital base roll forward'!L1298</f>
        <v>2.6022312611591165E-3</v>
      </c>
      <c r="M692" s="1297">
        <f>'Capital base roll forward'!M1298</f>
        <v>5.1178450179374252E-3</v>
      </c>
      <c r="N692" s="1297">
        <f>'Capital base roll forward'!N1298</f>
        <v>-1.5779790789579146E-3</v>
      </c>
      <c r="O692" s="1297">
        <f>'Capital base roll forward'!O1298</f>
        <v>-1.5779790789579146E-3</v>
      </c>
      <c r="P692" s="1297">
        <f>'Capital base roll forward'!P1298</f>
        <v>-1.5779790789579146E-3</v>
      </c>
      <c r="Q692" s="1297">
        <f>'Capital base roll forward'!Q1298</f>
        <v>-1.5779790789579146E-3</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-6.8046661766916261E-2</v>
      </c>
      <c r="H693" s="1297">
        <f>'Capital base roll forward'!H1299</f>
        <v>-0.10214896778133697</v>
      </c>
      <c r="I693" s="1297">
        <f>'Capital base roll forward'!I1299</f>
        <v>-0.10445273786585742</v>
      </c>
      <c r="J693" s="1297">
        <f>'Capital base roll forward'!J1299</f>
        <v>-0.12187582388395277</v>
      </c>
      <c r="K693" s="1297">
        <f>'Capital base roll forward'!K1299</f>
        <v>-0.18322024926753303</v>
      </c>
      <c r="L693" s="1297">
        <f>'Capital base roll forward'!L1299</f>
        <v>-0.11324837311437008</v>
      </c>
      <c r="M693" s="1297">
        <f>'Capital base roll forward'!M1299</f>
        <v>-8.0854339294444869E-2</v>
      </c>
      <c r="N693" s="1297">
        <f>'Capital base roll forward'!N1299</f>
        <v>-0.21099009284584458</v>
      </c>
      <c r="O693" s="1297">
        <f>'Capital base roll forward'!O1299</f>
        <v>-0.21099009284584458</v>
      </c>
      <c r="P693" s="1297">
        <f>'Capital base roll forward'!P1299</f>
        <v>-0.21099009284584458</v>
      </c>
      <c r="Q693" s="1297">
        <f>'Capital base roll forward'!Q1299</f>
        <v>-0.21099009284584458</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-2.5871909855946493E-2</v>
      </c>
      <c r="H694" s="1297">
        <f>'Capital base roll forward'!H1300</f>
        <v>1.3973914966089407E-2</v>
      </c>
      <c r="I694" s="1297">
        <f>'Capital base roll forward'!I1300</f>
        <v>1.9059948352104131E-2</v>
      </c>
      <c r="J694" s="1297">
        <f>'Capital base roll forward'!J1300</f>
        <v>-2.7279195027840319E-3</v>
      </c>
      <c r="K694" s="1297">
        <f>'Capital base roll forward'!K1300</f>
        <v>-8.6909788501775942E-2</v>
      </c>
      <c r="L694" s="1297">
        <f>'Capital base roll forward'!L1300</f>
        <v>8.9352640299067657E-2</v>
      </c>
      <c r="M694" s="1297">
        <f>'Capital base roll forward'!M1300</f>
        <v>0.18837127114338975</v>
      </c>
      <c r="N694" s="1297">
        <f>'Capital base roll forward'!N1300</f>
        <v>-7.9099582203569607E-2</v>
      </c>
      <c r="O694" s="1297">
        <f>'Capital base roll forward'!O1300</f>
        <v>-7.9099582203569607E-2</v>
      </c>
      <c r="P694" s="1297">
        <f>'Capital base roll forward'!P1300</f>
        <v>-7.9099582203569607E-2</v>
      </c>
      <c r="Q694" s="1297">
        <f>'Capital base roll forward'!Q1300</f>
        <v>-7.9099582203569607E-2</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1.364493646832721E-4</v>
      </c>
      <c r="H695" s="1297">
        <f>'Capital base roll forward'!H1301</f>
        <v>2.6049424166806631E-4</v>
      </c>
      <c r="I695" s="1297">
        <f>'Capital base roll forward'!I1301</f>
        <v>2.8530321706502594E-4</v>
      </c>
      <c r="J695" s="1297">
        <f>'Capital base roll forward'!J1301</f>
        <v>2.2328077857262918E-4</v>
      </c>
      <c r="K695" s="1297">
        <f>'Capital base roll forward'!K1301</f>
        <v>-4.9617950793916976E-5</v>
      </c>
      <c r="L695" s="1297">
        <f>'Capital base roll forward'!L1301</f>
        <v>5.4579745873308927E-4</v>
      </c>
      <c r="M695" s="1297">
        <f>'Capital base roll forward'!M1301</f>
        <v>9.0552760198899169E-4</v>
      </c>
      <c r="N695" s="1297">
        <f>'Capital base roll forward'!N1301</f>
        <v>0</v>
      </c>
      <c r="O695" s="1297">
        <f>'Capital base roll forward'!O1301</f>
        <v>0</v>
      </c>
      <c r="P695" s="1297">
        <f>'Capital base roll forward'!P1301</f>
        <v>0</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-2.525213112008437E-2</v>
      </c>
      <c r="H696" s="1297">
        <f>'Capital base roll forward'!H1302</f>
        <v>3.731106018850644E-2</v>
      </c>
      <c r="I696" s="1297">
        <f>'Capital base roll forward'!I1302</f>
        <v>4.6143669653545494E-2</v>
      </c>
      <c r="J696" s="1297">
        <f>'Capital base roll forward'!J1302</f>
        <v>1.2907141493227484E-2</v>
      </c>
      <c r="K696" s="1297">
        <f>'Capital base roll forward'!K1302</f>
        <v>-0.13250874655544953</v>
      </c>
      <c r="L696" s="1297">
        <f>'Capital base roll forward'!L1302</f>
        <v>0.17784061862727679</v>
      </c>
      <c r="M696" s="1297">
        <f>'Capital base roll forward'!M1302</f>
        <v>0.35916930412688797</v>
      </c>
      <c r="N696" s="1297">
        <f>'Capital base roll forward'!N1302</f>
        <v>-0.11798025655912527</v>
      </c>
      <c r="O696" s="1297">
        <f>'Capital base roll forward'!O1302</f>
        <v>-0.11798025655912527</v>
      </c>
      <c r="P696" s="1297">
        <f>'Capital base roll forward'!P1302</f>
        <v>-0.11798025655912527</v>
      </c>
      <c r="Q696" s="1297">
        <f>'Capital base roll forward'!Q1302</f>
        <v>-0.11798025655912527</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-0.50363763004232787</v>
      </c>
      <c r="H697" s="1297">
        <f>'Capital base roll forward'!H1303</f>
        <v>-0.44274810059884662</v>
      </c>
      <c r="I697" s="1297">
        <f>'Capital base roll forward'!I1303</f>
        <v>-0.12451418335165433</v>
      </c>
      <c r="J697" s="1297">
        <f>'Capital base roll forward'!J1303</f>
        <v>-2.4729582654741636E-4</v>
      </c>
      <c r="K697" s="1297">
        <f>'Capital base roll forward'!K1303</f>
        <v>-3.9359569146471535E-4</v>
      </c>
      <c r="L697" s="1297">
        <f>'Capital base roll forward'!L1303</f>
        <v>-0.16859051018658566</v>
      </c>
      <c r="M697" s="1297">
        <f>'Capital base roll forward'!M1303</f>
        <v>-0.16276333637926621</v>
      </c>
      <c r="N697" s="1297">
        <f>'Capital base roll forward'!N1303</f>
        <v>-0.23052225482483932</v>
      </c>
      <c r="O697" s="1297">
        <f>'Capital base roll forward'!O1303</f>
        <v>-0.23011684157719262</v>
      </c>
      <c r="P697" s="1297">
        <f>'Capital base roll forward'!P1303</f>
        <v>-0.23011684157719262</v>
      </c>
      <c r="Q697" s="1297">
        <f>'Capital base roll forward'!Q1303</f>
        <v>-1.3879856494787295E-9</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-0.21332529416093537</v>
      </c>
      <c r="H698" s="1297">
        <f>'Capital base roll forward'!H1304</f>
        <v>-0.20256889896766511</v>
      </c>
      <c r="I698" s="1297">
        <f>'Capital base roll forward'!I1304</f>
        <v>-0.209100146265083</v>
      </c>
      <c r="J698" s="1297">
        <f>'Capital base roll forward'!J1304</f>
        <v>-0.22360355380417776</v>
      </c>
      <c r="K698" s="1297">
        <f>'Capital base roll forward'!K1304</f>
        <v>-0.2477109289043542</v>
      </c>
      <c r="L698" s="1297">
        <f>'Capital base roll forward'!L1304</f>
        <v>-0.22028415720711114</v>
      </c>
      <c r="M698" s="1297">
        <f>'Capital base roll forward'!M1304</f>
        <v>-0.22910974621042893</v>
      </c>
      <c r="N698" s="1297">
        <f>'Capital base roll forward'!N1304</f>
        <v>-0.14197554935067888</v>
      </c>
      <c r="O698" s="1297">
        <f>'Capital base roll forward'!O1304</f>
        <v>0</v>
      </c>
      <c r="P698" s="1297">
        <f>'Capital base roll forward'!P1304</f>
        <v>0</v>
      </c>
      <c r="Q698" s="1297">
        <f>'Capital base roll forward'!Q1304</f>
        <v>0</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-0.88914898024925959</v>
      </c>
      <c r="H699" s="1297">
        <f>'Capital base roll forward'!H1305</f>
        <v>-0.79553104218509152</v>
      </c>
      <c r="I699" s="1297">
        <f>'Capital base roll forward'!I1305</f>
        <v>-0.9354995018043083</v>
      </c>
      <c r="J699" s="1297">
        <f>'Capital base roll forward'!J1305</f>
        <v>-1.1805396432585082</v>
      </c>
      <c r="K699" s="1297">
        <f>'Capital base roll forward'!K1305</f>
        <v>-1.599154467691571</v>
      </c>
      <c r="L699" s="1297">
        <f>'Capital base roll forward'!L1305</f>
        <v>-0.99624307620933128</v>
      </c>
      <c r="M699" s="1297">
        <f>'Capital base roll forward'!M1305</f>
        <v>-0.85873290637613164</v>
      </c>
      <c r="N699" s="1297">
        <f>'Capital base roll forward'!N1305</f>
        <v>-1.6508946887185159</v>
      </c>
      <c r="O699" s="1297">
        <f>'Capital base roll forward'!O1305</f>
        <v>-1.418090949042327</v>
      </c>
      <c r="P699" s="1297">
        <f>'Capital base roll forward'!P1305</f>
        <v>-1.0575873290313575</v>
      </c>
      <c r="Q699" s="1297">
        <f>'Capital base roll forward'!Q1305</f>
        <v>-0.81849867522512221</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0</v>
      </c>
      <c r="I700" s="1297">
        <f>'Capital base roll forward'!I1306</f>
        <v>0</v>
      </c>
      <c r="J700" s="1297">
        <f>'Capital base roll forward'!J1306</f>
        <v>0</v>
      </c>
      <c r="K700" s="1297">
        <f>'Capital base roll forward'!K1306</f>
        <v>0</v>
      </c>
      <c r="L700" s="1297">
        <f>'Capital base roll forward'!L1306</f>
        <v>-0.14270379471408717</v>
      </c>
      <c r="M700" s="1297">
        <f>'Capital base roll forward'!M1306</f>
        <v>-0.16810598379061883</v>
      </c>
      <c r="N700" s="1297">
        <f>'Capital base roll forward'!N1306</f>
        <v>-0.29168243712669711</v>
      </c>
      <c r="O700" s="1297">
        <f>'Capital base roll forward'!O1306</f>
        <v>-0.29168243712669711</v>
      </c>
      <c r="P700" s="1297">
        <f>'Capital base roll forward'!P1306</f>
        <v>-0.29168243712669711</v>
      </c>
      <c r="Q700" s="1297">
        <f>'Capital base roll forward'!Q1306</f>
        <v>-9.6769647029377612E-2</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-2.4950739313270325</v>
      </c>
      <c r="H701" s="1297">
        <f>'Capital base roll forward'!H1307</f>
        <v>-2.252909972937879</v>
      </c>
      <c r="I701" s="1297">
        <f>'Capital base roll forward'!I1307</f>
        <v>-2.3329860281058803</v>
      </c>
      <c r="J701" s="1297">
        <f>'Capital base roll forward'!J1307</f>
        <v>-2.4577252739952744</v>
      </c>
      <c r="K701" s="1297">
        <f>'Capital base roll forward'!K1307</f>
        <v>-2.588104606143776</v>
      </c>
      <c r="L701" s="1297">
        <f>'Capital base roll forward'!L1307</f>
        <v>1.086464276252112E-3</v>
      </c>
      <c r="M701" s="1297">
        <f>'Capital base roll forward'!M1307</f>
        <v>1.8025430037819186E-3</v>
      </c>
      <c r="N701" s="1297">
        <f>'Capital base roll forward'!N1307</f>
        <v>0</v>
      </c>
      <c r="O701" s="1297">
        <f>'Capital base roll forward'!O1307</f>
        <v>0</v>
      </c>
      <c r="P701" s="1297">
        <f>'Capital base roll forward'!P1307</f>
        <v>0</v>
      </c>
      <c r="Q701" s="1297">
        <f>'Capital base roll forward'!Q1307</f>
        <v>0</v>
      </c>
      <c r="R701" s="1269"/>
      <c r="S701" s="75"/>
      <c r="T701" s="75"/>
      <c r="U701" s="75"/>
      <c r="V701" s="75"/>
      <c r="W701" s="75"/>
      <c r="X701" s="75"/>
      <c r="Y701" s="75"/>
      <c r="Z701" s="75"/>
      <c r="AA701" s="172"/>
    </row>
    <row r="702" spans="1:27" hidden="1" outlineLevel="1">
      <c r="A702" s="3"/>
      <c r="B702" s="3"/>
      <c r="C702" s="29"/>
      <c r="D702" s="153">
        <f>Asset15</f>
        <v>0</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0</v>
      </c>
      <c r="P702" s="1297">
        <f>'Capital base roll forward'!P1308</f>
        <v>0</v>
      </c>
      <c r="Q702" s="1297">
        <f>'Capital base roll forward'!Q1308</f>
        <v>0</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f>Asset15</f>
        <v>0</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f>Asset15</f>
        <v>0</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f>Asset15</f>
        <v>0</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317.93338228609718</v>
      </c>
      <c r="H897" s="81">
        <f t="shared" ref="H897:Q897" si="77">SUM(H898:H947)</f>
        <v>315.28597857627835</v>
      </c>
      <c r="I897" s="81">
        <f t="shared" si="77"/>
        <v>313.28202847942038</v>
      </c>
      <c r="J897" s="81">
        <f t="shared" si="77"/>
        <v>310.45164460201283</v>
      </c>
      <c r="K897" s="81">
        <f t="shared" si="77"/>
        <v>303.42945151658427</v>
      </c>
      <c r="L897" s="81">
        <f t="shared" si="77"/>
        <v>309.06945790417899</v>
      </c>
      <c r="M897" s="81">
        <f t="shared" si="77"/>
        <v>323.32460716569256</v>
      </c>
      <c r="N897" s="81">
        <f t="shared" si="77"/>
        <v>313.8531535020046</v>
      </c>
      <c r="O897" s="81">
        <f t="shared" si="77"/>
        <v>304.7568845405911</v>
      </c>
      <c r="P897" s="81">
        <f t="shared" si="77"/>
        <v>296.02111919918843</v>
      </c>
      <c r="Q897" s="81">
        <f t="shared" si="77"/>
        <v>287.9494721418788</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238.35232489350605</v>
      </c>
      <c r="H898" s="1329">
        <f t="shared" ref="H898:I907" si="78">H584+H636+H688</f>
        <v>239.09124323499697</v>
      </c>
      <c r="I898" s="1329">
        <f t="shared" si="78"/>
        <v>240.11387118356811</v>
      </c>
      <c r="J898" s="1329">
        <f>IF(COUNT($H898:I898)&gt;='RFM input'!$AA$7,0, J584+J636+J688)</f>
        <v>239.92922416605845</v>
      </c>
      <c r="K898" s="1329">
        <f>IF(COUNT($H898:J898)&gt;='RFM input'!$AA$7,0, K584+K636+K688)</f>
        <v>236.34280502728978</v>
      </c>
      <c r="L898" s="1329">
        <f>IF(COUNT($H898:K898)&gt;='RFM input'!$AA$7,0, L584+L636+L688)</f>
        <v>241.97342675790549</v>
      </c>
      <c r="M898" s="1329">
        <f>IF(COUNT($H898:L898)&gt;='RFM input'!$AA$7,0, M584+M636+M688)</f>
        <v>252.58276281175188</v>
      </c>
      <c r="N898" s="1329">
        <f>IF(COUNT($H898:M898)&gt;='RFM input'!$AA$7,0, N584+N636+N688)</f>
        <v>248.06163046568182</v>
      </c>
      <c r="O898" s="1329">
        <f>IF(COUNT($H898:N898)&gt;='RFM input'!$AA$7,0, O584+O636+O688)</f>
        <v>243.54049811961175</v>
      </c>
      <c r="P898" s="1329">
        <f>IF(COUNT($H898:O898)&gt;='RFM input'!$AA$7,0, P584+P636+P688)</f>
        <v>239.01936577354169</v>
      </c>
      <c r="Q898" s="1329">
        <f>IF(COUNT($H898:P898)&gt;='RFM input'!$AA$7,0, Q584+Q636+Q688)</f>
        <v>234.49823342747163</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43.128644987341033</v>
      </c>
      <c r="H899" s="1329">
        <f t="shared" si="78"/>
        <v>42.929875834125703</v>
      </c>
      <c r="I899" s="1329">
        <f t="shared" si="78"/>
        <v>42.149539559766431</v>
      </c>
      <c r="J899" s="1329">
        <f>IF(COUNT($H899:I899)&gt;='RFM input'!$AA$7,0, J585+J637+J689)</f>
        <v>41.40829031110664</v>
      </c>
      <c r="K899" s="1329">
        <f>IF(COUNT($H899:J899)&gt;='RFM input'!$AA$7,0, K585+K637+K689)</f>
        <v>39.725355300630874</v>
      </c>
      <c r="L899" s="1329">
        <f>IF(COUNT($H899:K899)&gt;='RFM input'!$AA$7,0, L585+L637+L689)</f>
        <v>40.123270124608815</v>
      </c>
      <c r="M899" s="1329">
        <f>IF(COUNT($H899:L899)&gt;='RFM input'!$AA$7,0, M585+M637+M689)</f>
        <v>40.751027908714221</v>
      </c>
      <c r="N899" s="1329">
        <f>IF(COUNT($H899:M899)&gt;='RFM input'!$AA$7,0, N585+N637+N689)</f>
        <v>38.800374108746674</v>
      </c>
      <c r="O899" s="1329">
        <f>IF(COUNT($H899:N899)&gt;='RFM input'!$AA$7,0, O585+O637+O689)</f>
        <v>36.849720308779126</v>
      </c>
      <c r="P899" s="1329">
        <f>IF(COUNT($H899:O899)&gt;='RFM input'!$AA$7,0, P585+P637+P689)</f>
        <v>34.899066508811579</v>
      </c>
      <c r="Q899" s="1329">
        <f>IF(COUNT($H899:P899)&gt;='RFM input'!$AA$7,0, Q585+Q637+Q689)</f>
        <v>32.948412708844032</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0.11871236856194015</v>
      </c>
      <c r="H900" s="1329">
        <f t="shared" si="78"/>
        <v>0.11826738355421404</v>
      </c>
      <c r="I900" s="1329">
        <f t="shared" si="78"/>
        <v>0.11793108844965508</v>
      </c>
      <c r="J900" s="1329">
        <f>IF(COUNT($H900:I900)&gt;='RFM input'!$AA$7,0, J586+J638+J690)</f>
        <v>0.11695807442954378</v>
      </c>
      <c r="K900" s="1329">
        <f>IF(COUNT($H900:J900)&gt;='RFM input'!$AA$7,0, K586+K638+K690)</f>
        <v>0.11365356955795748</v>
      </c>
      <c r="L900" s="1329">
        <f>IF(COUNT($H900:K900)&gt;='RFM input'!$AA$7,0, L586+L638+L690)</f>
        <v>0.11513796927226805</v>
      </c>
      <c r="M900" s="1329">
        <f>IF(COUNT($H900:L900)&gt;='RFM input'!$AA$7,0, M586+M638+M690)</f>
        <v>0.11921501979057827</v>
      </c>
      <c r="N900" s="1329">
        <f>IF(COUNT($H900:M900)&gt;='RFM input'!$AA$7,0, N586+N638+N690)</f>
        <v>0.11603287810892154</v>
      </c>
      <c r="O900" s="1329">
        <f>IF(COUNT($H900:N900)&gt;='RFM input'!$AA$7,0, O586+O638+O690)</f>
        <v>0.11285073642726481</v>
      </c>
      <c r="P900" s="1329">
        <f>IF(COUNT($H900:O900)&gt;='RFM input'!$AA$7,0, P586+P638+P690)</f>
        <v>0.10966859474560808</v>
      </c>
      <c r="Q900" s="1329">
        <f>IF(COUNT($H900:P900)&gt;='RFM input'!$AA$7,0, Q586+Q638+Q690)</f>
        <v>0.10648645306395135</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7.9377255785502125</v>
      </c>
      <c r="H901" s="1329">
        <f t="shared" si="78"/>
        <v>7.8650727172916781</v>
      </c>
      <c r="I901" s="1329">
        <f t="shared" si="78"/>
        <v>7.7979665876311053</v>
      </c>
      <c r="J901" s="1329">
        <f>IF(COUNT($H901:I901)&gt;='RFM input'!$AA$7,0, J587+J639+J691)</f>
        <v>7.6868747881573922</v>
      </c>
      <c r="K901" s="1329">
        <f>IF(COUNT($H901:J901)&gt;='RFM input'!$AA$7,0, K587+K639+K691)</f>
        <v>7.421035799638771</v>
      </c>
      <c r="L901" s="1329">
        <f>IF(COUNT($H901:K901)&gt;='RFM input'!$AA$7,0, L587+L639+L691)</f>
        <v>7.4682377466277705</v>
      </c>
      <c r="M901" s="1329">
        <f>IF(COUNT($H901:L901)&gt;='RFM input'!$AA$7,0, M587+M639+M691)</f>
        <v>8.1120166069317321</v>
      </c>
      <c r="N901" s="1329">
        <f>IF(COUNT($H901:M901)&gt;='RFM input'!$AA$7,0, N587+N639+N691)</f>
        <v>7.8402540716712048</v>
      </c>
      <c r="O901" s="1329">
        <f>IF(COUNT($H901:N901)&gt;='RFM input'!$AA$7,0, O587+O639+O691)</f>
        <v>7.5684915364106775</v>
      </c>
      <c r="P901" s="1329">
        <f>IF(COUNT($H901:O901)&gt;='RFM input'!$AA$7,0, P587+P639+P691)</f>
        <v>7.2967290011501502</v>
      </c>
      <c r="Q901" s="1329">
        <f>IF(COUNT($H901:P901)&gt;='RFM input'!$AA$7,0, Q587+Q639+Q691)</f>
        <v>7.0249664658896229</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0.1049274748379232</v>
      </c>
      <c r="H902" s="1329">
        <f t="shared" si="78"/>
        <v>0.10559747003844691</v>
      </c>
      <c r="I902" s="1329">
        <f t="shared" si="78"/>
        <v>0.10640618749945682</v>
      </c>
      <c r="J902" s="1329">
        <f>IF(COUNT($H902:I902)&gt;='RFM input'!$AA$7,0, J588+J640+J692)</f>
        <v>0.10668710386583365</v>
      </c>
      <c r="K902" s="1329">
        <f>IF(COUNT($H902:J902)&gt;='RFM input'!$AA$7,0, K588+K640+K692)</f>
        <v>0.10487879766287667</v>
      </c>
      <c r="L902" s="1329">
        <f>IF(COUNT($H902:K902)&gt;='RFM input'!$AA$7,0, L588+L640+L692)</f>
        <v>0.10748102892403578</v>
      </c>
      <c r="M902" s="1329">
        <f>IF(COUNT($H902:L902)&gt;='RFM input'!$AA$7,0, M588+M640+M692)</f>
        <v>0.11259887394197321</v>
      </c>
      <c r="N902" s="1329">
        <f>IF(COUNT($H902:M902)&gt;='RFM input'!$AA$7,0, N588+N640+N692)</f>
        <v>0.11102089486301529</v>
      </c>
      <c r="O902" s="1329">
        <f>IF(COUNT($H902:N902)&gt;='RFM input'!$AA$7,0, O588+O640+O692)</f>
        <v>0.10944291578405738</v>
      </c>
      <c r="P902" s="1329">
        <f>IF(COUNT($H902:O902)&gt;='RFM input'!$AA$7,0, P588+P640+P692)</f>
        <v>0.10786493670509946</v>
      </c>
      <c r="Q902" s="1329">
        <f>IF(COUNT($H902:P902)&gt;='RFM input'!$AA$7,0, Q588+Q640+Q692)</f>
        <v>0.10628695762614154</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1.8625275471170539</v>
      </c>
      <c r="H903" s="1329">
        <f t="shared" si="78"/>
        <v>1.7644379290462022</v>
      </c>
      <c r="I903" s="1329">
        <f t="shared" si="78"/>
        <v>1.7419832557380865</v>
      </c>
      <c r="J903" s="1329">
        <f>IF(COUNT($H903:I903)&gt;='RFM input'!$AA$7,0, J589+J641+J693)</f>
        <v>1.9791384339254914</v>
      </c>
      <c r="K903" s="1329">
        <f>IF(COUNT($H903:J903)&gt;='RFM input'!$AA$7,0, K589+K641+K693)</f>
        <v>2.0322983034726998</v>
      </c>
      <c r="L903" s="1329">
        <f>IF(COUNT($H903:K903)&gt;='RFM input'!$AA$7,0, L589+L641+L693)</f>
        <v>1.9190499303583297</v>
      </c>
      <c r="M903" s="1329">
        <f>IF(COUNT($H903:L903)&gt;='RFM input'!$AA$7,0, M589+M641+M693)</f>
        <v>1.8381955910638847</v>
      </c>
      <c r="N903" s="1329">
        <f>IF(COUNT($H903:M903)&gt;='RFM input'!$AA$7,0, N589+N641+N693)</f>
        <v>1.6272054982180402</v>
      </c>
      <c r="O903" s="1329">
        <f>IF(COUNT($H903:N903)&gt;='RFM input'!$AA$7,0, O589+O641+O693)</f>
        <v>1.4162154053721956</v>
      </c>
      <c r="P903" s="1329">
        <f>IF(COUNT($H903:O903)&gt;='RFM input'!$AA$7,0, P589+P641+P693)</f>
        <v>1.205225312526351</v>
      </c>
      <c r="Q903" s="1329">
        <f>IF(COUNT($H903:P903)&gt;='RFM input'!$AA$7,0, Q589+Q641+Q693)</f>
        <v>0.99423521968050643</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4.2455440809339686</v>
      </c>
      <c r="H904" s="1329">
        <f t="shared" si="78"/>
        <v>4.2595179959000582</v>
      </c>
      <c r="I904" s="1329">
        <f t="shared" si="78"/>
        <v>4.2785779442521621</v>
      </c>
      <c r="J904" s="1329">
        <f>IF(COUNT($H904:I904)&gt;='RFM input'!$AA$7,0, J590+J642+J694)</f>
        <v>4.2758500247493778</v>
      </c>
      <c r="K904" s="1329">
        <f>IF(COUNT($H904:J904)&gt;='RFM input'!$AA$7,0, K590+K642+K694)</f>
        <v>4.1889402362476016</v>
      </c>
      <c r="L904" s="1329">
        <f>IF(COUNT($H904:K904)&gt;='RFM input'!$AA$7,0, L590+L642+L694)</f>
        <v>4.2782928765466695</v>
      </c>
      <c r="M904" s="1329">
        <f>IF(COUNT($H904:L904)&gt;='RFM input'!$AA$7,0, M590+M642+M694)</f>
        <v>4.466664147690059</v>
      </c>
      <c r="N904" s="1329">
        <f>IF(COUNT($H904:M904)&gt;='RFM input'!$AA$7,0, N590+N642+N694)</f>
        <v>4.387564565486489</v>
      </c>
      <c r="O904" s="1329">
        <f>IF(COUNT($H904:N904)&gt;='RFM input'!$AA$7,0, O590+O642+O694)</f>
        <v>4.3084649832829189</v>
      </c>
      <c r="P904" s="1329">
        <f>IF(COUNT($H904:O904)&gt;='RFM input'!$AA$7,0, P590+P642+P694)</f>
        <v>4.2293654010793489</v>
      </c>
      <c r="Q904" s="1329">
        <f>IF(COUNT($H904:P904)&gt;='RFM input'!$AA$7,0, Q590+Q642+Q694)</f>
        <v>4.1502658188757788</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1.3471273640548568E-2</v>
      </c>
      <c r="H905" s="1329">
        <f t="shared" si="78"/>
        <v>1.3731767882216634E-2</v>
      </c>
      <c r="I905" s="1329">
        <f t="shared" si="78"/>
        <v>1.401707109928166E-2</v>
      </c>
      <c r="J905" s="1329">
        <f>IF(COUNT($H905:I905)&gt;='RFM input'!$AA$7,0, J591+J643+J695)</f>
        <v>1.4240351877854289E-2</v>
      </c>
      <c r="K905" s="1329">
        <f>IF(COUNT($H905:J905)&gt;='RFM input'!$AA$7,0, K591+K643+K695)</f>
        <v>1.4190733927060372E-2</v>
      </c>
      <c r="L905" s="1329">
        <f>IF(COUNT($H905:K905)&gt;='RFM input'!$AA$7,0, L591+L643+L695)</f>
        <v>1.473653138579346E-2</v>
      </c>
      <c r="M905" s="1329">
        <f>IF(COUNT($H905:L905)&gt;='RFM input'!$AA$7,0, M591+M643+M695)</f>
        <v>1.5642058987782453E-2</v>
      </c>
      <c r="N905" s="1329">
        <f>IF(COUNT($H905:M905)&gt;='RFM input'!$AA$7,0, N591+N643+N695)</f>
        <v>1.5642058987782453E-2</v>
      </c>
      <c r="O905" s="1329">
        <f>IF(COUNT($H905:N905)&gt;='RFM input'!$AA$7,0, O591+O643+O695)</f>
        <v>1.5642058987782453E-2</v>
      </c>
      <c r="P905" s="1329">
        <f>IF(COUNT($H905:O905)&gt;='RFM input'!$AA$7,0, P591+P643+P695)</f>
        <v>1.5642058987782453E-2</v>
      </c>
      <c r="Q905" s="1329">
        <f>IF(COUNT($H905:P905)&gt;='RFM input'!$AA$7,0, Q591+Q643+Q695)</f>
        <v>1.5642058987782453E-2</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6.7790268728406859</v>
      </c>
      <c r="H906" s="1329">
        <f t="shared" si="78"/>
        <v>6.8300150296711521</v>
      </c>
      <c r="I906" s="1329">
        <f t="shared" si="78"/>
        <v>7.2319741683185343</v>
      </c>
      <c r="J906" s="1329">
        <f>IF(COUNT($H906:I906)&gt;='RFM input'!$AA$7,0, J592+J644+J696)</f>
        <v>7.4514736252754599</v>
      </c>
      <c r="K906" s="1329">
        <f>IF(COUNT($H906:J906)&gt;='RFM input'!$AA$7,0, K592+K644+K696)</f>
        <v>7.4157211143520954</v>
      </c>
      <c r="L906" s="1329">
        <f>IF(COUNT($H906:K906)&gt;='RFM input'!$AA$7,0, L592+L644+L696)</f>
        <v>7.6775560607276239</v>
      </c>
      <c r="M906" s="1329">
        <f>IF(COUNT($H906:L906)&gt;='RFM input'!$AA$7,0, M592+M644+M696)</f>
        <v>7.9207733653341315</v>
      </c>
      <c r="N906" s="1329">
        <f>IF(COUNT($H906:M906)&gt;='RFM input'!$AA$7,0, N592+N644+N696)</f>
        <v>7.8027931087750062</v>
      </c>
      <c r="O906" s="1329">
        <f>IF(COUNT($H906:N906)&gt;='RFM input'!$AA$7,0, O592+O644+O696)</f>
        <v>7.684812852215881</v>
      </c>
      <c r="P906" s="1329">
        <f>IF(COUNT($H906:O906)&gt;='RFM input'!$AA$7,0, P592+P644+P696)</f>
        <v>7.5668325956567557</v>
      </c>
      <c r="Q906" s="1329">
        <f>IF(COUNT($H906:P906)&gt;='RFM input'!$AA$7,0, Q592+Q644+Q696)</f>
        <v>7.4488523390976304</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0.57276504242855342</v>
      </c>
      <c r="H907" s="1329">
        <f t="shared" si="78"/>
        <v>0.1300169418297068</v>
      </c>
      <c r="I907" s="1329">
        <f t="shared" si="78"/>
        <v>7.2822686491266636E-3</v>
      </c>
      <c r="J907" s="1329">
        <f>IF(COUNT($H907:I907)&gt;='RFM input'!$AA$7,0, J593+J645+J697)</f>
        <v>7.0349728225792474E-3</v>
      </c>
      <c r="K907" s="1329">
        <f>IF(COUNT($H907:J907)&gt;='RFM input'!$AA$7,0, K593+K645+K697)</f>
        <v>1.0541200945665214</v>
      </c>
      <c r="L907" s="1329">
        <f>IF(COUNT($H907:K907)&gt;='RFM input'!$AA$7,0, L593+L645+L697)</f>
        <v>0.88552959067595327</v>
      </c>
      <c r="M907" s="1329">
        <f>IF(COUNT($H907:L907)&gt;='RFM input'!$AA$7,0, M593+M645+M697)</f>
        <v>0.72276625429668706</v>
      </c>
      <c r="N907" s="1329">
        <f>IF(COUNT($H907:M907)&gt;='RFM input'!$AA$7,0, N593+N645+N697)</f>
        <v>0.49224399947184772</v>
      </c>
      <c r="O907" s="1329">
        <f>IF(COUNT($H907:N907)&gt;='RFM input'!$AA$7,0, O593+O645+O697)</f>
        <v>0.26212715789465513</v>
      </c>
      <c r="P907" s="1329">
        <f>IF(COUNT($H907:O907)&gt;='RFM input'!$AA$7,0, P593+P645+P697)</f>
        <v>3.2010316317462512E-2</v>
      </c>
      <c r="Q907" s="1329">
        <f>IF(COUNT($H907:P907)&gt;='RFM input'!$AA$7,0, Q593+Q645+Q697)</f>
        <v>3.2010314929476862E-2</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1.4959406270712703</v>
      </c>
      <c r="H908" s="1329">
        <f t="shared" ref="H908:I917" si="80">H594+H646+H698</f>
        <v>1.2933717281036052</v>
      </c>
      <c r="I908" s="1329">
        <f t="shared" si="80"/>
        <v>1.0842715818385222</v>
      </c>
      <c r="J908" s="1329">
        <f>IF(COUNT($H908:I908)&gt;='RFM input'!$AA$7,0, J594+J646+J698)</f>
        <v>0.8606680280343445</v>
      </c>
      <c r="K908" s="1329">
        <f>IF(COUNT($H908:J908)&gt;='RFM input'!$AA$7,0, K594+K646+K698)</f>
        <v>0.6129570991299903</v>
      </c>
      <c r="L908" s="1329">
        <f>IF(COUNT($H908:K908)&gt;='RFM input'!$AA$7,0, L594+L646+L698)</f>
        <v>0.39267294192287916</v>
      </c>
      <c r="M908" s="1329">
        <f>IF(COUNT($H908:L908)&gt;='RFM input'!$AA$7,0, M594+M646+M698)</f>
        <v>0.16356319571245023</v>
      </c>
      <c r="N908" s="1329">
        <f>IF(COUNT($H908:M908)&gt;='RFM input'!$AA$7,0, N594+N646+N698)</f>
        <v>2.1587646361771351E-2</v>
      </c>
      <c r="O908" s="1329">
        <f>IF(COUNT($H908:N908)&gt;='RFM input'!$AA$7,0, O594+O646+O698)</f>
        <v>2.1587646361771351E-2</v>
      </c>
      <c r="P908" s="1329">
        <f>IF(COUNT($H908:O908)&gt;='RFM input'!$AA$7,0, P594+P646+P698)</f>
        <v>2.1587646361771351E-2</v>
      </c>
      <c r="Q908" s="1329">
        <f>IF(COUNT($H908:P908)&gt;='RFM input'!$AA$7,0, Q594+Q646+Q698)</f>
        <v>2.1587646361771351E-2</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3.6617975869025572</v>
      </c>
      <c r="H909" s="1329">
        <f t="shared" si="80"/>
        <v>3.4777665644108753</v>
      </c>
      <c r="I909" s="1329">
        <f t="shared" si="80"/>
        <v>3.5641296312883304</v>
      </c>
      <c r="J909" s="1329">
        <f>IF(COUNT($H909:I909)&gt;='RFM input'!$AA$7,0, J595+J647+J699)</f>
        <v>3.9988520443834918</v>
      </c>
      <c r="K909" s="1329">
        <f>IF(COUNT($H909:J909)&gt;='RFM input'!$AA$7,0, K595+K647+K699)</f>
        <v>3.4880154774435397</v>
      </c>
      <c r="L909" s="1329">
        <f>IF(COUNT($H909:K909)&gt;='RFM input'!$AA$7,0, L595+L647+L699)</f>
        <v>3.1335195112611229</v>
      </c>
      <c r="M909" s="1329">
        <f>IF(COUNT($H909:L909)&gt;='RFM input'!$AA$7,0, M595+M647+M699)</f>
        <v>5.4639335440261352</v>
      </c>
      <c r="N909" s="1329">
        <f>IF(COUNT($H909:M909)&gt;='RFM input'!$AA$7,0, N595+N647+N699)</f>
        <v>3.8130388553076191</v>
      </c>
      <c r="O909" s="1329">
        <f>IF(COUNT($H909:N909)&gt;='RFM input'!$AA$7,0, O595+O647+O699)</f>
        <v>2.3949479062652923</v>
      </c>
      <c r="P909" s="1329">
        <f>IF(COUNT($H909:O909)&gt;='RFM input'!$AA$7,0, P595+P647+P699)</f>
        <v>1.3373605772339348</v>
      </c>
      <c r="Q909" s="1329">
        <f>IF(COUNT($H909:P909)&gt;='RFM input'!$AA$7,0, Q595+Q647+Q699)</f>
        <v>0.51886190200881255</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0</v>
      </c>
      <c r="H910" s="1329">
        <f t="shared" si="80"/>
        <v>0</v>
      </c>
      <c r="I910" s="1329">
        <f t="shared" si="80"/>
        <v>0</v>
      </c>
      <c r="J910" s="1329">
        <f>IF(COUNT($H910:I910)&gt;='RFM input'!$AA$7,0, J596+J648+J700)</f>
        <v>0</v>
      </c>
      <c r="K910" s="1329">
        <f>IF(COUNT($H910:J910)&gt;='RFM input'!$AA$7,0, K596+K648+K700)</f>
        <v>0.887231891481851</v>
      </c>
      <c r="L910" s="1329">
        <f>IF(COUNT($H910:K910)&gt;='RFM input'!$AA$7,0, L596+L648+L700)</f>
        <v>0.95121229850342703</v>
      </c>
      <c r="M910" s="1329">
        <f>IF(COUNT($H910:L910)&gt;='RFM input'!$AA$7,0, M596+M648+M700)</f>
        <v>1.0243107089885035</v>
      </c>
      <c r="N910" s="1329">
        <f>IF(COUNT($H910:M910)&gt;='RFM input'!$AA$7,0, N596+N648+N700)</f>
        <v>0.73262827186180646</v>
      </c>
      <c r="O910" s="1329">
        <f>IF(COUNT($H910:N910)&gt;='RFM input'!$AA$7,0, O596+O648+O700)</f>
        <v>0.44094583473510934</v>
      </c>
      <c r="P910" s="1329">
        <f>IF(COUNT($H910:O910)&gt;='RFM input'!$AA$7,0, P596+P648+P700)</f>
        <v>0.14926339760841223</v>
      </c>
      <c r="Q910" s="1329">
        <f>IF(COUNT($H910:P910)&gt;='RFM input'!$AA$7,0, Q596+Q648+Q700)</f>
        <v>5.2493750579034618E-2</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9.6599739523653643</v>
      </c>
      <c r="H911" s="1329">
        <f t="shared" si="80"/>
        <v>7.4070639794274857</v>
      </c>
      <c r="I911" s="1329">
        <f t="shared" si="80"/>
        <v>5.0740779513216054</v>
      </c>
      <c r="J911" s="1329">
        <f>IF(COUNT($H911:I911)&gt;='RFM input'!$AA$7,0, J597+J649+J701)</f>
        <v>2.616352677326331</v>
      </c>
      <c r="K911" s="1329">
        <f>IF(COUNT($H911:J911)&gt;='RFM input'!$AA$7,0, K597+K649+K701)</f>
        <v>2.8248071182555012E-2</v>
      </c>
      <c r="L911" s="1329">
        <f>IF(COUNT($H911:K911)&gt;='RFM input'!$AA$7,0, L597+L649+L701)</f>
        <v>2.9334535458807126E-2</v>
      </c>
      <c r="M911" s="1329">
        <f>IF(COUNT($H911:L911)&gt;='RFM input'!$AA$7,0, M597+M649+M701)</f>
        <v>3.1137078462589046E-2</v>
      </c>
      <c r="N911" s="1329">
        <f>IF(COUNT($H911:M911)&gt;='RFM input'!$AA$7,0, N597+N649+N701)</f>
        <v>3.1137078462589046E-2</v>
      </c>
      <c r="O911" s="1329">
        <f>IF(COUNT($H911:N911)&gt;='RFM input'!$AA$7,0, O597+O649+O701)</f>
        <v>3.1137078462589046E-2</v>
      </c>
      <c r="P911" s="1329">
        <f>IF(COUNT($H911:O911)&gt;='RFM input'!$AA$7,0, P597+P649+P701)</f>
        <v>3.1137078462589046E-2</v>
      </c>
      <c r="Q911" s="1329">
        <f>IF(COUNT($H911:P911)&gt;='RFM input'!$AA$7,0, Q597+Q649+Q701)</f>
        <v>3.1137078462589046E-2</v>
      </c>
      <c r="R911" s="1322"/>
      <c r="S911" s="75"/>
      <c r="T911" s="75"/>
      <c r="U911" s="75"/>
      <c r="V911" s="75"/>
      <c r="W911" s="75"/>
      <c r="X911" s="75"/>
      <c r="Y911" s="75"/>
      <c r="Z911" s="75"/>
      <c r="AA911" s="172"/>
    </row>
    <row r="912" spans="1:27" hidden="1" outlineLevel="1">
      <c r="A912" s="3"/>
      <c r="B912" s="4"/>
      <c r="C912" s="29"/>
      <c r="D912" s="153">
        <f>Asset15</f>
        <v>0</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v>
      </c>
      <c r="O912" s="1329">
        <f>IF(COUNT($H912:N912)&gt;='RFM input'!$AA$7,0, O598+O650+O702)</f>
        <v>0</v>
      </c>
      <c r="P912" s="1329">
        <f>IF(COUNT($H912:O912)&gt;='RFM input'!$AA$7,0, P598+P650+P702)</f>
        <v>0</v>
      </c>
      <c r="Q912" s="1329">
        <f>IF(COUNT($H912:P912)&gt;='RFM input'!$AA$7,0, Q598+Q650+Q702)</f>
        <v>0</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0</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0</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f>Asset15</f>
        <v>0</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0</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0</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f>Asset15</f>
        <v>0</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f>Asset15</f>
        <v>0</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287.9494721418788</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234.49823342747163</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32.948412708844032</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0.10648645306395135</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7.0249664658896229</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0.10628695762614154</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0.99423521968050643</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4.1502658188757788</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1.5642058987782453E-2</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7.4488523390976304</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3.2010314929476862E-2</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2.1587646361771351E-2</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0.51886190200881255</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5.2493750579034618E-2</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3.1137078462589046E-2</v>
      </c>
      <c r="R1119" s="1269"/>
      <c r="S1119" s="3"/>
      <c r="T1119" s="3"/>
      <c r="U1119" s="3"/>
      <c r="V1119" s="3"/>
      <c r="W1119" s="3"/>
      <c r="X1119" s="3"/>
      <c r="Y1119" s="3"/>
      <c r="Z1119" s="3"/>
      <c r="AA1119" s="172"/>
    </row>
    <row r="1120" spans="1:27" hidden="1" outlineLevel="1">
      <c r="A1120" s="3"/>
      <c r="B1120" s="3"/>
      <c r="C1120" s="3"/>
      <c r="D1120" s="153">
        <f>Asset15</f>
        <v>0</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6">
      <c r="A2" s="3"/>
      <c r="B2" s="203" t="str">
        <f>'DMS input'!$C$16&amp;" - Tax Asset Roll Forward"&amp;" - TNSP RFM - version "&amp;Intro!$M$4</f>
        <v>Carpentaria Gas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6">
      <c r="A4" s="58"/>
      <c r="B4" s="59" t="s">
        <v>2</v>
      </c>
      <c r="C4" s="58"/>
      <c r="D4" s="58"/>
      <c r="E4" s="58"/>
      <c r="F4" s="58"/>
      <c r="G4" s="58"/>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61.758396381480075</v>
      </c>
      <c r="I7" s="1306">
        <f t="shared" ref="I7:R7" si="1">SUM(I8:I57)</f>
        <v>53.509770094292982</v>
      </c>
      <c r="J7" s="1306">
        <f t="shared" si="1"/>
        <v>45.347535892701721</v>
      </c>
      <c r="K7" s="1306">
        <f t="shared" si="1"/>
        <v>37.974416336715798</v>
      </c>
      <c r="L7" s="1306">
        <f t="shared" si="1"/>
        <v>34.101242297286106</v>
      </c>
      <c r="M7" s="1306">
        <f t="shared" si="1"/>
        <v>31.475150294274673</v>
      </c>
      <c r="N7" s="1306">
        <f t="shared" si="1"/>
        <v>30.31803102488885</v>
      </c>
      <c r="O7" s="1306">
        <f t="shared" si="1"/>
        <v>25.102997448137774</v>
      </c>
      <c r="P7" s="1306">
        <f t="shared" si="1"/>
        <v>20.181200988587005</v>
      </c>
      <c r="Q7" s="1306">
        <f t="shared" si="1"/>
        <v>15.834345473942715</v>
      </c>
      <c r="R7" s="1306">
        <f t="shared" si="1"/>
        <v>12.050104306879582</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20.927529960699765</v>
      </c>
      <c r="I8" s="1272">
        <f>H8+H60+H124</f>
        <v>15.335197466116078</v>
      </c>
      <c r="J8" s="1272">
        <f>I8+I60+I124</f>
        <v>9.7428649715323914</v>
      </c>
      <c r="K8" s="1272">
        <f>IF(COUNT($H8:J8)&gt;'RFM input'!$AA$7,0, J8+J60+J124+IF(K$111=0,'RFM input'!$I$515,0))</f>
        <v>4.1675604669487045</v>
      </c>
      <c r="L8" s="1272">
        <f>IF(COUNT($H8:K8)&gt;'RFM input'!$AA$7,0, K8+K60+K124+IF(L$111=0,'RFM input'!$I$515,0))</f>
        <v>1.3444887405000028</v>
      </c>
      <c r="M8" s="1272">
        <f>IF(COUNT($H8:L8)&gt;'RFM input'!$AA$7,0, L8+L60+L124+IF(M$111=0,'RFM input'!$I$515,0))</f>
        <v>1.8949387635000028</v>
      </c>
      <c r="N8" s="1272">
        <f>IF(COUNT($H8:M8)&gt;'RFM input'!$AA$7,0, M8+M60+M124+IF(N$111=0,'RFM input'!$I$515,0))</f>
        <v>1.7967859050000028</v>
      </c>
      <c r="O8" s="1272">
        <f>IF(COUNT($H8:N8)&gt;'RFM input'!$AA$7,0, N8+N60+N124+IF(O$111=0,'RFM input'!$I$515,0))</f>
        <v>1.6986330465000028</v>
      </c>
      <c r="P8" s="1272">
        <f>IF(COUNT($H8:O8)&gt;'RFM input'!$AA$7,0, O8+O60+O124+IF(P$111=0,'RFM input'!$I$515,0))</f>
        <v>1.6004801880000028</v>
      </c>
      <c r="Q8" s="1272">
        <f>IF(COUNT($H8:P8)&gt;'RFM input'!$AA$7,0, P8+P60+P124+IF(Q$111=0,'RFM input'!$I$515,0))</f>
        <v>1.5023273295000028</v>
      </c>
      <c r="R8" s="1272">
        <f>IF(COUNT($H8:Q8)&gt;'RFM input'!$AA$7,0, Q8+Q60+Q124+IF(R$111=0,'RFM input'!$I$515,0))</f>
        <v>1.4041744710000028</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26.111481568902246</v>
      </c>
      <c r="I9" s="1272">
        <f>H9+H61+H137</f>
        <v>24.562293578940249</v>
      </c>
      <c r="J9" s="1272">
        <f>I9+I61+I137</f>
        <v>22.408256180978253</v>
      </c>
      <c r="K9" s="1272">
        <f>IF(COUNT($H9:J9)&gt;'RFM input'!$AA$7,0, J9+J61+J137+IF(K$111=0,'RFM input'!$I$516,0))</f>
        <v>20.541739951516256</v>
      </c>
      <c r="L9" s="1272">
        <f>IF(COUNT($H9:K9)&gt;'RFM input'!$AA$7,0, K9+K61+K137+IF(L$111=0,'RFM input'!$I$516,0))</f>
        <v>18.57562975655426</v>
      </c>
      <c r="M9" s="1272">
        <f>IF(COUNT($H9:L9)&gt;'RFM input'!$AA$7,0, L9+L61+L137+IF(M$111=0,'RFM input'!$I$516,0))</f>
        <v>16.993394408092264</v>
      </c>
      <c r="N9" s="1272">
        <f>IF(COUNT($H9:M9)&gt;'RFM input'!$AA$7,0, M9+M61+M137+IF(N$111=0,'RFM input'!$I$516,0))</f>
        <v>14.775154193630268</v>
      </c>
      <c r="O9" s="1272">
        <f>IF(COUNT($H9:N9)&gt;'RFM input'!$AA$7,0, N9+N61+N137+IF(O$111=0,'RFM input'!$I$516,0))</f>
        <v>12.556913979168272</v>
      </c>
      <c r="P9" s="1272">
        <f>IF(COUNT($H9:O9)&gt;'RFM input'!$AA$7,0, O9+O61+O137+IF(P$111=0,'RFM input'!$I$516,0))</f>
        <v>10.338673764706275</v>
      </c>
      <c r="Q9" s="1272">
        <f>IF(COUNT($H9:P9)&gt;'RFM input'!$AA$7,0, P9+P61+P137+IF(Q$111=0,'RFM input'!$I$516,0))</f>
        <v>8.1204335502442788</v>
      </c>
      <c r="R9" s="1272">
        <f>IF(COUNT($H9:Q9)&gt;'RFM input'!$AA$7,0, Q9+Q61+Q137+IF(R$111=0,'RFM input'!$I$516,0))</f>
        <v>5.9021933357822824</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7.9006287693868041E-2</v>
      </c>
      <c r="I10" s="1272">
        <f>H10+H62+H150</f>
        <v>7.3699523594504754E-2</v>
      </c>
      <c r="J10" s="1272">
        <f>I10+I62+I150</f>
        <v>6.8392759495141467E-2</v>
      </c>
      <c r="K10" s="1272">
        <f>IF(COUNT($H10:J10)&gt;'RFM input'!$AA$7,0, J10+J62+J150+IF(K$111=0,'RFM input'!$I$517,0))</f>
        <v>6.308599539577818E-2</v>
      </c>
      <c r="L10" s="1272">
        <f>IF(COUNT($H10:K10)&gt;'RFM input'!$AA$7,0, K10+K62+K150+IF(L$111=0,'RFM input'!$I$517,0))</f>
        <v>5.77792312964149E-2</v>
      </c>
      <c r="M10" s="1272">
        <f>IF(COUNT($H10:L10)&gt;'RFM input'!$AA$7,0, L10+L62+L150+IF(M$111=0,'RFM input'!$I$517,0))</f>
        <v>5.247246719705162E-2</v>
      </c>
      <c r="N10" s="1272">
        <f>IF(COUNT($H10:M10)&gt;'RFM input'!$AA$7,0, M10+M62+M150+IF(N$111=0,'RFM input'!$I$517,0))</f>
        <v>4.716570309768834E-2</v>
      </c>
      <c r="O10" s="1272">
        <f>IF(COUNT($H10:N10)&gt;'RFM input'!$AA$7,0, N10+N62+N150+IF(O$111=0,'RFM input'!$I$517,0))</f>
        <v>4.185893899832506E-2</v>
      </c>
      <c r="P10" s="1272">
        <f>IF(COUNT($H10:O10)&gt;'RFM input'!$AA$7,0, O10+O62+O150+IF(P$111=0,'RFM input'!$I$517,0))</f>
        <v>3.655217489896178E-2</v>
      </c>
      <c r="Q10" s="1272">
        <f>IF(COUNT($H10:P10)&gt;'RFM input'!$AA$7,0, P10+P62+P150+IF(Q$111=0,'RFM input'!$I$517,0))</f>
        <v>3.12454107995985E-2</v>
      </c>
      <c r="R10" s="1272">
        <f>IF(COUNT($H10:Q10)&gt;'RFM input'!$AA$7,0, Q10+Q62+Q150+IF(R$111=0,'RFM input'!$I$517,0))</f>
        <v>2.593864670023522E-2</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2.0957609108168089</v>
      </c>
      <c r="I11" s="1272">
        <f>H11+H63+H163</f>
        <v>1.9296081248221004</v>
      </c>
      <c r="J11" s="1272">
        <f>I11+I63+I163</f>
        <v>1.7634553388273919</v>
      </c>
      <c r="K11" s="1272">
        <f>IF(COUNT($H11:J11)&gt;'RFM input'!$AA$7,0, J11+J63+J163+IF(K$111=0,'RFM input'!$I$518,0))</f>
        <v>1.5973025528326834</v>
      </c>
      <c r="L11" s="1272">
        <f>IF(COUNT($H11:K11)&gt;'RFM input'!$AA$7,0, K11+K63+K163+IF(L$111=0,'RFM input'!$I$518,0))</f>
        <v>1.4311497668379749</v>
      </c>
      <c r="M11" s="1272">
        <f>IF(COUNT($H11:L11)&gt;'RFM input'!$AA$7,0, L11+L63+L163+IF(M$111=0,'RFM input'!$I$518,0))</f>
        <v>1.2649969808432664</v>
      </c>
      <c r="N11" s="1272">
        <f>IF(COUNT($H11:M11)&gt;'RFM input'!$AA$7,0, M11+M63+M163+IF(N$111=0,'RFM input'!$I$518,0))</f>
        <v>1.5128962248485578</v>
      </c>
      <c r="O11" s="1272">
        <f>IF(COUNT($H11:N11)&gt;'RFM input'!$AA$7,0, N11+N63+N163+IF(O$111=0,'RFM input'!$I$518,0))</f>
        <v>1.3260408373538493</v>
      </c>
      <c r="P11" s="1272">
        <f>IF(COUNT($H11:O11)&gt;'RFM input'!$AA$7,0, O11+O63+O163+IF(P$111=0,'RFM input'!$I$518,0))</f>
        <v>1.1391854498591407</v>
      </c>
      <c r="Q11" s="1272">
        <f>IF(COUNT($H11:P11)&gt;'RFM input'!$AA$7,0, P11+P63+P163+IF(Q$111=0,'RFM input'!$I$518,0))</f>
        <v>0.95233006236443218</v>
      </c>
      <c r="R11" s="1272">
        <f>IF(COUNT($H11:Q11)&gt;'RFM input'!$AA$7,0, Q11+Q63+Q163+IF(R$111=0,'RFM input'!$I$518,0))</f>
        <v>0.76547467486972365</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9.0892655999999988E-2</v>
      </c>
      <c r="I12" s="1272">
        <f>H12+H64+H176</f>
        <v>8.5843063999999983E-2</v>
      </c>
      <c r="J12" s="1272">
        <f>I12+I64+I176</f>
        <v>8.0793471999999977E-2</v>
      </c>
      <c r="K12" s="1272">
        <f>IF(COUNT($H12:J12)&gt;'RFM input'!$AA$7,0, J12+J64+J176+IF(K$111=0,'RFM input'!$I$519,0))</f>
        <v>7.5743879999999972E-2</v>
      </c>
      <c r="L12" s="1272">
        <f>IF(COUNT($H12:K12)&gt;'RFM input'!$AA$7,0, K12+K64+K176+IF(L$111=0,'RFM input'!$I$519,0))</f>
        <v>7.0694287999999966E-2</v>
      </c>
      <c r="M12" s="1272">
        <f>IF(COUNT($H12:L12)&gt;'RFM input'!$AA$7,0, L12+L64+L176+IF(M$111=0,'RFM input'!$I$519,0))</f>
        <v>6.5644695999999961E-2</v>
      </c>
      <c r="N12" s="1272">
        <f>IF(COUNT($H12:M12)&gt;'RFM input'!$AA$7,0, M12+M64+M176+IF(N$111=0,'RFM input'!$I$519,0))</f>
        <v>6.0595103999999962E-2</v>
      </c>
      <c r="O12" s="1272">
        <f>IF(COUNT($H12:N12)&gt;'RFM input'!$AA$7,0, N12+N64+N176+IF(O$111=0,'RFM input'!$I$519,0))</f>
        <v>5.5545511999999964E-2</v>
      </c>
      <c r="P12" s="1272">
        <f>IF(COUNT($H12:O12)&gt;'RFM input'!$AA$7,0, O12+O64+O176+IF(P$111=0,'RFM input'!$I$519,0))</f>
        <v>5.0495919999999965E-2</v>
      </c>
      <c r="Q12" s="1272">
        <f>IF(COUNT($H12:P12)&gt;'RFM input'!$AA$7,0, P12+P64+P176+IF(Q$111=0,'RFM input'!$I$519,0))</f>
        <v>4.5446327999999966E-2</v>
      </c>
      <c r="R12" s="1272">
        <f>IF(COUNT($H12:Q12)&gt;'RFM input'!$AA$7,0, Q12+Q64+Q176+IF(R$111=0,'RFM input'!$I$519,0))</f>
        <v>4.0396735999999968E-2</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1.6442643290000001</v>
      </c>
      <c r="I13" s="1272">
        <f>H13+H65+H189</f>
        <v>1.4666752776512584</v>
      </c>
      <c r="J13" s="1272">
        <f>I13+I65+I189</f>
        <v>1.3646805513025169</v>
      </c>
      <c r="K13" s="1272">
        <f>IF(COUNT($H13:J13)&gt;'RFM input'!$AA$7,0, J13+J65+J189+IF(K$111=0,'RFM input'!$I$520,0))</f>
        <v>1.5254019969537753</v>
      </c>
      <c r="L13" s="1272">
        <f>IF(COUNT($H13:K13)&gt;'RFM input'!$AA$7,0, K13+K65+K189+IF(L$111=0,'RFM input'!$I$520,0))</f>
        <v>1.5345708366050339</v>
      </c>
      <c r="M13" s="1272">
        <f>IF(COUNT($H13:L13)&gt;'RFM input'!$AA$7,0, L13+L65+L189+IF(M$111=0,'RFM input'!$I$520,0))</f>
        <v>1.2861514112562924</v>
      </c>
      <c r="N13" s="1272">
        <f>IF(COUNT($H13:M13)&gt;'RFM input'!$AA$7,0, M13+M65+M189+IF(N$111=0,'RFM input'!$I$520,0))</f>
        <v>1.0377319859075509</v>
      </c>
      <c r="O13" s="1272">
        <f>IF(COUNT($H13:N13)&gt;'RFM input'!$AA$7,0, N13+N65+N189+IF(O$111=0,'RFM input'!$I$520,0))</f>
        <v>0.78931256055880938</v>
      </c>
      <c r="P13" s="1272">
        <f>IF(COUNT($H13:O13)&gt;'RFM input'!$AA$7,0, O13+O65+O189+IF(P$111=0,'RFM input'!$I$520,0))</f>
        <v>0.54089313521006788</v>
      </c>
      <c r="Q13" s="1272">
        <f>IF(COUNT($H13:P13)&gt;'RFM input'!$AA$7,0, P13+P65+P189+IF(Q$111=0,'RFM input'!$I$520,0))</f>
        <v>0.29247370986132637</v>
      </c>
      <c r="R13" s="1272">
        <f>IF(COUNT($H13:Q13)&gt;'RFM input'!$AA$7,0, Q13+Q65+Q189+IF(R$111=0,'RFM input'!$I$520,0))</f>
        <v>0.21525096899999963</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1.8821231995618855</v>
      </c>
      <c r="I14" s="1272">
        <f>H14+H66+H202</f>
        <v>1.8007048870664852</v>
      </c>
      <c r="J14" s="1272">
        <f>I14+I66+I202</f>
        <v>1.719286574571085</v>
      </c>
      <c r="K14" s="1272">
        <f>IF(COUNT($H14:J14)&gt;'RFM input'!$AA$7,0, J14+J66+J202+IF(K$111=0,'RFM input'!$I$521,0))</f>
        <v>1.6378682620756848</v>
      </c>
      <c r="L14" s="1272">
        <f>IF(COUNT($H14:K14)&gt;'RFM input'!$AA$7,0, K14+K66+K202+IF(L$111=0,'RFM input'!$I$521,0))</f>
        <v>1.5564499495802846</v>
      </c>
      <c r="M14" s="1272">
        <f>IF(COUNT($H14:L14)&gt;'RFM input'!$AA$7,0, L14+L66+L202+IF(M$111=0,'RFM input'!$I$521,0))</f>
        <v>1.4750316370848844</v>
      </c>
      <c r="N14" s="1272">
        <f>IF(COUNT($H14:M14)&gt;'RFM input'!$AA$7,0, M14+M66+M202+IF(N$111=0,'RFM input'!$I$521,0))</f>
        <v>1.3936133245894842</v>
      </c>
      <c r="O14" s="1272">
        <f>IF(COUNT($H14:N14)&gt;'RFM input'!$AA$7,0, N14+N66+N202+IF(O$111=0,'RFM input'!$I$521,0))</f>
        <v>1.312195012094084</v>
      </c>
      <c r="P14" s="1272">
        <f>IF(COUNT($H14:O14)&gt;'RFM input'!$AA$7,0, O14+O66+O202+IF(P$111=0,'RFM input'!$I$521,0))</f>
        <v>1.2307766995986837</v>
      </c>
      <c r="Q14" s="1272">
        <f>IF(COUNT($H14:P14)&gt;'RFM input'!$AA$7,0, P14+P66+P202+IF(Q$111=0,'RFM input'!$I$521,0))</f>
        <v>1.1493583871032835</v>
      </c>
      <c r="R14" s="1272">
        <f>IF(COUNT($H14:Q14)&gt;'RFM input'!$AA$7,0, Q14+Q66+Q202+IF(R$111=0,'RFM input'!$I$521,0))</f>
        <v>1.0679400746078833</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7.9469999999999992E-3</v>
      </c>
      <c r="I15" s="1272">
        <f>H15+H67+H215</f>
        <v>7.9469999999999992E-3</v>
      </c>
      <c r="J15" s="1272">
        <f>I15+I67+I215</f>
        <v>7.9469999999999992E-3</v>
      </c>
      <c r="K15" s="1272">
        <f>IF(COUNT($H15:J15)&gt;'RFM input'!$AA$7,0, J15+J67+J215+IF(K$111=0,'RFM input'!$I$522,0))</f>
        <v>7.9469999999999992E-3</v>
      </c>
      <c r="L15" s="1272">
        <f>IF(COUNT($H15:K15)&gt;'RFM input'!$AA$7,0, K15+K67+K215+IF(L$111=0,'RFM input'!$I$522,0))</f>
        <v>7.9469999999999992E-3</v>
      </c>
      <c r="M15" s="1272">
        <f>IF(COUNT($H15:L15)&gt;'RFM input'!$AA$7,0, L15+L67+L215+IF(M$111=0,'RFM input'!$I$522,0))</f>
        <v>7.9469999999999992E-3</v>
      </c>
      <c r="N15" s="1272">
        <f>IF(COUNT($H15:M15)&gt;'RFM input'!$AA$7,0, M15+M67+M215+IF(N$111=0,'RFM input'!$I$522,0))</f>
        <v>7.9469999999999992E-3</v>
      </c>
      <c r="O15" s="1272">
        <f>IF(COUNT($H15:N15)&gt;'RFM input'!$AA$7,0, N15+N67+N215+IF(O$111=0,'RFM input'!$I$522,0))</f>
        <v>7.9469999999999992E-3</v>
      </c>
      <c r="P15" s="1272">
        <f>IF(COUNT($H15:O15)&gt;'RFM input'!$AA$7,0, O15+O67+O215+IF(P$111=0,'RFM input'!$I$522,0))</f>
        <v>7.9469999999999992E-3</v>
      </c>
      <c r="Q15" s="1272">
        <f>IF(COUNT($H15:P15)&gt;'RFM input'!$AA$7,0, P15+P67+P215+IF(Q$111=0,'RFM input'!$I$522,0))</f>
        <v>7.9469999999999992E-3</v>
      </c>
      <c r="R15" s="1272">
        <f>IF(COUNT($H15:Q15)&gt;'RFM input'!$AA$7,0, Q15+Q67+Q215+IF(R$111=0,'RFM input'!$I$522,0))</f>
        <v>7.9469999999999992E-3</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4.1585903412384777</v>
      </c>
      <c r="I16" s="1272">
        <f>H16+H68+H228</f>
        <v>3.9138017374123768</v>
      </c>
      <c r="J16" s="1272">
        <f>I16+I68+I228</f>
        <v>4.001929692586276</v>
      </c>
      <c r="K16" s="1272">
        <f>IF(COUNT($H16:J16)&gt;'RFM input'!$AA$7,0, J16+J68+J228+IF(K$111=0,'RFM input'!$I$523,0))</f>
        <v>3.9275705977601749</v>
      </c>
      <c r="L16" s="1272">
        <f>IF(COUNT($H16:K16)&gt;'RFM input'!$AA$7,0, K16+K68+K228+IF(L$111=0,'RFM input'!$I$523,0))</f>
        <v>3.7372005064340743</v>
      </c>
      <c r="M16" s="1272">
        <f>IF(COUNT($H16:L16)&gt;'RFM input'!$AA$7,0, L16+L68+L228+IF(M$111=0,'RFM input'!$I$523,0))</f>
        <v>3.5279929626079731</v>
      </c>
      <c r="N16" s="1272">
        <f>IF(COUNT($H16:M16)&gt;'RFM input'!$AA$7,0, M16+M68+M228+IF(N$111=0,'RFM input'!$I$523,0))</f>
        <v>3.1218192787818722</v>
      </c>
      <c r="O16" s="1272">
        <f>IF(COUNT($H16:N16)&gt;'RFM input'!$AA$7,0, N16+N68+N228+IF(O$111=0,'RFM input'!$I$523,0))</f>
        <v>2.832267603955771</v>
      </c>
      <c r="P16" s="1272">
        <f>IF(COUNT($H16:O16)&gt;'RFM input'!$AA$7,0, O16+O68+O228+IF(P$111=0,'RFM input'!$I$523,0))</f>
        <v>2.5427159291296699</v>
      </c>
      <c r="Q16" s="1272">
        <f>IF(COUNT($H16:P16)&gt;'RFM input'!$AA$7,0, P16+P68+P228+IF(Q$111=0,'RFM input'!$I$523,0))</f>
        <v>2.2531642543035688</v>
      </c>
      <c r="R16" s="1272">
        <f>IF(COUNT($H16:Q16)&gt;'RFM input'!$AA$7,0, Q16+Q68+Q228+IF(R$111=0,'RFM input'!$I$523,0))</f>
        <v>1.9636125794774677</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4.8561082499999686E-2</v>
      </c>
      <c r="I17" s="1272">
        <f>H17+H69+H241</f>
        <v>3.0881820443252616E-2</v>
      </c>
      <c r="J17" s="1272">
        <f>I17+I69+I241</f>
        <v>1.4937558386505543E-2</v>
      </c>
      <c r="K17" s="1272">
        <f>IF(COUNT($H17:J17)&gt;'RFM input'!$AA$7,0, J17+J69+J241+IF(K$111=0,'RFM input'!$I$524,0))</f>
        <v>1.3012499999999969E-3</v>
      </c>
      <c r="L17" s="1272">
        <f>IF(COUNT($H17:K17)&gt;'RFM input'!$AA$7,0, K17+K69+K241+IF(L$111=0,'RFM input'!$I$524,0))</f>
        <v>1.0385575438679246</v>
      </c>
      <c r="M17" s="1272">
        <f>IF(COUNT($H17:L17)&gt;'RFM input'!$AA$7,0, L17+L69+L241+IF(M$111=0,'RFM input'!$I$524,0))</f>
        <v>0.77870128903301894</v>
      </c>
      <c r="N17" s="1272">
        <f>IF(COUNT($H17:M17)&gt;'RFM input'!$AA$7,0, M17+M69+M241+IF(N$111=0,'RFM input'!$I$524,0))</f>
        <v>0.51884502653301889</v>
      </c>
      <c r="O17" s="1272">
        <f>IF(COUNT($H17:N17)&gt;'RFM input'!$AA$7,0, N17+N69+N241+IF(O$111=0,'RFM input'!$I$524,0))</f>
        <v>0.25942251403301886</v>
      </c>
      <c r="P17" s="1272">
        <f>IF(COUNT($H17:O17)&gt;'RFM input'!$AA$7,0, O17+O69+O241+IF(P$111=0,'RFM input'!$I$524,0))</f>
        <v>1.5330188229967234E-9</v>
      </c>
      <c r="Q17" s="1272">
        <f>IF(COUNT($H17:P17)&gt;'RFM input'!$AA$7,0, P17+P69+P241+IF(Q$111=0,'RFM input'!$I$524,0))</f>
        <v>-3.2983393896501307E-17</v>
      </c>
      <c r="R17" s="1272">
        <f>IF(COUNT($H17:Q17)&gt;'RFM input'!$AA$7,0, Q17+Q69+Q241+IF(R$111=0,'RFM input'!$I$524,0))</f>
        <v>-3.2983393896501307E-17</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1.1595648041935491</v>
      </c>
      <c r="I18" s="1272">
        <f>H18+H70+H254</f>
        <v>0.98196675196516936</v>
      </c>
      <c r="J18" s="1272">
        <f>I18+I70+I254</f>
        <v>0.80436869973678959</v>
      </c>
      <c r="K18" s="1272">
        <f>IF(COUNT($H18:J18)&gt;'RFM input'!$AA$7,0, J18+J70+J254+IF(K$111=0,'RFM input'!$I$525,0))</f>
        <v>0.62677064750840983</v>
      </c>
      <c r="L18" s="1272">
        <f>IF(COUNT($H18:K18)&gt;'RFM input'!$AA$7,0, K18+K70+K254+IF(L$111=0,'RFM input'!$I$525,0))</f>
        <v>0.44917259528003006</v>
      </c>
      <c r="M18" s="1272">
        <f>IF(COUNT($H18:L18)&gt;'RFM input'!$AA$7,0, L18+L70+L254+IF(M$111=0,'RFM input'!$I$525,0))</f>
        <v>0.2715745430516503</v>
      </c>
      <c r="N18" s="1272">
        <f>IF(COUNT($H18:M18)&gt;'RFM input'!$AA$7,0, M18+M70+M254+IF(N$111=0,'RFM input'!$I$525,0))</f>
        <v>9.3976490823270559E-2</v>
      </c>
      <c r="O18" s="1272">
        <f>IF(COUNT($H18:N18)&gt;'RFM input'!$AA$7,0, N18+N70+N254+IF(O$111=0,'RFM input'!$I$525,0))</f>
        <v>-1.9428902930940239E-16</v>
      </c>
      <c r="P18" s="1272">
        <f>IF(COUNT($H18:O18)&gt;'RFM input'!$AA$7,0, O18+O70+O254+IF(P$111=0,'RFM input'!$I$525,0))</f>
        <v>-1.9428902930940239E-16</v>
      </c>
      <c r="Q18" s="1272">
        <f>IF(COUNT($H18:P18)&gt;'RFM input'!$AA$7,0, P18+P70+P254+IF(Q$111=0,'RFM input'!$I$525,0))</f>
        <v>-1.9428902930940239E-16</v>
      </c>
      <c r="R18" s="1272">
        <f>IF(COUNT($H18:Q18)&gt;'RFM input'!$AA$7,0, Q18+Q70+Q254+IF(R$111=0,'RFM input'!$I$525,0))</f>
        <v>-1.9428902930940239E-16</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3.5526742408734702</v>
      </c>
      <c r="I19" s="1272">
        <f>H19+H71+H267</f>
        <v>3.3211508622814989</v>
      </c>
      <c r="J19" s="1272">
        <f>I19+I71+I267</f>
        <v>3.3706230932853654</v>
      </c>
      <c r="K19" s="1272">
        <f>IF(COUNT($H19:J19)&gt;'RFM input'!$AA$7,0, J19+J71+J267+IF(K$111=0,'RFM input'!$I$526,0))</f>
        <v>3.802123735724336</v>
      </c>
      <c r="L19" s="1272">
        <f>IF(COUNT($H19:K19)&gt;'RFM input'!$AA$7,0, K19+K71+K267+IF(L$111=0,'RFM input'!$I$526,0))</f>
        <v>3.4186613601291329</v>
      </c>
      <c r="M19" s="1272">
        <f>IF(COUNT($H19:L19)&gt;'RFM input'!$AA$7,0, L19+L71+L267+IF(M$111=0,'RFM input'!$I$526,0))</f>
        <v>2.9518492046825511</v>
      </c>
      <c r="N19" s="1272">
        <f>IF(COUNT($H19:M19)&gt;'RFM input'!$AA$7,0, M19+M71+M267+IF(N$111=0,'RFM input'!$I$526,0))</f>
        <v>5.0320486108409552</v>
      </c>
      <c r="O19" s="1272">
        <f>IF(COUNT($H19:N19)&gt;'RFM input'!$AA$7,0, N19+N71+N267+IF(O$111=0,'RFM input'!$I$526,0))</f>
        <v>3.5656660539093705</v>
      </c>
      <c r="P19" s="1272">
        <f>IF(COUNT($H19:O19)&gt;'RFM input'!$AA$7,0, O19+O71+O267+IF(P$111=0,'RFM input'!$I$526,0))</f>
        <v>2.2985441233548345</v>
      </c>
      <c r="Q19" s="1272">
        <f>IF(COUNT($H19:P19)&gt;'RFM input'!$AA$7,0, P19+P71+P267+IF(Q$111=0,'RFM input'!$I$526,0))</f>
        <v>1.346940626739777</v>
      </c>
      <c r="R19" s="1272">
        <f>IF(COUNT($H19:Q19)&gt;'RFM input'!$AA$7,0, Q19+Q71+Q267+IF(R$111=0,'RFM input'!$I$526,0))</f>
        <v>0.61096664724525929</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0</v>
      </c>
      <c r="I20" s="1272">
        <f>H20+H72+H280</f>
        <v>0</v>
      </c>
      <c r="J20" s="1272">
        <f>I20+I72+I280</f>
        <v>0</v>
      </c>
      <c r="K20" s="1272">
        <f>IF(COUNT($H20:J20)&gt;'RFM input'!$AA$7,0, J20+J72+J280+IF(K$111=0,'RFM input'!$I$527,0))</f>
        <v>0</v>
      </c>
      <c r="L20" s="1272">
        <f>IF(COUNT($H20:K20)&gt;'RFM input'!$AA$7,0, K20+K72+K280+IF(L$111=0,'RFM input'!$I$527,0))</f>
        <v>0.8789407222009713</v>
      </c>
      <c r="M20" s="1272">
        <f>IF(COUNT($H20:L20)&gt;'RFM input'!$AA$7,0, L20+L72+L280+IF(M$111=0,'RFM input'!$I$527,0))</f>
        <v>0.90445493092571172</v>
      </c>
      <c r="N20" s="1272">
        <f>IF(COUNT($H20:M20)&gt;'RFM input'!$AA$7,0, M20+M72+M280+IF(N$111=0,'RFM input'!$I$527,0))</f>
        <v>0.91945217683617708</v>
      </c>
      <c r="O20" s="1272">
        <f>IF(COUNT($H20:N20)&gt;'RFM input'!$AA$7,0, N20+N72+N280+IF(O$111=0,'RFM input'!$I$527,0))</f>
        <v>0.65719438956626663</v>
      </c>
      <c r="P20" s="1272">
        <f>IF(COUNT($H20:O20)&gt;'RFM input'!$AA$7,0, O20+O72+O280+IF(P$111=0,'RFM input'!$I$527,0))</f>
        <v>0.39493660229635619</v>
      </c>
      <c r="Q20" s="1272">
        <f>IF(COUNT($H20:P20)&gt;'RFM input'!$AA$7,0, P20+P72+P280+IF(Q$111=0,'RFM input'!$I$527,0))</f>
        <v>0.13267881502644574</v>
      </c>
      <c r="R20" s="1272">
        <f>IF(COUNT($H20:Q20)&gt;'RFM input'!$AA$7,0, Q20+Q72+Q280+IF(R$111=0,'RFM input'!$I$527,0))</f>
        <v>4.6209172196729514E-2</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-1.7763568394002505E-15</v>
      </c>
      <c r="I21" s="1272">
        <f>H21+H73+H293</f>
        <v>-1.4210854715202005E-15</v>
      </c>
      <c r="J21" s="1272">
        <f>I21+I73+I293</f>
        <v>-1.0658141036401504E-15</v>
      </c>
      <c r="K21" s="1272">
        <f>IF(COUNT($H21:J21)&gt;'RFM input'!$AA$7,0, J21+J73+J293+IF(K$111=0,'RFM input'!$I$528,0))</f>
        <v>-7.1054273576010032E-16</v>
      </c>
      <c r="L21" s="1272">
        <f>IF(COUNT($H21:K21)&gt;'RFM input'!$AA$7,0, K21+K73+K293+IF(L$111=0,'RFM input'!$I$528,0))</f>
        <v>-3.5527136788005021E-16</v>
      </c>
      <c r="M21" s="1272">
        <f>IF(COUNT($H21:L21)&gt;'RFM input'!$AA$7,0, L21+L73+L293+IF(M$111=0,'RFM input'!$I$528,0))</f>
        <v>-9.8607613152626476E-32</v>
      </c>
      <c r="N21" s="1272">
        <f>IF(COUNT($H21:M21)&gt;'RFM input'!$AA$7,0, M21+M73+M293+IF(N$111=0,'RFM input'!$I$528,0))</f>
        <v>-9.8607613152626476E-32</v>
      </c>
      <c r="O21" s="1272">
        <f>IF(COUNT($H21:N21)&gt;'RFM input'!$AA$7,0, N21+N73+N293+IF(O$111=0,'RFM input'!$I$528,0))</f>
        <v>-9.8607613152626476E-32</v>
      </c>
      <c r="P21" s="1272">
        <f>IF(COUNT($H21:O21)&gt;'RFM input'!$AA$7,0, O21+O73+O293+IF(P$111=0,'RFM input'!$I$528,0))</f>
        <v>-9.8607613152626476E-32</v>
      </c>
      <c r="Q21" s="1272">
        <f>IF(COUNT($H21:P21)&gt;'RFM input'!$AA$7,0, P21+P73+P293+IF(Q$111=0,'RFM input'!$I$528,0))</f>
        <v>-9.8607613152626476E-32</v>
      </c>
      <c r="R21" s="1272">
        <f>IF(COUNT($H21:Q21)&gt;'RFM input'!$AA$7,0, Q21+Q73+Q293+IF(R$111=0,'RFM input'!$I$528,0))</f>
        <v>-9.8607613152626476E-32</v>
      </c>
      <c r="S21" s="81"/>
      <c r="T21" s="81"/>
      <c r="U21" s="81"/>
      <c r="V21" s="81"/>
      <c r="W21" s="81"/>
      <c r="X21" s="81"/>
      <c r="Y21" s="81"/>
      <c r="Z21" s="81"/>
      <c r="AA21" s="172"/>
    </row>
    <row r="22" spans="1:27" ht="12.75" hidden="1" customHeight="1" outlineLevel="1">
      <c r="A22" s="3"/>
      <c r="B22" s="29"/>
      <c r="C22" s="153">
        <f>Asset15</f>
        <v>0</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v>
      </c>
      <c r="P22" s="1272">
        <f>IF(COUNT($H22:O22)&gt;'RFM input'!$AA$7,0, O22+O74+O306+IF(P$111=0,'RFM input'!$I$529,0))</f>
        <v>0</v>
      </c>
      <c r="Q22" s="1272">
        <f>IF(COUNT($H22:P22)&gt;'RFM input'!$AA$7,0, P22+P74+P306+IF(Q$111=0,'RFM input'!$I$529,0))</f>
        <v>0</v>
      </c>
      <c r="R22" s="1272">
        <f>IF(COUNT($H22:Q22)&gt;'RFM input'!$AA$7,0, Q22+Q74+Q306+IF(R$111=0,'RFM input'!$I$529,0))</f>
        <v>0</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1.1971806319078366</v>
      </c>
      <c r="I59" s="81">
        <f t="shared" ref="I59:Q59" si="2">SUM(I60:I109)</f>
        <v>1.433043041885242</v>
      </c>
      <c r="J59" s="81">
        <f t="shared" si="2"/>
        <v>2.4431229596973938</v>
      </c>
      <c r="K59" s="81">
        <f t="shared" si="2"/>
        <v>4.8643937716715939</v>
      </c>
      <c r="L59" s="81">
        <f t="shared" si="2"/>
        <v>2.1315821705433025</v>
      </c>
      <c r="M59" s="81">
        <f t="shared" si="2"/>
        <v>3.5888625472099434</v>
      </c>
      <c r="N59" s="81">
        <f t="shared" si="2"/>
        <v>0</v>
      </c>
      <c r="O59" s="81">
        <f t="shared" si="2"/>
        <v>0</v>
      </c>
      <c r="P59" s="81">
        <f t="shared" si="2"/>
        <v>0</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0</v>
      </c>
      <c r="I60" s="361">
        <f>'RFM input'!I223-'RFM input'!I277</f>
        <v>0</v>
      </c>
      <c r="J60" s="361">
        <f>'RFM input'!J223-'RFM input'!J277</f>
        <v>1.7027990000000003E-2</v>
      </c>
      <c r="K60" s="361">
        <f>'RFM input'!K223-'RFM input'!K277</f>
        <v>1.3283121499999999</v>
      </c>
      <c r="L60" s="361">
        <f>'RFM input'!L223-'RFM input'!L277</f>
        <v>0.61771703</v>
      </c>
      <c r="M60" s="361">
        <f>'RFM input'!M223-'RFM input'!M277</f>
        <v>0</v>
      </c>
      <c r="N60" s="361">
        <f>'RFM input'!N223-'RFM input'!N277</f>
        <v>0</v>
      </c>
      <c r="O60" s="361">
        <f>'RFM input'!O223-'RFM input'!O277</f>
        <v>0</v>
      </c>
      <c r="P60" s="361">
        <f>'RFM input'!P223-'RFM input'!P277</f>
        <v>0</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0.58380155999999994</v>
      </c>
      <c r="I61" s="361">
        <f>'RFM input'!I224-'RFM input'!I278</f>
        <v>8.1422299999999951E-3</v>
      </c>
      <c r="J61" s="361">
        <f>'RFM input'!J224-'RFM input'!J278</f>
        <v>0.29607051000000001</v>
      </c>
      <c r="K61" s="361">
        <f>'RFM input'!K224-'RFM input'!K278</f>
        <v>0.21128007000000001</v>
      </c>
      <c r="L61" s="361">
        <f>'RFM input'!L224-'RFM input'!L278</f>
        <v>0.60571891999999994</v>
      </c>
      <c r="M61" s="361">
        <f>'RFM input'!M224-'RFM input'!M278</f>
        <v>2.9103830456733702E-17</v>
      </c>
      <c r="N61" s="361">
        <f>'RFM input'!N224-'RFM input'!N278</f>
        <v>0</v>
      </c>
      <c r="O61" s="361">
        <f>'RFM input'!O224-'RFM input'!O278</f>
        <v>0</v>
      </c>
      <c r="P61" s="361">
        <f>'RFM input'!P224-'RFM input'!P278</f>
        <v>0</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0</v>
      </c>
      <c r="I62" s="361">
        <f>'RFM input'!I225-'RFM input'!I279</f>
        <v>0</v>
      </c>
      <c r="J62" s="361">
        <f>'RFM input'!J225-'RFM input'!J279</f>
        <v>0</v>
      </c>
      <c r="K62" s="361">
        <f>'RFM input'!K225-'RFM input'!K279</f>
        <v>0</v>
      </c>
      <c r="L62" s="361">
        <f>'RFM input'!L225-'RFM input'!L279</f>
        <v>0</v>
      </c>
      <c r="M62" s="361">
        <f>'RFM input'!M225-'RFM input'!M279</f>
        <v>0</v>
      </c>
      <c r="N62" s="361">
        <f>'RFM input'!N225-'RFM input'!N279</f>
        <v>0</v>
      </c>
      <c r="O62" s="361">
        <f>'RFM input'!O225-'RFM input'!O279</f>
        <v>0</v>
      </c>
      <c r="P62" s="361">
        <f>'RFM input'!P225-'RFM input'!P279</f>
        <v>0</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v>
      </c>
      <c r="I63" s="361">
        <f>'RFM input'!I226-'RFM input'!I280</f>
        <v>0</v>
      </c>
      <c r="J63" s="361">
        <f>'RFM input'!J226-'RFM input'!J280</f>
        <v>0</v>
      </c>
      <c r="K63" s="361">
        <f>'RFM input'!K226-'RFM input'!K280</f>
        <v>0</v>
      </c>
      <c r="L63" s="361">
        <f>'RFM input'!L226-'RFM input'!L280</f>
        <v>0</v>
      </c>
      <c r="M63" s="361">
        <f>'RFM input'!M226-'RFM input'!M280</f>
        <v>0.41405203000000002</v>
      </c>
      <c r="N63" s="361">
        <f>'RFM input'!N226-'RFM input'!N280</f>
        <v>0</v>
      </c>
      <c r="O63" s="361">
        <f>'RFM input'!O226-'RFM input'!O280</f>
        <v>0</v>
      </c>
      <c r="P63" s="361">
        <f>'RFM input'!P226-'RFM input'!P280</f>
        <v>0</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0</v>
      </c>
      <c r="K64" s="361">
        <f>'RFM input'!K227-'RFM input'!K281</f>
        <v>0</v>
      </c>
      <c r="L64" s="361">
        <f>'RFM input'!L227-'RFM input'!L281</f>
        <v>0</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3.9570500000000002E-3</v>
      </c>
      <c r="I65" s="361">
        <f>'RFM input'!I228-'RFM input'!I282</f>
        <v>7.9947080000000004E-2</v>
      </c>
      <c r="J65" s="361">
        <f>'RFM input'!J228-'RFM input'!J282</f>
        <v>0.35065796000000005</v>
      </c>
      <c r="K65" s="361">
        <f>'RFM input'!K228-'RFM input'!K282</f>
        <v>0.23417114999999999</v>
      </c>
      <c r="L65" s="361">
        <f>'RFM input'!L228-'RFM input'!L282</f>
        <v>0</v>
      </c>
      <c r="M65" s="361">
        <f>'RFM input'!M228-'RFM input'!M282</f>
        <v>0</v>
      </c>
      <c r="N65" s="361">
        <f>'RFM input'!N228-'RFM input'!N282</f>
        <v>0</v>
      </c>
      <c r="O65" s="361">
        <f>'RFM input'!O228-'RFM input'!O282</f>
        <v>0</v>
      </c>
      <c r="P65" s="361">
        <f>'RFM input'!P228-'RFM input'!P282</f>
        <v>0</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0</v>
      </c>
      <c r="I66" s="361">
        <f>'RFM input'!I229-'RFM input'!I283</f>
        <v>0</v>
      </c>
      <c r="J66" s="361">
        <f>'RFM input'!J229-'RFM input'!J283</f>
        <v>0</v>
      </c>
      <c r="K66" s="361">
        <f>'RFM input'!K229-'RFM input'!K283</f>
        <v>0</v>
      </c>
      <c r="L66" s="361">
        <f>'RFM input'!L229-'RFM input'!L283</f>
        <v>0</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v>
      </c>
      <c r="M67" s="361">
        <f>'RFM input'!M230-'RFM input'!M284</f>
        <v>0</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1.3332419999999999E-2</v>
      </c>
      <c r="I68" s="361">
        <f>'RFM input'!I231-'RFM input'!I285</f>
        <v>0.3469156000000001</v>
      </c>
      <c r="J68" s="361">
        <f>'RFM input'!J231-'RFM input'!J285</f>
        <v>0.20177433000000003</v>
      </c>
      <c r="K68" s="361">
        <f>'RFM input'!K231-'RFM input'!K285</f>
        <v>9.5852049999999994E-2</v>
      </c>
      <c r="L68" s="361">
        <f>'RFM input'!L231-'RFM input'!L285</f>
        <v>8.1807199999999997E-2</v>
      </c>
      <c r="M68" s="361">
        <f>'RFM input'!M231-'RFM input'!M285</f>
        <v>-0.11106858</v>
      </c>
      <c r="N68" s="361">
        <f>'RFM input'!N231-'RFM input'!N285</f>
        <v>0</v>
      </c>
      <c r="O68" s="361">
        <f>'RFM input'!O231-'RFM input'!O285</f>
        <v>0</v>
      </c>
      <c r="P68" s="361">
        <f>'RFM input'!P231-'RFM input'!P285</f>
        <v>0</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v>
      </c>
      <c r="I69" s="361">
        <f>'RFM input'!I232-'RFM input'!I286</f>
        <v>1.735E-3</v>
      </c>
      <c r="J69" s="361">
        <f>'RFM input'!J232-'RFM input'!J286</f>
        <v>0</v>
      </c>
      <c r="K69" s="361">
        <f>'RFM input'!K232-'RFM input'!K286</f>
        <v>1.0376900438679246</v>
      </c>
      <c r="L69" s="361">
        <f>'RFM input'!L232-'RFM input'!L286</f>
        <v>6.1320754239204693E-9</v>
      </c>
      <c r="M69" s="361">
        <f>'RFM input'!M232-'RFM input'!M286</f>
        <v>0</v>
      </c>
      <c r="N69" s="361">
        <f>'RFM input'!N232-'RFM input'!N286</f>
        <v>0</v>
      </c>
      <c r="O69" s="361">
        <f>'RFM input'!O232-'RFM input'!O286</f>
        <v>0</v>
      </c>
      <c r="P69" s="361">
        <f>'RFM input'!P232-'RFM input'!P286</f>
        <v>0</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0.59608960190783655</v>
      </c>
      <c r="I71" s="361">
        <f>'RFM input'!I234-'RFM input'!I288</f>
        <v>0.996303131885242</v>
      </c>
      <c r="J71" s="361">
        <f>'RFM input'!J234-'RFM input'!J288</f>
        <v>1.5775921696973938</v>
      </c>
      <c r="K71" s="361">
        <f>'RFM input'!K234-'RFM input'!K288</f>
        <v>1.0781475856026985</v>
      </c>
      <c r="L71" s="361">
        <f>'RFM input'!L234-'RFM input'!L288</f>
        <v>0.62503666124629231</v>
      </c>
      <c r="M71" s="361">
        <f>'RFM input'!M234-'RFM input'!M288</f>
        <v>3.0548332362262967</v>
      </c>
      <c r="N71" s="361">
        <f>'RFM input'!N234-'RFM input'!N288</f>
        <v>0</v>
      </c>
      <c r="O71" s="361">
        <f>'RFM input'!O234-'RFM input'!O288</f>
        <v>0</v>
      </c>
      <c r="P71" s="361">
        <f>'RFM input'!P234-'RFM input'!P288</f>
        <v>0</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0</v>
      </c>
      <c r="I72" s="361">
        <f>'RFM input'!I235-'RFM input'!I289</f>
        <v>0</v>
      </c>
      <c r="J72" s="361">
        <f>'RFM input'!J235-'RFM input'!J289</f>
        <v>0</v>
      </c>
      <c r="K72" s="361">
        <f>'RFM input'!K235-'RFM input'!K289</f>
        <v>0.8789407222009713</v>
      </c>
      <c r="L72" s="361">
        <f>'RFM input'!L235-'RFM input'!L289</f>
        <v>0.20130235316493469</v>
      </c>
      <c r="M72" s="361">
        <f>'RFM input'!M235-'RFM input'!M289</f>
        <v>0.23104586098364646</v>
      </c>
      <c r="N72" s="361">
        <f>'RFM input'!N235-'RFM input'!N289</f>
        <v>0</v>
      </c>
      <c r="O72" s="361">
        <f>'RFM input'!O235-'RFM input'!O289</f>
        <v>0</v>
      </c>
      <c r="P72" s="361">
        <f>'RFM input'!P235-'RFM input'!P289</f>
        <v>0</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f>Asset15</f>
        <v>0</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-9.4458069190949328</v>
      </c>
      <c r="I111" s="272">
        <f t="shared" ref="I111:Q111" si="3">I124+I137+I150+I163+I176+I189+I202+I215+I228+I241+I254+I267+I280+I293+I306+I319+I332+I345+I358+I371+I384+I397+I410+I423+I436+I449+I462+I475+I488+I501+I514+I527+I540+I553+I566+I579+I592+I605+I618+I631+I644+I657+I670+I683+I696+I709+I722+I735+I748+I761</f>
        <v>-9.5952772434765006</v>
      </c>
      <c r="J111" s="1341">
        <f t="shared" si="3"/>
        <v>-9.8162425156833084</v>
      </c>
      <c r="K111" s="272">
        <f t="shared" si="3"/>
        <v>-8.7375678111012949</v>
      </c>
      <c r="L111" s="272">
        <f>L124+L137+L150+L163+L176+L189+L202+L215+L228+L241+L254+L267+L280+L293+L306+L319+L332+L345+L358+L371+L384+L397+L410+L423+L436+L449+L462+L475+L488+L501+L514+L527+L540+L553+L566+L579+L592+L605+L618+L631+L644+L657+L670+L683+L696+L709+L722+L735+L748+L761</f>
        <v>-4.7576741735547401</v>
      </c>
      <c r="M111" s="272">
        <f t="shared" si="3"/>
        <v>-4.7459818165957657</v>
      </c>
      <c r="N111" s="272">
        <f t="shared" si="3"/>
        <v>-5.2150335767510771</v>
      </c>
      <c r="O111" s="272">
        <f t="shared" si="3"/>
        <v>-4.921796459550758</v>
      </c>
      <c r="P111" s="272">
        <f t="shared" si="3"/>
        <v>-4.3468555146442984</v>
      </c>
      <c r="Q111" s="272">
        <f t="shared" si="3"/>
        <v>-3.7842411670631306</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5.5923324945836876</v>
      </c>
      <c r="I112" s="20">
        <f>IF(I$3&gt;A1taxremlife,A1taxvalue-SUM($F112:H112),IF(A1taxremlife="N/A","n/a",A1taxvalue/A1taxremlife))</f>
        <v>5.5923324945836876</v>
      </c>
      <c r="J112" s="20">
        <f>IF(J$3&gt;A1taxremlife,A1taxvalue-SUM($F112:I112),IF(A1taxremlife="N/A","n/a",A1taxvalue/A1taxremlife))</f>
        <v>5.5923324945836876</v>
      </c>
      <c r="K112" s="20">
        <f>IF(K$3&gt;A1taxremlife,A1taxvalue-SUM($F112:J112),IF(A1taxremlife="N/A","n/a",A1taxvalue/A1taxremlife))</f>
        <v>4.1505324769487011</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2"/>
    </row>
    <row r="113" spans="1:27" ht="12.75" hidden="1" customHeight="1" outlineLevel="2">
      <c r="A113" s="3"/>
      <c r="B113" s="16"/>
      <c r="C113" s="15"/>
      <c r="D113" s="1502"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3"/>
      <c r="E114" s="63">
        <v>1</v>
      </c>
      <c r="F114" s="17"/>
      <c r="G114" s="17"/>
      <c r="H114" s="1309"/>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8"/>
      <c r="T114" s="78"/>
      <c r="U114" s="78"/>
      <c r="V114" s="78"/>
      <c r="W114" s="78"/>
      <c r="X114" s="78"/>
      <c r="Y114" s="78"/>
      <c r="Z114" s="78"/>
      <c r="AA114" s="172"/>
    </row>
    <row r="115" spans="1:27" ht="12.75" hidden="1" customHeight="1" outlineLevel="2">
      <c r="A115" s="3"/>
      <c r="B115" s="16"/>
      <c r="C115" s="15"/>
      <c r="D115" s="1503"/>
      <c r="E115" s="63">
        <v>2</v>
      </c>
      <c r="F115" s="17"/>
      <c r="G115" s="17"/>
      <c r="H115" s="133"/>
      <c r="I115" s="135"/>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8"/>
      <c r="T115" s="78"/>
      <c r="U115" s="78"/>
      <c r="V115" s="78"/>
      <c r="W115" s="78"/>
      <c r="X115" s="78"/>
      <c r="Y115" s="78"/>
      <c r="Z115" s="78"/>
      <c r="AA115" s="172"/>
    </row>
    <row r="116" spans="1:27" ht="12.75" hidden="1" customHeight="1" outlineLevel="2">
      <c r="A116" s="3"/>
      <c r="B116" s="16"/>
      <c r="C116" s="15"/>
      <c r="D116" s="1503"/>
      <c r="E116" s="63">
        <v>3</v>
      </c>
      <c r="F116" s="17"/>
      <c r="G116" s="17"/>
      <c r="H116" s="133"/>
      <c r="I116" s="134"/>
      <c r="J116" s="135"/>
      <c r="K116" s="18">
        <f>IF(A1taxstdlife="n/a","n/a",IF(K$3&gt;(A1taxstdlife+$E116),('RFM input'!$J$223-'RFM input'!$J$277)-SUM($J116:J116),('RFM input'!$J$223-'RFM input'!$J$277)/A1taxstdlife))</f>
        <v>8.5139950000000014E-4</v>
      </c>
      <c r="L116" s="18">
        <f>IF(A1taxstdlife="n/a","n/a",IF(L$3&gt;(A1taxstdlife+$E116),('RFM input'!$J$223-'RFM input'!$J$277)-SUM($J116:K116),('RFM input'!$J$223-'RFM input'!$J$277)/A1taxstdlife))</f>
        <v>8.5139950000000014E-4</v>
      </c>
      <c r="M116" s="18">
        <f>IF(A1taxstdlife="n/a","n/a",IF(M$3&gt;(A1taxstdlife+$E116),('RFM input'!$J$223-'RFM input'!$J$277)-SUM($J116:L116),('RFM input'!$J$223-'RFM input'!$J$277)/A1taxstdlife))</f>
        <v>8.5139950000000014E-4</v>
      </c>
      <c r="N116" s="18">
        <f>IF(A1taxstdlife="n/a","n/a",IF(N$3&gt;(A1taxstdlife+$E116),('RFM input'!$J$223-'RFM input'!$J$277)-SUM($J116:M116),('RFM input'!$J$223-'RFM input'!$J$277)/A1taxstdlife))</f>
        <v>8.5139950000000014E-4</v>
      </c>
      <c r="O116" s="18">
        <f>IF(A1taxstdlife="n/a","n/a",IF(O$3&gt;(A1taxstdlife+$E116),('RFM input'!$J$223-'RFM input'!$J$277)-SUM($J116:N116),('RFM input'!$J$223-'RFM input'!$J$277)/A1taxstdlife))</f>
        <v>8.5139950000000014E-4</v>
      </c>
      <c r="P116" s="18">
        <f>IF(A1taxstdlife="n/a","n/a",IF(P$3&gt;(A1taxstdlife+$E116),('RFM input'!$J$223-'RFM input'!$J$277)-SUM($J116:O116),('RFM input'!$J$223-'RFM input'!$J$277)/A1taxstdlife))</f>
        <v>8.5139950000000014E-4</v>
      </c>
      <c r="Q116" s="18">
        <f>IF(A1taxstdlife="n/a","n/a",IF(Q$3&gt;(A1taxstdlife+$E116),('RFM input'!$J$223-'RFM input'!$J$277)-SUM($J116:P116),('RFM input'!$J$223-'RFM input'!$J$277)/A1taxstdlife))</f>
        <v>8.5139950000000014E-4</v>
      </c>
      <c r="R116" s="18"/>
      <c r="S116" s="78"/>
      <c r="T116" s="78"/>
      <c r="U116" s="78"/>
      <c r="V116" s="78"/>
      <c r="W116" s="78"/>
      <c r="X116" s="78"/>
      <c r="Y116" s="78"/>
      <c r="Z116" s="78"/>
      <c r="AA116" s="172"/>
    </row>
    <row r="117" spans="1:27" ht="12.75" hidden="1" customHeight="1" outlineLevel="2">
      <c r="A117" s="3"/>
      <c r="B117" s="16"/>
      <c r="C117" s="15"/>
      <c r="D117" s="1503"/>
      <c r="E117" s="63">
        <v>4</v>
      </c>
      <c r="F117" s="17"/>
      <c r="G117" s="17"/>
      <c r="H117" s="133"/>
      <c r="I117" s="134"/>
      <c r="J117" s="134"/>
      <c r="K117" s="135"/>
      <c r="L117" s="18">
        <f>IF(A1taxstdlife="n/a","n/a",IF(L$3&gt;(A1taxstdlife+$E117),('RFM input'!$K$223-'RFM input'!$K$277)-SUM($K117:K117),('RFM input'!$K$223-'RFM input'!$K$277)/A1taxstdlife))</f>
        <v>6.6415607500000001E-2</v>
      </c>
      <c r="M117" s="18">
        <f>IF(A1taxstdlife="n/a","n/a",IF(M$3&gt;(A1taxstdlife+$E117),('RFM input'!$K$223-'RFM input'!$K$277)-SUM($K117:L117),('RFM input'!$K$223-'RFM input'!$K$277)/A1taxstdlife))</f>
        <v>6.6415607500000001E-2</v>
      </c>
      <c r="N117" s="18">
        <f>IF(A1taxstdlife="n/a","n/a",IF(N$3&gt;(A1taxstdlife+$E117),('RFM input'!$K$223-'RFM input'!$K$277)-SUM($K117:M117),('RFM input'!$K$223-'RFM input'!$K$277)/A1taxstdlife))</f>
        <v>6.6415607500000001E-2</v>
      </c>
      <c r="O117" s="18">
        <f>IF(A1taxstdlife="n/a","n/a",IF(O$3&gt;(A1taxstdlife+$E117),('RFM input'!$K$223-'RFM input'!$K$277)-SUM($K117:N117),('RFM input'!$K$223-'RFM input'!$K$277)/A1taxstdlife))</f>
        <v>6.6415607500000001E-2</v>
      </c>
      <c r="P117" s="18">
        <f>IF(A1taxstdlife="n/a","n/a",IF(P$3&gt;(A1taxstdlife+$E117),('RFM input'!$K$223-'RFM input'!$K$277)-SUM($K117:O117),('RFM input'!$K$223-'RFM input'!$K$277)/A1taxstdlife))</f>
        <v>6.6415607500000001E-2</v>
      </c>
      <c r="Q117" s="18">
        <f>IF(A1taxstdlife="n/a","n/a",IF(Q$3&gt;(A1taxstdlife+$E117),('RFM input'!$K$223-'RFM input'!$K$277)-SUM($K117:P117),('RFM input'!$K$223-'RFM input'!$K$277)/A1taxstdlife))</f>
        <v>6.6415607500000001E-2</v>
      </c>
      <c r="R117" s="18"/>
      <c r="S117" s="78"/>
      <c r="T117" s="78"/>
      <c r="U117" s="78"/>
      <c r="V117" s="78"/>
      <c r="W117" s="78"/>
      <c r="X117" s="78"/>
      <c r="Y117" s="78"/>
      <c r="Z117" s="78"/>
      <c r="AA117" s="172"/>
    </row>
    <row r="118" spans="1:27" ht="12.75" hidden="1" customHeight="1" outlineLevel="2">
      <c r="A118" s="3"/>
      <c r="B118" s="16"/>
      <c r="C118" s="15"/>
      <c r="D118" s="1503"/>
      <c r="E118" s="63">
        <v>5</v>
      </c>
      <c r="F118" s="17"/>
      <c r="G118" s="17"/>
      <c r="H118" s="133"/>
      <c r="I118" s="134"/>
      <c r="J118" s="134"/>
      <c r="K118" s="134"/>
      <c r="L118" s="135"/>
      <c r="M118" s="18">
        <f>IF(A1taxstdlife="n/a","n/a",IF(M$3&gt;(A1taxstdlife+$E118),('RFM input'!$L$223-'RFM input'!$L$277)-SUM($L118:L118),('RFM input'!$L$223-'RFM input'!$L$277)/A1taxstdlife))</f>
        <v>3.0885851499999999E-2</v>
      </c>
      <c r="N118" s="18">
        <f>IF(A1taxstdlife="n/a","n/a",IF(N$3&gt;(A1taxstdlife+$E118),('RFM input'!$L$223-'RFM input'!$L$277)-SUM($L118:M118),('RFM input'!$L$223-'RFM input'!$L$277)/A1taxstdlife))</f>
        <v>3.0885851499999999E-2</v>
      </c>
      <c r="O118" s="18">
        <f>IF(A1taxstdlife="n/a","n/a",IF(O$3&gt;(A1taxstdlife+$E118),('RFM input'!$L$223-'RFM input'!$L$277)-SUM($L118:N118),('RFM input'!$L$223-'RFM input'!$L$277)/A1taxstdlife))</f>
        <v>3.0885851499999999E-2</v>
      </c>
      <c r="P118" s="18">
        <f>IF(A1taxstdlife="n/a","n/a",IF(P$3&gt;(A1taxstdlife+$E118),('RFM input'!$L$223-'RFM input'!$L$277)-SUM($L118:O118),('RFM input'!$L$223-'RFM input'!$L$277)/A1taxstdlife))</f>
        <v>3.0885851499999999E-2</v>
      </c>
      <c r="Q118" s="18">
        <f>IF(A1taxstdlife="n/a","n/a",IF(Q$3&gt;(A1taxstdlife+$E118),('RFM input'!$L$223-'RFM input'!$L$277)-SUM($L118:P118),('RFM input'!$L$223-'RFM input'!$L$277)/A1taxstdlife))</f>
        <v>3.0885851499999999E-2</v>
      </c>
      <c r="R118" s="18"/>
      <c r="S118" s="78"/>
      <c r="T118" s="78"/>
      <c r="U118" s="78"/>
      <c r="V118" s="78"/>
      <c r="W118" s="78"/>
      <c r="X118" s="78"/>
      <c r="Y118" s="78"/>
      <c r="Z118" s="78"/>
      <c r="AA118" s="172"/>
    </row>
    <row r="119" spans="1:27" ht="12.75" hidden="1" customHeight="1" outlineLevel="2">
      <c r="A119" s="3"/>
      <c r="B119" s="16"/>
      <c r="C119" s="15"/>
      <c r="D119" s="1503"/>
      <c r="E119" s="63">
        <v>6</v>
      </c>
      <c r="F119" s="17"/>
      <c r="G119" s="17"/>
      <c r="H119" s="133"/>
      <c r="I119" s="134"/>
      <c r="J119" s="134"/>
      <c r="K119" s="134"/>
      <c r="L119" s="134"/>
      <c r="M119" s="135"/>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2"/>
    </row>
    <row r="120" spans="1:27" ht="12.75" hidden="1" customHeight="1" outlineLevel="2">
      <c r="A120" s="3"/>
      <c r="B120" s="16"/>
      <c r="C120" s="15"/>
      <c r="D120" s="1503"/>
      <c r="E120" s="63">
        <v>7</v>
      </c>
      <c r="F120" s="17"/>
      <c r="G120" s="17"/>
      <c r="H120" s="133"/>
      <c r="I120" s="134"/>
      <c r="J120" s="134"/>
      <c r="K120" s="134"/>
      <c r="L120" s="134"/>
      <c r="M120" s="134"/>
      <c r="N120" s="135"/>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8"/>
      <c r="T120" s="78"/>
      <c r="U120" s="78"/>
      <c r="V120" s="78"/>
      <c r="W120" s="78"/>
      <c r="X120" s="78"/>
      <c r="Y120" s="78"/>
      <c r="Z120" s="78"/>
      <c r="AA120" s="172"/>
    </row>
    <row r="121" spans="1:27" ht="12.75" hidden="1" customHeight="1" outlineLevel="2">
      <c r="A121" s="3"/>
      <c r="B121" s="16"/>
      <c r="C121" s="15"/>
      <c r="D121" s="1503"/>
      <c r="E121" s="63">
        <v>8</v>
      </c>
      <c r="F121" s="17"/>
      <c r="G121" s="17"/>
      <c r="H121" s="133"/>
      <c r="I121" s="134"/>
      <c r="J121" s="134"/>
      <c r="K121" s="134"/>
      <c r="L121" s="134"/>
      <c r="M121" s="134"/>
      <c r="N121" s="134"/>
      <c r="O121" s="135"/>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8"/>
      <c r="T121" s="78"/>
      <c r="U121" s="78"/>
      <c r="V121" s="78"/>
      <c r="W121" s="78"/>
      <c r="X121" s="78"/>
      <c r="Y121" s="78"/>
      <c r="Z121" s="78"/>
      <c r="AA121" s="172"/>
    </row>
    <row r="122" spans="1:27" ht="12.75" hidden="1" customHeight="1" outlineLevel="2">
      <c r="A122" s="3"/>
      <c r="B122" s="16"/>
      <c r="C122" s="15"/>
      <c r="D122" s="1503"/>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0</v>
      </c>
      <c r="R122" s="18"/>
      <c r="S122" s="78"/>
      <c r="T122" s="78"/>
      <c r="U122" s="78"/>
      <c r="V122" s="78"/>
      <c r="W122" s="78"/>
      <c r="X122" s="78"/>
      <c r="Y122" s="78"/>
      <c r="Z122" s="78"/>
      <c r="AA122" s="172"/>
    </row>
    <row r="123" spans="1:27" ht="12.75" hidden="1" customHeight="1" outlineLevel="2">
      <c r="A123" s="3"/>
      <c r="B123" s="16"/>
      <c r="C123" s="15"/>
      <c r="D123" s="1503"/>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-5.5923324945836876</v>
      </c>
      <c r="I124" s="1342">
        <f>IF('RFM input'!$G$457="Tracked",-1*INDEX('RFM input'!I$461:I$510,MATCH('TAB roll forward'!$C124,'RFM input'!$E$461:$E$510,0)),-SUM(I112:I123))</f>
        <v>-5.5923324945836876</v>
      </c>
      <c r="J124" s="1319">
        <f>IF(COUNT($H124:I124)&gt;='RFM input'!$AA$7,0, IF('RFM input'!$G$457="Tracked",-1*INDEX('RFM input'!J$461:J$510,MATCH('TAB roll forward'!$C124,'RFM input'!$E$461:$E$510,0)),-SUM(J112:J123)))</f>
        <v>-5.5923324945836876</v>
      </c>
      <c r="K124" s="1319">
        <f>IF(COUNT($H124:J124)&gt;='RFM input'!$AA$7,0, IF('RFM input'!$G$457="Tracked",-1*INDEX('RFM input'!K$461:K$510,MATCH('TAB roll forward'!$C124,'RFM input'!$E$461:$E$510,0)),-SUM(K112:K123)))</f>
        <v>-4.1513838764487012</v>
      </c>
      <c r="L124" s="1319">
        <f>IF(COUNT($H124:K124)&gt;='RFM input'!$AA$7,0, IF('RFM input'!$G$457="Tracked",-1*INDEX('RFM input'!L$461:L$510,MATCH('TAB roll forward'!$C124,'RFM input'!$E$461:$E$510,0)),-SUM(L112:L123)))</f>
        <v>-6.7267007000000004E-2</v>
      </c>
      <c r="M124" s="1319">
        <f>IF(COUNT($H124:L124)&gt;='RFM input'!$AA$7,0, IF('RFM input'!$G$457="Tracked",-1*INDEX('RFM input'!M$461:M$510,MATCH('TAB roll forward'!$C124,'RFM input'!$E$461:$E$510,0)),-SUM(M112:M123)))</f>
        <v>-9.8152858499999995E-2</v>
      </c>
      <c r="N124" s="1319">
        <f>IF(COUNT($H124:M124)&gt;='RFM input'!$AA$7,0, IF('RFM input'!$G$457="Tracked",-1*INDEX('RFM input'!N$461:N$510,MATCH('TAB roll forward'!$C124,'RFM input'!$E$461:$E$510,0)),-SUM(N112:N123)))</f>
        <v>-9.8152858499999995E-2</v>
      </c>
      <c r="O124" s="1319">
        <f>IF(COUNT($H124:N124)&gt;='RFM input'!$AA$7,0, IF('RFM input'!$G$457="Tracked",-1*INDEX('RFM input'!O$461:O$510,MATCH('TAB roll forward'!$C124,'RFM input'!$E$461:$E$510,0)),-SUM(O112:O123)))</f>
        <v>-9.8152858499999995E-2</v>
      </c>
      <c r="P124" s="1319">
        <f>IF(COUNT($H124:O124)&gt;='RFM input'!$AA$7,0, IF('RFM input'!$G$457="Tracked",-1*INDEX('RFM input'!P$461:P$510,MATCH('TAB roll forward'!$C124,'RFM input'!$E$461:$E$510,0)),-SUM(P112:P123)))</f>
        <v>-9.8152858499999995E-2</v>
      </c>
      <c r="Q124" s="1319">
        <f>IF(COUNT($H124:P124)&gt;='RFM input'!$AA$7,0, IF('RFM input'!$G$457="Tracked",-1*INDEX('RFM input'!Q$461:Q$510,MATCH('TAB roll forward'!$C124,'RFM input'!$E$461:$E$510,0)),-SUM(Q112:Q123)))</f>
        <v>-9.8152858499999995E-2</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2.1329895499619971</v>
      </c>
      <c r="I125" s="20">
        <f>IF(I$3&gt;A2taxremlife,A2taxvalue-SUM($F125:H125),IF(A2taxremlife="N/A","n/a",A2taxvalue/A2taxremlife))</f>
        <v>2.1329895499619971</v>
      </c>
      <c r="J125" s="20">
        <f>IF(J$3&gt;A2taxremlife,A2taxvalue-SUM($F125:I125),IF(A2taxremlife="N/A","n/a",A2taxvalue/A2taxremlife))</f>
        <v>2.1329895499619971</v>
      </c>
      <c r="K125" s="20">
        <f>IF(K$3&gt;A2taxremlife,A2taxvalue-SUM($F125:J125),IF(A2taxremlife="N/A","n/a",A2taxvalue/A2taxremlife))</f>
        <v>2.1329895499619971</v>
      </c>
      <c r="L125" s="20">
        <f>IF(L$3&gt;A2taxremlife,A2taxvalue-SUM($F125:K125),IF(A2taxremlife="N/A","n/a",A2taxvalue/A2taxremlife))</f>
        <v>2.1329895499619971</v>
      </c>
      <c r="M125" s="20">
        <f>IF(M$3&gt;A2taxremlife,A2taxvalue-SUM($F125:L125),IF(A2taxremlife="N/A","n/a",A2taxvalue/A2taxremlife))</f>
        <v>2.1329895499619971</v>
      </c>
      <c r="N125" s="20">
        <f>IF(N$3&gt;A2taxremlife,A2taxvalue-SUM($F125:M125),IF(A2taxremlife="N/A","n/a",A2taxvalue/A2taxremlife))</f>
        <v>2.1329895499619971</v>
      </c>
      <c r="O125" s="20">
        <f>IF(O$3&gt;A2taxremlife,A2taxvalue-SUM($F125:N125),IF(A2taxremlife="N/A","n/a",A2taxvalue/A2taxremlife))</f>
        <v>2.1329895499619971</v>
      </c>
      <c r="P125" s="20">
        <f>IF(P$3&gt;A2taxremlife,A2taxvalue-SUM($F125:O125),IF(A2taxremlife="N/A","n/a",A2taxvalue/A2taxremlife))</f>
        <v>2.1329895499619971</v>
      </c>
      <c r="Q125" s="20">
        <f>IF(Q$3&gt;A2taxremlife,A2taxvalue-SUM($F125:P125),IF(A2taxremlife="N/A","n/a",A2taxvalue/A2taxremlife))</f>
        <v>2.1329895499619971</v>
      </c>
      <c r="R125" s="20"/>
      <c r="S125" s="78"/>
      <c r="T125" s="78"/>
      <c r="U125" s="78"/>
      <c r="V125" s="78"/>
      <c r="W125" s="78"/>
      <c r="X125" s="78"/>
      <c r="Y125" s="78"/>
      <c r="Z125" s="78"/>
      <c r="AA125" s="172"/>
    </row>
    <row r="126" spans="1:27" ht="12.75" hidden="1" customHeight="1" outlineLevel="2">
      <c r="A126" s="3"/>
      <c r="B126" s="3"/>
      <c r="C126" s="16"/>
      <c r="D126" s="1502"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3"/>
      <c r="E127" s="63">
        <v>1</v>
      </c>
      <c r="F127" s="17"/>
      <c r="G127" s="17"/>
      <c r="H127" s="1309"/>
      <c r="I127" s="18">
        <f>IF(A2taxstdlife="n/a","n/a",IF(I$3&gt;(A2taxstdlife+$E127),('RFM input'!$H$224-'RFM input'!$H$278)-SUM($H127:H127),('RFM input'!$H$224-'RFM input'!$H$278)/A2taxstdlife))</f>
        <v>2.9190077999999998E-2</v>
      </c>
      <c r="J127" s="18">
        <f>IF(A2taxstdlife="n/a","n/a",IF(J$3&gt;(A2taxstdlife+$E127),('RFM input'!$H$224-'RFM input'!$H$278)-SUM($H127:I127),('RFM input'!$H$224-'RFM input'!$H$278)/A2taxstdlife))</f>
        <v>2.9190077999999998E-2</v>
      </c>
      <c r="K127" s="18">
        <f>IF(A2taxstdlife="n/a","n/a",IF(K$3&gt;(A2taxstdlife+$E127),('RFM input'!$H$224-'RFM input'!$H$278)-SUM($H127:J127),('RFM input'!$H$224-'RFM input'!$H$278)/A2taxstdlife))</f>
        <v>2.9190077999999998E-2</v>
      </c>
      <c r="L127" s="18">
        <f>IF(A2taxstdlife="n/a","n/a",IF(L$3&gt;(A2taxstdlife+$E127),('RFM input'!$H$224-'RFM input'!$H$278)-SUM($H127:K127),('RFM input'!$H$224-'RFM input'!$H$278)/A2taxstdlife))</f>
        <v>2.9190077999999998E-2</v>
      </c>
      <c r="M127" s="18">
        <f>IF(A2taxstdlife="n/a","n/a",IF(M$3&gt;(A2taxstdlife+$E127),('RFM input'!$H$224-'RFM input'!$H$278)-SUM($H127:L127),('RFM input'!$H$224-'RFM input'!$H$278)/A2taxstdlife))</f>
        <v>2.9190077999999998E-2</v>
      </c>
      <c r="N127" s="18">
        <f>IF(A2taxstdlife="n/a","n/a",IF(N$3&gt;(A2taxstdlife+$E127),('RFM input'!$H$224-'RFM input'!$H$278)-SUM($H127:M127),('RFM input'!$H$224-'RFM input'!$H$278)/A2taxstdlife))</f>
        <v>2.9190077999999998E-2</v>
      </c>
      <c r="O127" s="18">
        <f>IF(A2taxstdlife="n/a","n/a",IF(O$3&gt;(A2taxstdlife+$E127),('RFM input'!$H$224-'RFM input'!$H$278)-SUM($H127:N127),('RFM input'!$H$224-'RFM input'!$H$278)/A2taxstdlife))</f>
        <v>2.9190077999999998E-2</v>
      </c>
      <c r="P127" s="18">
        <f>IF(A2taxstdlife="n/a","n/a",IF(P$3&gt;(A2taxstdlife+$E127),('RFM input'!$H$224-'RFM input'!$H$278)-SUM($H127:O127),('RFM input'!$H$224-'RFM input'!$H$278)/A2taxstdlife))</f>
        <v>2.9190077999999998E-2</v>
      </c>
      <c r="Q127" s="18">
        <f>IF(A2taxstdlife="n/a","n/a",IF(Q$3&gt;(A2taxstdlife+$E127),('RFM input'!$H$224-'RFM input'!$H$278)-SUM($H127:P127),('RFM input'!$H$224-'RFM input'!$H$278)/A2taxstdlife))</f>
        <v>2.9190077999999998E-2</v>
      </c>
      <c r="R127" s="18"/>
      <c r="S127" s="78"/>
      <c r="T127" s="78"/>
      <c r="U127" s="78"/>
      <c r="V127" s="78"/>
      <c r="W127" s="78"/>
      <c r="X127" s="78"/>
      <c r="Y127" s="78"/>
      <c r="Z127" s="78"/>
      <c r="AA127" s="172"/>
    </row>
    <row r="128" spans="1:27" ht="12.75" hidden="1" customHeight="1" outlineLevel="2">
      <c r="A128" s="3"/>
      <c r="B128" s="3"/>
      <c r="C128" s="16"/>
      <c r="D128" s="1503"/>
      <c r="E128" s="63">
        <v>2</v>
      </c>
      <c r="F128" s="17"/>
      <c r="G128" s="17"/>
      <c r="H128" s="133"/>
      <c r="I128" s="135"/>
      <c r="J128" s="18">
        <f>IF(A2taxstdlife="n/a","n/a",IF(J$3&gt;(A2taxstdlife+$E128),('RFM input'!$I$224-'RFM input'!$I$278)-SUM($I128:I128),('RFM input'!$I$224-'RFM input'!$I$278)/A2taxstdlife))</f>
        <v>4.0711149999999978E-4</v>
      </c>
      <c r="K128" s="18">
        <f>IF(A2taxstdlife="n/a","n/a",IF(K$3&gt;(A2taxstdlife+$E128),('RFM input'!$I$224-'RFM input'!$I$278)-SUM($I128:J128),('RFM input'!$I$224-'RFM input'!$I$278)/A2taxstdlife))</f>
        <v>4.0711149999999978E-4</v>
      </c>
      <c r="L128" s="18">
        <f>IF(A2taxstdlife="n/a","n/a",IF(L$3&gt;(A2taxstdlife+$E128),('RFM input'!$I$224-'RFM input'!$I$278)-SUM($I128:K128),('RFM input'!$I$224-'RFM input'!$I$278)/A2taxstdlife))</f>
        <v>4.0711149999999978E-4</v>
      </c>
      <c r="M128" s="18">
        <f>IF(A2taxstdlife="n/a","n/a",IF(M$3&gt;(A2taxstdlife+$E128),('RFM input'!$I$224-'RFM input'!$I$278)-SUM($I128:L128),('RFM input'!$I$224-'RFM input'!$I$278)/A2taxstdlife))</f>
        <v>4.0711149999999978E-4</v>
      </c>
      <c r="N128" s="18">
        <f>IF(A2taxstdlife="n/a","n/a",IF(N$3&gt;(A2taxstdlife+$E128),('RFM input'!$I$224-'RFM input'!$I$278)-SUM($I128:M128),('RFM input'!$I$224-'RFM input'!$I$278)/A2taxstdlife))</f>
        <v>4.0711149999999978E-4</v>
      </c>
      <c r="O128" s="18">
        <f>IF(A2taxstdlife="n/a","n/a",IF(O$3&gt;(A2taxstdlife+$E128),('RFM input'!$I$224-'RFM input'!$I$278)-SUM($I128:N128),('RFM input'!$I$224-'RFM input'!$I$278)/A2taxstdlife))</f>
        <v>4.0711149999999978E-4</v>
      </c>
      <c r="P128" s="18">
        <f>IF(A2taxstdlife="n/a","n/a",IF(P$3&gt;(A2taxstdlife+$E128),('RFM input'!$I$224-'RFM input'!$I$278)-SUM($I128:O128),('RFM input'!$I$224-'RFM input'!$I$278)/A2taxstdlife))</f>
        <v>4.0711149999999978E-4</v>
      </c>
      <c r="Q128" s="18">
        <f>IF(A2taxstdlife="n/a","n/a",IF(Q$3&gt;(A2taxstdlife+$E128),('RFM input'!$I$224-'RFM input'!$I$278)-SUM($I128:P128),('RFM input'!$I$224-'RFM input'!$I$278)/A2taxstdlife))</f>
        <v>4.0711149999999978E-4</v>
      </c>
      <c r="R128" s="18"/>
      <c r="S128" s="78"/>
      <c r="T128" s="78"/>
      <c r="U128" s="78"/>
      <c r="V128" s="78"/>
      <c r="W128" s="78"/>
      <c r="X128" s="78"/>
      <c r="Y128" s="78"/>
      <c r="Z128" s="78"/>
      <c r="AA128" s="172"/>
    </row>
    <row r="129" spans="1:27" ht="12.75" hidden="1" customHeight="1" outlineLevel="2">
      <c r="A129" s="3"/>
      <c r="B129" s="3"/>
      <c r="C129" s="16"/>
      <c r="D129" s="1503"/>
      <c r="E129" s="63">
        <v>3</v>
      </c>
      <c r="F129" s="17"/>
      <c r="G129" s="17"/>
      <c r="H129" s="133"/>
      <c r="I129" s="134"/>
      <c r="J129" s="135"/>
      <c r="K129" s="18">
        <f>IF(A2taxstdlife="n/a","n/a",IF(K$3&gt;(A2taxstdlife+$E129),('RFM input'!$J$224-'RFM input'!$J$278)-SUM($J129:J129),('RFM input'!$J$224-'RFM input'!$J$278)/A2taxstdlife))</f>
        <v>1.4803525500000001E-2</v>
      </c>
      <c r="L129" s="18">
        <f>IF(A2taxstdlife="n/a","n/a",IF(L$3&gt;(A2taxstdlife+$E129),('RFM input'!$J$224-'RFM input'!$J$278)-SUM($J129:K129),('RFM input'!$J$224-'RFM input'!$J$278)/A2taxstdlife))</f>
        <v>1.4803525500000001E-2</v>
      </c>
      <c r="M129" s="18">
        <f>IF(A2taxstdlife="n/a","n/a",IF(M$3&gt;(A2taxstdlife+$E129),('RFM input'!$J$224-'RFM input'!$J$278)-SUM($J129:L129),('RFM input'!$J$224-'RFM input'!$J$278)/A2taxstdlife))</f>
        <v>1.4803525500000001E-2</v>
      </c>
      <c r="N129" s="18">
        <f>IF(A2taxstdlife="n/a","n/a",IF(N$3&gt;(A2taxstdlife+$E129),('RFM input'!$J$224-'RFM input'!$J$278)-SUM($J129:M129),('RFM input'!$J$224-'RFM input'!$J$278)/A2taxstdlife))</f>
        <v>1.4803525500000001E-2</v>
      </c>
      <c r="O129" s="18">
        <f>IF(A2taxstdlife="n/a","n/a",IF(O$3&gt;(A2taxstdlife+$E129),('RFM input'!$J$224-'RFM input'!$J$278)-SUM($J129:N129),('RFM input'!$J$224-'RFM input'!$J$278)/A2taxstdlife))</f>
        <v>1.4803525500000001E-2</v>
      </c>
      <c r="P129" s="18">
        <f>IF(A2taxstdlife="n/a","n/a",IF(P$3&gt;(A2taxstdlife+$E129),('RFM input'!$J$224-'RFM input'!$J$278)-SUM($J129:O129),('RFM input'!$J$224-'RFM input'!$J$278)/A2taxstdlife))</f>
        <v>1.4803525500000001E-2</v>
      </c>
      <c r="Q129" s="18">
        <f>IF(A2taxstdlife="n/a","n/a",IF(Q$3&gt;(A2taxstdlife+$E129),('RFM input'!$J$224-'RFM input'!$J$278)-SUM($J129:P129),('RFM input'!$J$224-'RFM input'!$J$278)/A2taxstdlife))</f>
        <v>1.4803525500000001E-2</v>
      </c>
      <c r="R129" s="18"/>
      <c r="S129" s="78"/>
      <c r="T129" s="78"/>
      <c r="U129" s="78"/>
      <c r="V129" s="78"/>
      <c r="W129" s="78"/>
      <c r="X129" s="78"/>
      <c r="Y129" s="78"/>
      <c r="Z129" s="78"/>
      <c r="AA129" s="172"/>
    </row>
    <row r="130" spans="1:27" ht="12.75" hidden="1" customHeight="1" outlineLevel="2">
      <c r="A130" s="3"/>
      <c r="B130" s="3"/>
      <c r="C130" s="16"/>
      <c r="D130" s="1503"/>
      <c r="E130" s="63">
        <v>4</v>
      </c>
      <c r="F130" s="17"/>
      <c r="G130" s="17"/>
      <c r="H130" s="133"/>
      <c r="I130" s="134"/>
      <c r="J130" s="134"/>
      <c r="K130" s="135"/>
      <c r="L130" s="18">
        <f>IF(A2taxstdlife="n/a","n/a",IF(L$3&gt;(A2taxstdlife+$E130),('RFM input'!$K$224-'RFM input'!$K$278)-SUM($K130:K130),('RFM input'!$K$224-'RFM input'!$K$278)/A2taxstdlife))</f>
        <v>1.05640035E-2</v>
      </c>
      <c r="M130" s="18">
        <f>IF(A2taxstdlife="n/a","n/a",IF(M$3&gt;(A2taxstdlife+$E130),('RFM input'!$K$224-'RFM input'!$K$278)-SUM($K130:L130),('RFM input'!$K$224-'RFM input'!$K$278)/A2taxstdlife))</f>
        <v>1.05640035E-2</v>
      </c>
      <c r="N130" s="18">
        <f>IF(A2taxstdlife="n/a","n/a",IF(N$3&gt;(A2taxstdlife+$E130),('RFM input'!$K$224-'RFM input'!$K$278)-SUM($K130:M130),('RFM input'!$K$224-'RFM input'!$K$278)/A2taxstdlife))</f>
        <v>1.05640035E-2</v>
      </c>
      <c r="O130" s="18">
        <f>IF(A2taxstdlife="n/a","n/a",IF(O$3&gt;(A2taxstdlife+$E130),('RFM input'!$K$224-'RFM input'!$K$278)-SUM($K130:N130),('RFM input'!$K$224-'RFM input'!$K$278)/A2taxstdlife))</f>
        <v>1.05640035E-2</v>
      </c>
      <c r="P130" s="18">
        <f>IF(A2taxstdlife="n/a","n/a",IF(P$3&gt;(A2taxstdlife+$E130),('RFM input'!$K$224-'RFM input'!$K$278)-SUM($K130:O130),('RFM input'!$K$224-'RFM input'!$K$278)/A2taxstdlife))</f>
        <v>1.05640035E-2</v>
      </c>
      <c r="Q130" s="18">
        <f>IF(A2taxstdlife="n/a","n/a",IF(Q$3&gt;(A2taxstdlife+$E130),('RFM input'!$K$224-'RFM input'!$K$278)-SUM($K130:P130),('RFM input'!$K$224-'RFM input'!$K$278)/A2taxstdlife))</f>
        <v>1.05640035E-2</v>
      </c>
      <c r="R130" s="18"/>
      <c r="S130" s="78"/>
      <c r="T130" s="78"/>
      <c r="U130" s="78"/>
      <c r="V130" s="78"/>
      <c r="W130" s="78"/>
      <c r="X130" s="78"/>
      <c r="Y130" s="78"/>
      <c r="Z130" s="78"/>
      <c r="AA130" s="172"/>
    </row>
    <row r="131" spans="1:27" ht="12.75" hidden="1" customHeight="1" outlineLevel="2">
      <c r="A131" s="3"/>
      <c r="B131" s="3"/>
      <c r="C131" s="16"/>
      <c r="D131" s="1503"/>
      <c r="E131" s="63">
        <v>5</v>
      </c>
      <c r="F131" s="17"/>
      <c r="G131" s="17"/>
      <c r="H131" s="133"/>
      <c r="I131" s="134"/>
      <c r="J131" s="134"/>
      <c r="K131" s="134"/>
      <c r="L131" s="135"/>
      <c r="M131" s="18">
        <f>IF(A2taxstdlife="n/a","n/a",IF(M$3&gt;(A2taxstdlife+$E131),('RFM input'!$L$224-'RFM input'!$L$278)-SUM($L131:L131),('RFM input'!$L$224-'RFM input'!$L$278)/A2taxstdlife))</f>
        <v>3.0285945999999998E-2</v>
      </c>
      <c r="N131" s="18">
        <f>IF(A2taxstdlife="n/a","n/a",IF(N$3&gt;(A2taxstdlife+$E131),('RFM input'!$L$224-'RFM input'!$L$278)-SUM($L131:M131),('RFM input'!$L$224-'RFM input'!$L$278)/A2taxstdlife))</f>
        <v>3.0285945999999998E-2</v>
      </c>
      <c r="O131" s="18">
        <f>IF(A2taxstdlife="n/a","n/a",IF(O$3&gt;(A2taxstdlife+$E131),('RFM input'!$L$224-'RFM input'!$L$278)-SUM($L131:N131),('RFM input'!$L$224-'RFM input'!$L$278)/A2taxstdlife))</f>
        <v>3.0285945999999998E-2</v>
      </c>
      <c r="P131" s="18">
        <f>IF(A2taxstdlife="n/a","n/a",IF(P$3&gt;(A2taxstdlife+$E131),('RFM input'!$L$224-'RFM input'!$L$278)-SUM($L131:O131),('RFM input'!$L$224-'RFM input'!$L$278)/A2taxstdlife))</f>
        <v>3.0285945999999998E-2</v>
      </c>
      <c r="Q131" s="18">
        <f>IF(A2taxstdlife="n/a","n/a",IF(Q$3&gt;(A2taxstdlife+$E131),('RFM input'!$L$224-'RFM input'!$L$278)-SUM($L131:P131),('RFM input'!$L$224-'RFM input'!$L$278)/A2taxstdlife))</f>
        <v>3.0285945999999998E-2</v>
      </c>
      <c r="R131" s="18"/>
      <c r="S131" s="78"/>
      <c r="T131" s="78"/>
      <c r="U131" s="78"/>
      <c r="V131" s="78"/>
      <c r="W131" s="78"/>
      <c r="X131" s="78"/>
      <c r="Y131" s="78"/>
      <c r="Z131" s="78"/>
      <c r="AA131" s="172"/>
    </row>
    <row r="132" spans="1:27" ht="12.75" hidden="1" customHeight="1" outlineLevel="2">
      <c r="A132" s="3"/>
      <c r="B132" s="3"/>
      <c r="C132" s="16"/>
      <c r="D132" s="1503"/>
      <c r="E132" s="63">
        <v>6</v>
      </c>
      <c r="F132" s="17"/>
      <c r="G132" s="17"/>
      <c r="H132" s="133"/>
      <c r="I132" s="134"/>
      <c r="J132" s="134"/>
      <c r="K132" s="134"/>
      <c r="L132" s="134"/>
      <c r="M132" s="135"/>
      <c r="N132" s="18">
        <f>IF(A2taxstdlife="n/a","n/a",IF(N$3&gt;(A2taxstdlife+$E132),('RFM input'!$M$224-'RFM input'!$M$278)-SUM($M132:M132),('RFM input'!$M$224-'RFM input'!$M$278)/A2taxstdlife))</f>
        <v>1.4551915228366851E-18</v>
      </c>
      <c r="O132" s="18">
        <f>IF(A2taxstdlife="n/a","n/a",IF(O$3&gt;(A2taxstdlife+$E132),('RFM input'!$M$224-'RFM input'!$M$278)-SUM($M132:N132),('RFM input'!$M$224-'RFM input'!$M$278)/A2taxstdlife))</f>
        <v>1.4551915228366851E-18</v>
      </c>
      <c r="P132" s="18">
        <f>IF(A2taxstdlife="n/a","n/a",IF(P$3&gt;(A2taxstdlife+$E132),('RFM input'!$M$224-'RFM input'!$M$278)-SUM($M132:O132),('RFM input'!$M$224-'RFM input'!$M$278)/A2taxstdlife))</f>
        <v>1.4551915228366851E-18</v>
      </c>
      <c r="Q132" s="18">
        <f>IF(A2taxstdlife="n/a","n/a",IF(Q$3&gt;(A2taxstdlife+$E132),('RFM input'!$M$224-'RFM input'!$M$278)-SUM($M132:P132),('RFM input'!$M$224-'RFM input'!$M$278)/A2taxstdlife))</f>
        <v>1.4551915228366851E-18</v>
      </c>
      <c r="R132" s="18"/>
      <c r="S132" s="78"/>
      <c r="T132" s="78"/>
      <c r="U132" s="78"/>
      <c r="V132" s="78"/>
      <c r="W132" s="78"/>
      <c r="X132" s="78"/>
      <c r="Y132" s="78"/>
      <c r="Z132" s="78"/>
      <c r="AA132" s="172"/>
    </row>
    <row r="133" spans="1:27" ht="12.75" hidden="1" customHeight="1" outlineLevel="2">
      <c r="A133" s="3"/>
      <c r="B133" s="3"/>
      <c r="C133" s="16"/>
      <c r="D133" s="1503"/>
      <c r="E133" s="63">
        <v>7</v>
      </c>
      <c r="F133" s="17"/>
      <c r="G133" s="17"/>
      <c r="H133" s="133"/>
      <c r="I133" s="134"/>
      <c r="J133" s="134"/>
      <c r="K133" s="134"/>
      <c r="L133" s="134"/>
      <c r="M133" s="134"/>
      <c r="N133" s="135"/>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8"/>
      <c r="T133" s="78"/>
      <c r="U133" s="78"/>
      <c r="V133" s="78"/>
      <c r="W133" s="78"/>
      <c r="X133" s="78"/>
      <c r="Y133" s="78"/>
      <c r="Z133" s="78"/>
      <c r="AA133" s="172"/>
    </row>
    <row r="134" spans="1:27" ht="12.75" hidden="1" customHeight="1" outlineLevel="2">
      <c r="A134" s="3"/>
      <c r="B134" s="3"/>
      <c r="C134" s="16"/>
      <c r="D134" s="1503"/>
      <c r="E134" s="63">
        <v>8</v>
      </c>
      <c r="F134" s="17"/>
      <c r="G134" s="17"/>
      <c r="H134" s="133"/>
      <c r="I134" s="134"/>
      <c r="J134" s="134"/>
      <c r="K134" s="134"/>
      <c r="L134" s="134"/>
      <c r="M134" s="134"/>
      <c r="N134" s="134"/>
      <c r="O134" s="135"/>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2"/>
    </row>
    <row r="135" spans="1:27" ht="12.75" hidden="1" customHeight="1" outlineLevel="2">
      <c r="A135" s="3"/>
      <c r="B135" s="3"/>
      <c r="C135" s="16"/>
      <c r="D135" s="1503"/>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v>
      </c>
      <c r="R135" s="18"/>
      <c r="S135" s="78"/>
      <c r="T135" s="78"/>
      <c r="U135" s="78"/>
      <c r="V135" s="78"/>
      <c r="W135" s="78"/>
      <c r="X135" s="78"/>
      <c r="Y135" s="78"/>
      <c r="Z135" s="78"/>
      <c r="AA135" s="172"/>
    </row>
    <row r="136" spans="1:27" ht="12.75" hidden="1" customHeight="1" outlineLevel="2">
      <c r="A136" s="3"/>
      <c r="B136" s="3"/>
      <c r="C136" s="16"/>
      <c r="D136" s="1503"/>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-2.1329895499619971</v>
      </c>
      <c r="I137" s="1342">
        <f>IF('RFM input'!$G$457="Tracked",-1*INDEX('RFM input'!I$461:I$510,MATCH('TAB roll forward'!$C137,'RFM input'!$E$461:$E$510,0)),-SUM(I125:I136))</f>
        <v>-2.1621796279619971</v>
      </c>
      <c r="J137" s="1319">
        <f>IF(COUNT($H137:I137)&gt;='RFM input'!$AA$7,0, IF('RFM input'!$G$457="Tracked",-1*INDEX('RFM input'!J$461:J$510,MATCH('TAB roll forward'!$C137,'RFM input'!$E$461:$E$510,0)),-SUM(J125:J136)))</f>
        <v>-2.1625867394619971</v>
      </c>
      <c r="K137" s="1319">
        <f>IF(COUNT($H137:J137)&gt;='RFM input'!$AA$7,0, IF('RFM input'!$G$457="Tracked",-1*INDEX('RFM input'!K$461:K$510,MATCH('TAB roll forward'!$C137,'RFM input'!$E$461:$E$510,0)),-SUM(K125:K136)))</f>
        <v>-2.1773902649619972</v>
      </c>
      <c r="L137" s="1319">
        <f>IF(COUNT($H137:K137)&gt;='RFM input'!$AA$7,0, IF('RFM input'!$G$457="Tracked",-1*INDEX('RFM input'!L$461:L$510,MATCH('TAB roll forward'!$C137,'RFM input'!$E$461:$E$510,0)),-SUM(L125:L136)))</f>
        <v>-2.187954268461997</v>
      </c>
      <c r="M137" s="1319">
        <f>IF(COUNT($H137:L137)&gt;='RFM input'!$AA$7,0, IF('RFM input'!$G$457="Tracked",-1*INDEX('RFM input'!M$461:M$510,MATCH('TAB roll forward'!$C137,'RFM input'!$E$461:$E$510,0)),-SUM(M125:M136)))</f>
        <v>-2.2182402144619968</v>
      </c>
      <c r="N137" s="1319">
        <f>IF(COUNT($H137:M137)&gt;='RFM input'!$AA$7,0, IF('RFM input'!$G$457="Tracked",-1*INDEX('RFM input'!N$461:N$510,MATCH('TAB roll forward'!$C137,'RFM input'!$E$461:$E$510,0)),-SUM(N125:N136)))</f>
        <v>-2.2182402144619968</v>
      </c>
      <c r="O137" s="1319">
        <f>IF(COUNT($H137:N137)&gt;='RFM input'!$AA$7,0, IF('RFM input'!$G$457="Tracked",-1*INDEX('RFM input'!O$461:O$510,MATCH('TAB roll forward'!$C137,'RFM input'!$E$461:$E$510,0)),-SUM(O125:O136)))</f>
        <v>-2.2182402144619968</v>
      </c>
      <c r="P137" s="1319">
        <f>IF(COUNT($H137:O137)&gt;='RFM input'!$AA$7,0, IF('RFM input'!$G$457="Tracked",-1*INDEX('RFM input'!P$461:P$510,MATCH('TAB roll forward'!$C137,'RFM input'!$E$461:$E$510,0)),-SUM(P125:P136)))</f>
        <v>-2.2182402144619968</v>
      </c>
      <c r="Q137" s="1319">
        <f>IF(COUNT($H137:P137)&gt;='RFM input'!$AA$7,0, IF('RFM input'!$G$457="Tracked",-1*INDEX('RFM input'!Q$461:Q$510,MATCH('TAB roll forward'!$C137,'RFM input'!$E$461:$E$510,0)),-SUM(Q125:Q136)))</f>
        <v>-2.2182402144619968</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5.3067640993632809E-3</v>
      </c>
      <c r="I138" s="20">
        <f>IF(I$3&gt;A3taxremlife,A3taxvalue-SUM($F138:H138),IF(A3taxremlife="N/A","n/a",A3taxvalue/A3taxremlife))</f>
        <v>5.3067640993632809E-3</v>
      </c>
      <c r="J138" s="20">
        <f>IF(J$3&gt;A3taxremlife,A3taxvalue-SUM($F138:I138),IF(A3taxremlife="N/A","n/a",A3taxvalue/A3taxremlife))</f>
        <v>5.3067640993632809E-3</v>
      </c>
      <c r="K138" s="20">
        <f>IF(K$3&gt;A3taxremlife,A3taxvalue-SUM($F138:J138),IF(A3taxremlife="N/A","n/a",A3taxvalue/A3taxremlife))</f>
        <v>5.3067640993632809E-3</v>
      </c>
      <c r="L138" s="20">
        <f>IF(L$3&gt;A3taxremlife,A3taxvalue-SUM($F138:K138),IF(A3taxremlife="N/A","n/a",A3taxvalue/A3taxremlife))</f>
        <v>5.3067640993632809E-3</v>
      </c>
      <c r="M138" s="20">
        <f>IF(M$3&gt;A3taxremlife,A3taxvalue-SUM($F138:L138),IF(A3taxremlife="N/A","n/a",A3taxvalue/A3taxremlife))</f>
        <v>5.3067640993632809E-3</v>
      </c>
      <c r="N138" s="20">
        <f>IF(N$3&gt;A3taxremlife,A3taxvalue-SUM($F138:M138),IF(A3taxremlife="N/A","n/a",A3taxvalue/A3taxremlife))</f>
        <v>5.3067640993632809E-3</v>
      </c>
      <c r="O138" s="20">
        <f>IF(O$3&gt;A3taxremlife,A3taxvalue-SUM($F138:N138),IF(A3taxremlife="N/A","n/a",A3taxvalue/A3taxremlife))</f>
        <v>5.3067640993632809E-3</v>
      </c>
      <c r="P138" s="20">
        <f>IF(P$3&gt;A3taxremlife,A3taxvalue-SUM($F138:O138),IF(A3taxremlife="N/A","n/a",A3taxvalue/A3taxremlife))</f>
        <v>5.3067640993632809E-3</v>
      </c>
      <c r="Q138" s="20">
        <f>IF(Q$3&gt;A3taxremlife,A3taxvalue-SUM($F138:P138),IF(A3taxremlife="N/A","n/a",A3taxvalue/A3taxremlife))</f>
        <v>5.3067640993632809E-3</v>
      </c>
      <c r="R138" s="20"/>
      <c r="S138" s="78"/>
      <c r="T138" s="78"/>
      <c r="U138" s="78"/>
      <c r="V138" s="78"/>
      <c r="W138" s="78"/>
      <c r="X138" s="78"/>
      <c r="Y138" s="78"/>
      <c r="Z138" s="78"/>
      <c r="AA138" s="172"/>
    </row>
    <row r="139" spans="1:27" ht="12.75" hidden="1" customHeight="1" outlineLevel="2">
      <c r="A139" s="3"/>
      <c r="B139" s="3"/>
      <c r="C139" s="16"/>
      <c r="D139" s="1502"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3"/>
      <c r="E140" s="63">
        <v>1</v>
      </c>
      <c r="F140" s="17"/>
      <c r="G140" s="17"/>
      <c r="H140" s="1309"/>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2"/>
    </row>
    <row r="141" spans="1:27" ht="12.75" hidden="1" customHeight="1" outlineLevel="2">
      <c r="A141" s="3"/>
      <c r="B141" s="3"/>
      <c r="C141" s="16"/>
      <c r="D141" s="1503"/>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3"/>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3"/>
      <c r="E143" s="63">
        <v>4</v>
      </c>
      <c r="F143" s="17"/>
      <c r="G143" s="17"/>
      <c r="H143" s="133"/>
      <c r="I143" s="134"/>
      <c r="J143" s="134"/>
      <c r="K143" s="135"/>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2"/>
    </row>
    <row r="144" spans="1:27" ht="12.75" hidden="1" customHeight="1" outlineLevel="2">
      <c r="A144" s="3"/>
      <c r="B144" s="3"/>
      <c r="C144" s="16"/>
      <c r="D144" s="1503"/>
      <c r="E144" s="63">
        <v>5</v>
      </c>
      <c r="F144" s="17"/>
      <c r="G144" s="17"/>
      <c r="H144" s="133"/>
      <c r="I144" s="134"/>
      <c r="J144" s="134"/>
      <c r="K144" s="134"/>
      <c r="L144" s="135"/>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2"/>
    </row>
    <row r="145" spans="1:27" ht="12.75" hidden="1" customHeight="1" outlineLevel="2">
      <c r="A145" s="3"/>
      <c r="B145" s="3"/>
      <c r="C145" s="16"/>
      <c r="D145" s="1503"/>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3"/>
      <c r="E146" s="63">
        <v>7</v>
      </c>
      <c r="F146" s="17"/>
      <c r="G146" s="17"/>
      <c r="H146" s="133"/>
      <c r="I146" s="134"/>
      <c r="J146" s="134"/>
      <c r="K146" s="134"/>
      <c r="L146" s="134"/>
      <c r="M146" s="134"/>
      <c r="N146" s="135"/>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2"/>
    </row>
    <row r="147" spans="1:27" ht="12.75" hidden="1" customHeight="1" outlineLevel="2">
      <c r="A147" s="3"/>
      <c r="B147" s="3"/>
      <c r="C147" s="16"/>
      <c r="D147" s="1503"/>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3"/>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v>
      </c>
      <c r="R148" s="18"/>
      <c r="S148" s="78"/>
      <c r="T148" s="78"/>
      <c r="U148" s="78"/>
      <c r="V148" s="78"/>
      <c r="W148" s="78"/>
      <c r="X148" s="78"/>
      <c r="Y148" s="78"/>
      <c r="Z148" s="78"/>
      <c r="AA148" s="172"/>
    </row>
    <row r="149" spans="1:27" ht="12.75" hidden="1" customHeight="1" outlineLevel="2">
      <c r="A149" s="3"/>
      <c r="B149" s="3"/>
      <c r="C149" s="16"/>
      <c r="D149" s="1503"/>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-5.3067640993632809E-3</v>
      </c>
      <c r="I150" s="1342">
        <f>IF('RFM input'!$G$457="Tracked",-1*INDEX('RFM input'!I$461:I$510,MATCH('TAB roll forward'!$C150,'RFM input'!$E$461:$E$510,0)),-SUM(I138:I149))</f>
        <v>-5.3067640993632809E-3</v>
      </c>
      <c r="J150" s="1319">
        <f>IF(COUNT($H150:I150)&gt;='RFM input'!$AA$7,0, IF('RFM input'!$G$457="Tracked",-1*INDEX('RFM input'!J$461:J$510,MATCH('TAB roll forward'!$C150,'RFM input'!$E$461:$E$510,0)),-SUM(J138:J149)))</f>
        <v>-5.3067640993632809E-3</v>
      </c>
      <c r="K150" s="1319">
        <f>IF(COUNT($H150:J150)&gt;='RFM input'!$AA$7,0, IF('RFM input'!$G$457="Tracked",-1*INDEX('RFM input'!K$461:K$510,MATCH('TAB roll forward'!$C150,'RFM input'!$E$461:$E$510,0)),-SUM(K138:K149)))</f>
        <v>-5.3067640993632809E-3</v>
      </c>
      <c r="L150" s="1319">
        <f>IF(COUNT($H150:K150)&gt;='RFM input'!$AA$7,0, IF('RFM input'!$G$457="Tracked",-1*INDEX('RFM input'!L$461:L$510,MATCH('TAB roll forward'!$C150,'RFM input'!$E$461:$E$510,0)),-SUM(L138:L149)))</f>
        <v>-5.3067640993632809E-3</v>
      </c>
      <c r="M150" s="1319">
        <f>IF(COUNT($H150:L150)&gt;='RFM input'!$AA$7,0, IF('RFM input'!$G$457="Tracked",-1*INDEX('RFM input'!M$461:M$510,MATCH('TAB roll forward'!$C150,'RFM input'!$E$461:$E$510,0)),-SUM(M138:M149)))</f>
        <v>-5.3067640993632809E-3</v>
      </c>
      <c r="N150" s="1319">
        <f>IF(COUNT($H150:M150)&gt;='RFM input'!$AA$7,0, IF('RFM input'!$G$457="Tracked",-1*INDEX('RFM input'!N$461:N$510,MATCH('TAB roll forward'!$C150,'RFM input'!$E$461:$E$510,0)),-SUM(N138:N149)))</f>
        <v>-5.3067640993632809E-3</v>
      </c>
      <c r="O150" s="1319">
        <f>IF(COUNT($H150:N150)&gt;='RFM input'!$AA$7,0, IF('RFM input'!$G$457="Tracked",-1*INDEX('RFM input'!O$461:O$510,MATCH('TAB roll forward'!$C150,'RFM input'!$E$461:$E$510,0)),-SUM(O138:O149)))</f>
        <v>-5.3067640993632809E-3</v>
      </c>
      <c r="P150" s="1319">
        <f>IF(COUNT($H150:O150)&gt;='RFM input'!$AA$7,0, IF('RFM input'!$G$457="Tracked",-1*INDEX('RFM input'!P$461:P$510,MATCH('TAB roll forward'!$C150,'RFM input'!$E$461:$E$510,0)),-SUM(P138:P149)))</f>
        <v>-5.3067640993632809E-3</v>
      </c>
      <c r="Q150" s="1319">
        <f>IF(COUNT($H150:P150)&gt;='RFM input'!$AA$7,0, IF('RFM input'!$G$457="Tracked",-1*INDEX('RFM input'!Q$461:Q$510,MATCH('TAB roll forward'!$C150,'RFM input'!$E$461:$E$510,0)),-SUM(Q138:Q149)))</f>
        <v>-5.3067640993632809E-3</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0.16615278599470851</v>
      </c>
      <c r="I151" s="20">
        <f>IF(I$3&gt;A4taxremlife,A4taxvalue-SUM($F151:H151),IF(A4taxremlife="N/A","n/a",A4taxvalue/A4taxremlife))</f>
        <v>0.16615278599470851</v>
      </c>
      <c r="J151" s="20">
        <f>IF(J$3&gt;A4taxremlife,A4taxvalue-SUM($F151:I151),IF(A4taxremlife="N/A","n/a",A4taxvalue/A4taxremlife))</f>
        <v>0.16615278599470851</v>
      </c>
      <c r="K151" s="20">
        <f>IF(K$3&gt;A4taxremlife,A4taxvalue-SUM($F151:J151),IF(A4taxremlife="N/A","n/a",A4taxvalue/A4taxremlife))</f>
        <v>0.16615278599470851</v>
      </c>
      <c r="L151" s="20">
        <f>IF(L$3&gt;A4taxremlife,A4taxvalue-SUM($F151:K151),IF(A4taxremlife="N/A","n/a",A4taxvalue/A4taxremlife))</f>
        <v>0.16615278599470851</v>
      </c>
      <c r="M151" s="20">
        <f>IF(M$3&gt;A4taxremlife,A4taxvalue-SUM($F151:L151),IF(A4taxremlife="N/A","n/a",A4taxvalue/A4taxremlife))</f>
        <v>0.16615278599470851</v>
      </c>
      <c r="N151" s="20">
        <f>IF(N$3&gt;A4taxremlife,A4taxvalue-SUM($F151:M151),IF(A4taxremlife="N/A","n/a",A4taxvalue/A4taxremlife))</f>
        <v>0.16615278599470851</v>
      </c>
      <c r="O151" s="20">
        <f>IF(O$3&gt;A4taxremlife,A4taxvalue-SUM($F151:N151),IF(A4taxremlife="N/A","n/a",A4taxvalue/A4taxremlife))</f>
        <v>0.16615278599470851</v>
      </c>
      <c r="P151" s="20">
        <f>IF(P$3&gt;A4taxremlife,A4taxvalue-SUM($F151:O151),IF(A4taxremlife="N/A","n/a",A4taxvalue/A4taxremlife))</f>
        <v>0.16615278599470851</v>
      </c>
      <c r="Q151" s="20">
        <f>IF(Q$3&gt;A4taxremlife,A4taxvalue-SUM($F151:P151),IF(A4taxremlife="N/A","n/a",A4taxvalue/A4taxremlife))</f>
        <v>0.16615278599470851</v>
      </c>
      <c r="R151" s="20"/>
      <c r="S151" s="78"/>
      <c r="T151" s="78"/>
      <c r="U151" s="78"/>
      <c r="V151" s="78"/>
      <c r="W151" s="78"/>
      <c r="X151" s="78"/>
      <c r="Y151" s="78"/>
      <c r="Z151" s="78"/>
      <c r="AA151" s="172"/>
    </row>
    <row r="152" spans="1:27" ht="12.75" hidden="1" customHeight="1" outlineLevel="2">
      <c r="A152" s="3"/>
      <c r="B152" s="3"/>
      <c r="C152" s="16"/>
      <c r="D152" s="1502"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3"/>
      <c r="E153" s="63">
        <v>1</v>
      </c>
      <c r="F153" s="17"/>
      <c r="G153" s="17"/>
      <c r="H153" s="1309"/>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8"/>
      <c r="T153" s="78"/>
      <c r="U153" s="78"/>
      <c r="V153" s="78"/>
      <c r="W153" s="78"/>
      <c r="X153" s="78"/>
      <c r="Y153" s="78"/>
      <c r="Z153" s="78"/>
      <c r="AA153" s="172"/>
    </row>
    <row r="154" spans="1:27" ht="12.75" hidden="1" customHeight="1" outlineLevel="2">
      <c r="A154" s="3"/>
      <c r="B154" s="3"/>
      <c r="C154" s="16"/>
      <c r="D154" s="1503"/>
      <c r="E154" s="63">
        <v>2</v>
      </c>
      <c r="F154" s="17"/>
      <c r="G154" s="17"/>
      <c r="H154" s="133"/>
      <c r="I154" s="135"/>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8"/>
      <c r="T154" s="78"/>
      <c r="U154" s="78"/>
      <c r="V154" s="78"/>
      <c r="W154" s="78"/>
      <c r="X154" s="78"/>
      <c r="Y154" s="78"/>
      <c r="Z154" s="78"/>
      <c r="AA154" s="172"/>
    </row>
    <row r="155" spans="1:27" ht="12.75" hidden="1" customHeight="1" outlineLevel="2">
      <c r="A155" s="3"/>
      <c r="B155" s="3"/>
      <c r="C155" s="16"/>
      <c r="D155" s="1503"/>
      <c r="E155" s="63">
        <v>3</v>
      </c>
      <c r="F155" s="17"/>
      <c r="G155" s="17"/>
      <c r="H155" s="133"/>
      <c r="I155" s="134"/>
      <c r="J155" s="135"/>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2"/>
    </row>
    <row r="156" spans="1:27" ht="12.75" hidden="1" customHeight="1" outlineLevel="2">
      <c r="A156" s="3"/>
      <c r="B156" s="3"/>
      <c r="C156" s="16"/>
      <c r="D156" s="1503"/>
      <c r="E156" s="63">
        <v>4</v>
      </c>
      <c r="F156" s="17"/>
      <c r="G156" s="17"/>
      <c r="H156" s="133"/>
      <c r="I156" s="134"/>
      <c r="J156" s="134"/>
      <c r="K156" s="135"/>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2"/>
    </row>
    <row r="157" spans="1:27" ht="12.75" hidden="1" customHeight="1" outlineLevel="2">
      <c r="A157" s="3"/>
      <c r="B157" s="3"/>
      <c r="C157" s="16"/>
      <c r="D157" s="1503"/>
      <c r="E157" s="63">
        <v>5</v>
      </c>
      <c r="F157" s="17"/>
      <c r="G157" s="17"/>
      <c r="H157" s="133"/>
      <c r="I157" s="134"/>
      <c r="J157" s="134"/>
      <c r="K157" s="134"/>
      <c r="L157" s="135"/>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2"/>
    </row>
    <row r="158" spans="1:27" ht="12.75" hidden="1" customHeight="1" outlineLevel="2">
      <c r="A158" s="3"/>
      <c r="B158" s="3"/>
      <c r="C158" s="16"/>
      <c r="D158" s="1503"/>
      <c r="E158" s="63">
        <v>6</v>
      </c>
      <c r="F158" s="17"/>
      <c r="G158" s="17"/>
      <c r="H158" s="133"/>
      <c r="I158" s="134"/>
      <c r="J158" s="134"/>
      <c r="K158" s="134"/>
      <c r="L158" s="134"/>
      <c r="M158" s="135"/>
      <c r="N158" s="18">
        <f>IF(A4taxstdlife="n/a","n/a",IF(N$3&gt;(A4taxstdlife+$E158),('RFM input'!$M$226-'RFM input'!$M$280)-SUM($M158:M158),('RFM input'!$M$226-'RFM input'!$M$280)/A4taxstdlife))</f>
        <v>2.0702601500000001E-2</v>
      </c>
      <c r="O158" s="18">
        <f>IF(A4taxstdlife="n/a","n/a",IF(O$3&gt;(A4taxstdlife+$E158),('RFM input'!$M$226-'RFM input'!$M$280)-SUM($M158:N158),('RFM input'!$M$226-'RFM input'!$M$280)/A4taxstdlife))</f>
        <v>2.0702601500000001E-2</v>
      </c>
      <c r="P158" s="18">
        <f>IF(A4taxstdlife="n/a","n/a",IF(P$3&gt;(A4taxstdlife+$E158),('RFM input'!$M$226-'RFM input'!$M$280)-SUM($M158:O158),('RFM input'!$M$226-'RFM input'!$M$280)/A4taxstdlife))</f>
        <v>2.0702601500000001E-2</v>
      </c>
      <c r="Q158" s="18">
        <f>IF(A4taxstdlife="n/a","n/a",IF(Q$3&gt;(A4taxstdlife+$E158),('RFM input'!$M$226-'RFM input'!$M$280)-SUM($M158:P158),('RFM input'!$M$226-'RFM input'!$M$280)/A4taxstdlife))</f>
        <v>2.0702601500000001E-2</v>
      </c>
      <c r="R158" s="18"/>
      <c r="S158" s="78"/>
      <c r="T158" s="78"/>
      <c r="U158" s="78"/>
      <c r="V158" s="78"/>
      <c r="W158" s="78"/>
      <c r="X158" s="78"/>
      <c r="Y158" s="78"/>
      <c r="Z158" s="78"/>
      <c r="AA158" s="172"/>
    </row>
    <row r="159" spans="1:27" ht="12.75" hidden="1" customHeight="1" outlineLevel="2">
      <c r="A159" s="3"/>
      <c r="B159" s="3"/>
      <c r="C159" s="16"/>
      <c r="D159" s="1503"/>
      <c r="E159" s="63">
        <v>7</v>
      </c>
      <c r="F159" s="17"/>
      <c r="G159" s="17"/>
      <c r="H159" s="133"/>
      <c r="I159" s="134"/>
      <c r="J159" s="134"/>
      <c r="K159" s="134"/>
      <c r="L159" s="134"/>
      <c r="M159" s="134"/>
      <c r="N159" s="135"/>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8"/>
      <c r="T159" s="78"/>
      <c r="U159" s="78"/>
      <c r="V159" s="78"/>
      <c r="W159" s="78"/>
      <c r="X159" s="78"/>
      <c r="Y159" s="78"/>
      <c r="Z159" s="78"/>
      <c r="AA159" s="172"/>
    </row>
    <row r="160" spans="1:27" ht="12.75" hidden="1" customHeight="1" outlineLevel="2">
      <c r="A160" s="3"/>
      <c r="B160" s="3"/>
      <c r="C160" s="16"/>
      <c r="D160" s="1503"/>
      <c r="E160" s="63">
        <v>8</v>
      </c>
      <c r="F160" s="17"/>
      <c r="G160" s="17"/>
      <c r="H160" s="133"/>
      <c r="I160" s="134"/>
      <c r="J160" s="134"/>
      <c r="K160" s="134"/>
      <c r="L160" s="134"/>
      <c r="M160" s="134"/>
      <c r="N160" s="134"/>
      <c r="O160" s="135"/>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2"/>
    </row>
    <row r="161" spans="1:27" ht="12.75" hidden="1" customHeight="1" outlineLevel="2">
      <c r="A161" s="3"/>
      <c r="B161" s="3"/>
      <c r="C161" s="16"/>
      <c r="D161" s="1503"/>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0</v>
      </c>
      <c r="R161" s="18"/>
      <c r="S161" s="78"/>
      <c r="T161" s="78"/>
      <c r="U161" s="78"/>
      <c r="V161" s="78"/>
      <c r="W161" s="78"/>
      <c r="X161" s="78"/>
      <c r="Y161" s="78"/>
      <c r="Z161" s="78"/>
      <c r="AA161" s="172"/>
    </row>
    <row r="162" spans="1:27" ht="12.75" hidden="1" customHeight="1" outlineLevel="2">
      <c r="A162" s="3"/>
      <c r="B162" s="3"/>
      <c r="C162" s="16"/>
      <c r="D162" s="1503"/>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-0.16615278599470851</v>
      </c>
      <c r="I163" s="1342">
        <f>IF('RFM input'!$G$457="Tracked",-1*INDEX('RFM input'!I$461:I$510,MATCH('TAB roll forward'!$C163,'RFM input'!$E$461:$E$510,0)),-SUM(I151:I162))</f>
        <v>-0.16615278599470851</v>
      </c>
      <c r="J163" s="1319">
        <f>IF(COUNT($H163:I163)&gt;='RFM input'!$AA$7,0, IF('RFM input'!$G$457="Tracked",-1*INDEX('RFM input'!J$461:J$510,MATCH('TAB roll forward'!$C163,'RFM input'!$E$461:$E$510,0)),-SUM(J151:J162)))</f>
        <v>-0.16615278599470851</v>
      </c>
      <c r="K163" s="1319">
        <f>IF(COUNT($H163:J163)&gt;='RFM input'!$AA$7,0, IF('RFM input'!$G$457="Tracked",-1*INDEX('RFM input'!K$461:K$510,MATCH('TAB roll forward'!$C163,'RFM input'!$E$461:$E$510,0)),-SUM(K151:K162)))</f>
        <v>-0.16615278599470851</v>
      </c>
      <c r="L163" s="1319">
        <f>IF(COUNT($H163:K163)&gt;='RFM input'!$AA$7,0, IF('RFM input'!$G$457="Tracked",-1*INDEX('RFM input'!L$461:L$510,MATCH('TAB roll forward'!$C163,'RFM input'!$E$461:$E$510,0)),-SUM(L151:L162)))</f>
        <v>-0.16615278599470851</v>
      </c>
      <c r="M163" s="1319">
        <f>IF(COUNT($H163:L163)&gt;='RFM input'!$AA$7,0, IF('RFM input'!$G$457="Tracked",-1*INDEX('RFM input'!M$461:M$510,MATCH('TAB roll forward'!$C163,'RFM input'!$E$461:$E$510,0)),-SUM(M151:M162)))</f>
        <v>-0.16615278599470851</v>
      </c>
      <c r="N163" s="1319">
        <f>IF(COUNT($H163:M163)&gt;='RFM input'!$AA$7,0, IF('RFM input'!$G$457="Tracked",-1*INDEX('RFM input'!N$461:N$510,MATCH('TAB roll forward'!$C163,'RFM input'!$E$461:$E$510,0)),-SUM(N151:N162)))</f>
        <v>-0.18685538749470851</v>
      </c>
      <c r="O163" s="1319">
        <f>IF(COUNT($H163:N163)&gt;='RFM input'!$AA$7,0, IF('RFM input'!$G$457="Tracked",-1*INDEX('RFM input'!O$461:O$510,MATCH('TAB roll forward'!$C163,'RFM input'!$E$461:$E$510,0)),-SUM(O151:O162)))</f>
        <v>-0.18685538749470851</v>
      </c>
      <c r="P163" s="1319">
        <f>IF(COUNT($H163:O163)&gt;='RFM input'!$AA$7,0, IF('RFM input'!$G$457="Tracked",-1*INDEX('RFM input'!P$461:P$510,MATCH('TAB roll forward'!$C163,'RFM input'!$E$461:$E$510,0)),-SUM(P151:P162)))</f>
        <v>-0.18685538749470851</v>
      </c>
      <c r="Q163" s="1319">
        <f>IF(COUNT($H163:P163)&gt;='RFM input'!$AA$7,0, IF('RFM input'!$G$457="Tracked",-1*INDEX('RFM input'!Q$461:Q$510,MATCH('TAB roll forward'!$C163,'RFM input'!$E$461:$E$510,0)),-SUM(Q151:Q162)))</f>
        <v>-0.18685538749470851</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5.0495919999999994E-3</v>
      </c>
      <c r="I164" s="20">
        <f>IF(I$3&gt;A5taxremlife,A5taxvalue-SUM($F164:H164),IF(A5taxremlife="N/A","n/a",A5taxvalue/A5taxremlife))</f>
        <v>5.0495919999999994E-3</v>
      </c>
      <c r="J164" s="20">
        <f>IF(J$3&gt;A5taxremlife,A5taxvalue-SUM($F164:I164),IF(A5taxremlife="N/A","n/a",A5taxvalue/A5taxremlife))</f>
        <v>5.0495919999999994E-3</v>
      </c>
      <c r="K164" s="20">
        <f>IF(K$3&gt;A5taxremlife,A5taxvalue-SUM($F164:J164),IF(A5taxremlife="N/A","n/a",A5taxvalue/A5taxremlife))</f>
        <v>5.0495919999999994E-3</v>
      </c>
      <c r="L164" s="20">
        <f>IF(L$3&gt;A5taxremlife,A5taxvalue-SUM($F164:K164),IF(A5taxremlife="N/A","n/a",A5taxvalue/A5taxremlife))</f>
        <v>5.0495919999999994E-3</v>
      </c>
      <c r="M164" s="20">
        <f>IF(M$3&gt;A5taxremlife,A5taxvalue-SUM($F164:L164),IF(A5taxremlife="N/A","n/a",A5taxvalue/A5taxremlife))</f>
        <v>5.0495919999999994E-3</v>
      </c>
      <c r="N164" s="20">
        <f>IF(N$3&gt;A5taxremlife,A5taxvalue-SUM($F164:M164),IF(A5taxremlife="N/A","n/a",A5taxvalue/A5taxremlife))</f>
        <v>5.0495919999999994E-3</v>
      </c>
      <c r="O164" s="20">
        <f>IF(O$3&gt;A5taxremlife,A5taxvalue-SUM($F164:N164),IF(A5taxremlife="N/A","n/a",A5taxvalue/A5taxremlife))</f>
        <v>5.0495919999999994E-3</v>
      </c>
      <c r="P164" s="20">
        <f>IF(P$3&gt;A5taxremlife,A5taxvalue-SUM($F164:O164),IF(A5taxremlife="N/A","n/a",A5taxvalue/A5taxremlife))</f>
        <v>5.0495919999999994E-3</v>
      </c>
      <c r="Q164" s="20">
        <f>IF(Q$3&gt;A5taxremlife,A5taxvalue-SUM($F164:P164),IF(A5taxremlife="N/A","n/a",A5taxvalue/A5taxremlife))</f>
        <v>5.0495919999999994E-3</v>
      </c>
      <c r="R164" s="20"/>
      <c r="S164" s="78"/>
      <c r="T164" s="78"/>
      <c r="U164" s="78"/>
      <c r="V164" s="78"/>
      <c r="W164" s="78"/>
      <c r="X164" s="78"/>
      <c r="Y164" s="78"/>
      <c r="Z164" s="78"/>
      <c r="AA164" s="172"/>
    </row>
    <row r="165" spans="1:27" ht="12.75" hidden="1" customHeight="1" outlineLevel="2">
      <c r="A165" s="3"/>
      <c r="B165" s="3"/>
      <c r="C165" s="16"/>
      <c r="D165" s="1502"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3"/>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3"/>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3"/>
      <c r="E168" s="63">
        <v>3</v>
      </c>
      <c r="F168" s="17"/>
      <c r="G168" s="17"/>
      <c r="H168" s="133"/>
      <c r="I168" s="134"/>
      <c r="J168" s="135"/>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8"/>
      <c r="T168" s="78"/>
      <c r="U168" s="78"/>
      <c r="V168" s="78"/>
      <c r="W168" s="78"/>
      <c r="X168" s="78"/>
      <c r="Y168" s="78"/>
      <c r="Z168" s="78"/>
      <c r="AA168" s="172"/>
    </row>
    <row r="169" spans="1:27" ht="12.75" hidden="1" customHeight="1" outlineLevel="2">
      <c r="A169" s="3"/>
      <c r="B169" s="3"/>
      <c r="C169" s="16"/>
      <c r="D169" s="1503"/>
      <c r="E169" s="63">
        <v>4</v>
      </c>
      <c r="F169" s="17"/>
      <c r="G169" s="17"/>
      <c r="H169" s="133"/>
      <c r="I169" s="134"/>
      <c r="J169" s="134"/>
      <c r="K169" s="135"/>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8"/>
      <c r="T169" s="78"/>
      <c r="U169" s="78"/>
      <c r="V169" s="78"/>
      <c r="W169" s="78"/>
      <c r="X169" s="78"/>
      <c r="Y169" s="78"/>
      <c r="Z169" s="78"/>
      <c r="AA169" s="172"/>
    </row>
    <row r="170" spans="1:27" ht="12.75" hidden="1" customHeight="1" outlineLevel="2">
      <c r="A170" s="3"/>
      <c r="B170" s="3"/>
      <c r="C170" s="16"/>
      <c r="D170" s="1503"/>
      <c r="E170" s="63">
        <v>5</v>
      </c>
      <c r="F170" s="17"/>
      <c r="G170" s="17"/>
      <c r="H170" s="133"/>
      <c r="I170" s="134"/>
      <c r="J170" s="134"/>
      <c r="K170" s="134"/>
      <c r="L170" s="135"/>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2"/>
    </row>
    <row r="171" spans="1:27" ht="12.75" hidden="1" customHeight="1" outlineLevel="2">
      <c r="A171" s="3"/>
      <c r="B171" s="3"/>
      <c r="C171" s="16"/>
      <c r="D171" s="1503"/>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3"/>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3"/>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3"/>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3"/>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-5.0495919999999994E-3</v>
      </c>
      <c r="I176" s="1342">
        <f>IF('RFM input'!$G$457="Tracked",-1*INDEX('RFM input'!I$461:I$510,MATCH('TAB roll forward'!$C176,'RFM input'!$E$461:$E$510,0)),-SUM(I164:I175))</f>
        <v>-5.0495919999999994E-3</v>
      </c>
      <c r="J176" s="1319">
        <f>IF(COUNT($H176:I176)&gt;='RFM input'!$AA$7,0, IF('RFM input'!$G$457="Tracked",-1*INDEX('RFM input'!J$461:J$510,MATCH('TAB roll forward'!$C176,'RFM input'!$E$461:$E$510,0)),-SUM(J164:J175)))</f>
        <v>-5.0495919999999994E-3</v>
      </c>
      <c r="K176" s="1319">
        <f>IF(COUNT($H176:J176)&gt;='RFM input'!$AA$7,0, IF('RFM input'!$G$457="Tracked",-1*INDEX('RFM input'!K$461:K$510,MATCH('TAB roll forward'!$C176,'RFM input'!$E$461:$E$510,0)),-SUM(K164:K175)))</f>
        <v>-5.0495919999999994E-3</v>
      </c>
      <c r="L176" s="1319">
        <f>IF(COUNT($H176:K176)&gt;='RFM input'!$AA$7,0, IF('RFM input'!$G$457="Tracked",-1*INDEX('RFM input'!L$461:L$510,MATCH('TAB roll forward'!$C176,'RFM input'!$E$461:$E$510,0)),-SUM(L164:L175)))</f>
        <v>-5.0495919999999994E-3</v>
      </c>
      <c r="M176" s="1319">
        <f>IF(COUNT($H176:L176)&gt;='RFM input'!$AA$7,0, IF('RFM input'!$G$457="Tracked",-1*INDEX('RFM input'!M$461:M$510,MATCH('TAB roll forward'!$C176,'RFM input'!$E$461:$E$510,0)),-SUM(M164:M175)))</f>
        <v>-5.0495919999999994E-3</v>
      </c>
      <c r="N176" s="1319">
        <f>IF(COUNT($H176:M176)&gt;='RFM input'!$AA$7,0, IF('RFM input'!$G$457="Tracked",-1*INDEX('RFM input'!N$461:N$510,MATCH('TAB roll forward'!$C176,'RFM input'!$E$461:$E$510,0)),-SUM(N164:N175)))</f>
        <v>-5.0495919999999994E-3</v>
      </c>
      <c r="O176" s="1319">
        <f>IF(COUNT($H176:N176)&gt;='RFM input'!$AA$7,0, IF('RFM input'!$G$457="Tracked",-1*INDEX('RFM input'!O$461:O$510,MATCH('TAB roll forward'!$C176,'RFM input'!$E$461:$E$510,0)),-SUM(O164:O175)))</f>
        <v>-5.0495919999999994E-3</v>
      </c>
      <c r="P176" s="1319">
        <f>IF(COUNT($H176:O176)&gt;='RFM input'!$AA$7,0, IF('RFM input'!$G$457="Tracked",-1*INDEX('RFM input'!P$461:P$510,MATCH('TAB roll forward'!$C176,'RFM input'!$E$461:$E$510,0)),-SUM(P164:P175)))</f>
        <v>-5.0495919999999994E-3</v>
      </c>
      <c r="Q176" s="1319">
        <f>IF(COUNT($H176:P176)&gt;='RFM input'!$AA$7,0, IF('RFM input'!$G$457="Tracked",-1*INDEX('RFM input'!Q$461:Q$510,MATCH('TAB roll forward'!$C176,'RFM input'!$E$461:$E$510,0)),-SUM(Q164:Q175)))</f>
        <v>-5.0495919999999994E-3</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0.1815461013487415</v>
      </c>
      <c r="I177" s="20">
        <f>IF(I$3&gt;A6taxremlife,A6taxvalue-SUM($F177:H177),IF(A6taxremlife="N/A","n/a",A6taxvalue/A6taxremlife))</f>
        <v>0.1815461013487415</v>
      </c>
      <c r="J177" s="20">
        <f>IF(J$3&gt;A6taxremlife,A6taxvalue-SUM($F177:I177),IF(A6taxremlife="N/A","n/a",A6taxvalue/A6taxremlife))</f>
        <v>0.1815461013487415</v>
      </c>
      <c r="K177" s="20">
        <f>IF(K$3&gt;A6taxremlife,A6taxvalue-SUM($F177:J177),IF(A6taxremlife="N/A","n/a",A6taxvalue/A6taxremlife))</f>
        <v>0.1815461013487415</v>
      </c>
      <c r="L177" s="20">
        <f>IF(L$3&gt;A6taxremlife,A6taxvalue-SUM($F177:K177),IF(A6taxremlife="N/A","n/a",A6taxvalue/A6taxremlife))</f>
        <v>0.1815461013487415</v>
      </c>
      <c r="M177" s="20">
        <f>IF(M$3&gt;A6taxremlife,A6taxvalue-SUM($F177:L177),IF(A6taxremlife="N/A","n/a",A6taxvalue/A6taxremlife))</f>
        <v>0.1815461013487415</v>
      </c>
      <c r="N177" s="20">
        <f>IF(N$3&gt;A6taxremlife,A6taxvalue-SUM($F177:M177),IF(A6taxremlife="N/A","n/a",A6taxvalue/A6taxremlife))</f>
        <v>0.1815461013487415</v>
      </c>
      <c r="O177" s="20">
        <f>IF(O$3&gt;A6taxremlife,A6taxvalue-SUM($F177:N177),IF(A6taxremlife="N/A","n/a",A6taxvalue/A6taxremlife))</f>
        <v>0.1815461013487415</v>
      </c>
      <c r="P177" s="20">
        <f>IF(P$3&gt;A6taxremlife,A6taxvalue-SUM($F177:O177),IF(A6taxremlife="N/A","n/a",A6taxvalue/A6taxremlife))</f>
        <v>0.1815461013487415</v>
      </c>
      <c r="Q177" s="20">
        <f>IF(Q$3&gt;A6taxremlife,A6taxvalue-SUM($F177:P177),IF(A6taxremlife="N/A","n/a",A6taxvalue/A6taxremlife))</f>
        <v>1.0349416861326732E-2</v>
      </c>
      <c r="R177" s="20"/>
      <c r="S177" s="78"/>
      <c r="T177" s="78"/>
      <c r="U177" s="78"/>
      <c r="V177" s="78"/>
      <c r="W177" s="78"/>
      <c r="X177" s="78"/>
      <c r="Y177" s="78"/>
      <c r="Z177" s="78"/>
      <c r="AA177" s="172"/>
    </row>
    <row r="178" spans="1:27" ht="12.75" hidden="1" customHeight="1" outlineLevel="2">
      <c r="A178" s="3"/>
      <c r="B178" s="3"/>
      <c r="C178" s="16"/>
      <c r="D178" s="1502"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3"/>
      <c r="E179" s="63">
        <v>1</v>
      </c>
      <c r="F179" s="17"/>
      <c r="G179" s="17"/>
      <c r="H179" s="1309"/>
      <c r="I179" s="18">
        <f>IF(A6taxstdlife="n/a","n/a",IF(I$3&gt;(A6taxstdlife+$E179),('RFM input'!$H$228-'RFM input'!$H$282)-SUM($H179:H179),('RFM input'!$H$228-'RFM input'!$H$282)/A6taxstdlife))</f>
        <v>3.9570499999999999E-4</v>
      </c>
      <c r="J179" s="18">
        <f>IF(A6taxstdlife="n/a","n/a",IF(J$3&gt;(A6taxstdlife+$E179),('RFM input'!$H$228-'RFM input'!$H$282)-SUM($H179:I179),('RFM input'!$H$228-'RFM input'!$H$282)/A6taxstdlife))</f>
        <v>3.9570499999999999E-4</v>
      </c>
      <c r="K179" s="18">
        <f>IF(A6taxstdlife="n/a","n/a",IF(K$3&gt;(A6taxstdlife+$E179),('RFM input'!$H$228-'RFM input'!$H$282)-SUM($H179:J179),('RFM input'!$H$228-'RFM input'!$H$282)/A6taxstdlife))</f>
        <v>3.9570499999999999E-4</v>
      </c>
      <c r="L179" s="18">
        <f>IF(A6taxstdlife="n/a","n/a",IF(L$3&gt;(A6taxstdlife+$E179),('RFM input'!$H$228-'RFM input'!$H$282)-SUM($H179:K179),('RFM input'!$H$228-'RFM input'!$H$282)/A6taxstdlife))</f>
        <v>3.9570499999999999E-4</v>
      </c>
      <c r="M179" s="18">
        <f>IF(A6taxstdlife="n/a","n/a",IF(M$3&gt;(A6taxstdlife+$E179),('RFM input'!$H$228-'RFM input'!$H$282)-SUM($H179:L179),('RFM input'!$H$228-'RFM input'!$H$282)/A6taxstdlife))</f>
        <v>3.9570499999999999E-4</v>
      </c>
      <c r="N179" s="18">
        <f>IF(A6taxstdlife="n/a","n/a",IF(N$3&gt;(A6taxstdlife+$E179),('RFM input'!$H$228-'RFM input'!$H$282)-SUM($H179:M179),('RFM input'!$H$228-'RFM input'!$H$282)/A6taxstdlife))</f>
        <v>3.9570499999999999E-4</v>
      </c>
      <c r="O179" s="18">
        <f>IF(A6taxstdlife="n/a","n/a",IF(O$3&gt;(A6taxstdlife+$E179),('RFM input'!$H$228-'RFM input'!$H$282)-SUM($H179:N179),('RFM input'!$H$228-'RFM input'!$H$282)/A6taxstdlife))</f>
        <v>3.9570499999999999E-4</v>
      </c>
      <c r="P179" s="18">
        <f>IF(A6taxstdlife="n/a","n/a",IF(P$3&gt;(A6taxstdlife+$E179),('RFM input'!$H$228-'RFM input'!$H$282)-SUM($H179:O179),('RFM input'!$H$228-'RFM input'!$H$282)/A6taxstdlife))</f>
        <v>3.9570499999999999E-4</v>
      </c>
      <c r="Q179" s="18">
        <f>IF(A6taxstdlife="n/a","n/a",IF(Q$3&gt;(A6taxstdlife+$E179),('RFM input'!$H$228-'RFM input'!$H$282)-SUM($H179:P179),('RFM input'!$H$228-'RFM input'!$H$282)/A6taxstdlife))</f>
        <v>3.9570499999999999E-4</v>
      </c>
      <c r="R179" s="18"/>
      <c r="S179" s="78"/>
      <c r="T179" s="78"/>
      <c r="U179" s="78"/>
      <c r="V179" s="78"/>
      <c r="W179" s="78"/>
      <c r="X179" s="78"/>
      <c r="Y179" s="78"/>
      <c r="Z179" s="78"/>
      <c r="AA179" s="172"/>
    </row>
    <row r="180" spans="1:27" ht="12.75" hidden="1" customHeight="1" outlineLevel="2">
      <c r="A180" s="3"/>
      <c r="B180" s="3"/>
      <c r="C180" s="16"/>
      <c r="D180" s="1503"/>
      <c r="E180" s="63">
        <v>2</v>
      </c>
      <c r="F180" s="17"/>
      <c r="G180" s="17"/>
      <c r="H180" s="133"/>
      <c r="I180" s="135"/>
      <c r="J180" s="18">
        <f>IF(A6taxstdlife="n/a","n/a",IF(J$3&gt;(A6taxstdlife+$E180),('RFM input'!$I$228-'RFM input'!$I$282)-SUM($I180:I180),('RFM input'!$I$228-'RFM input'!$I$282)/A6taxstdlife))</f>
        <v>7.9947079999999997E-3</v>
      </c>
      <c r="K180" s="18">
        <f>IF(A6taxstdlife="n/a","n/a",IF(K$3&gt;(A6taxstdlife+$E180),('RFM input'!$I$228-'RFM input'!$I$282)-SUM($I180:J180),('RFM input'!$I$228-'RFM input'!$I$282)/A6taxstdlife))</f>
        <v>7.9947079999999997E-3</v>
      </c>
      <c r="L180" s="18">
        <f>IF(A6taxstdlife="n/a","n/a",IF(L$3&gt;(A6taxstdlife+$E180),('RFM input'!$I$228-'RFM input'!$I$282)-SUM($I180:K180),('RFM input'!$I$228-'RFM input'!$I$282)/A6taxstdlife))</f>
        <v>7.9947079999999997E-3</v>
      </c>
      <c r="M180" s="18">
        <f>IF(A6taxstdlife="n/a","n/a",IF(M$3&gt;(A6taxstdlife+$E180),('RFM input'!$I$228-'RFM input'!$I$282)-SUM($I180:L180),('RFM input'!$I$228-'RFM input'!$I$282)/A6taxstdlife))</f>
        <v>7.9947079999999997E-3</v>
      </c>
      <c r="N180" s="18">
        <f>IF(A6taxstdlife="n/a","n/a",IF(N$3&gt;(A6taxstdlife+$E180),('RFM input'!$I$228-'RFM input'!$I$282)-SUM($I180:M180),('RFM input'!$I$228-'RFM input'!$I$282)/A6taxstdlife))</f>
        <v>7.9947079999999997E-3</v>
      </c>
      <c r="O180" s="18">
        <f>IF(A6taxstdlife="n/a","n/a",IF(O$3&gt;(A6taxstdlife+$E180),('RFM input'!$I$228-'RFM input'!$I$282)-SUM($I180:N180),('RFM input'!$I$228-'RFM input'!$I$282)/A6taxstdlife))</f>
        <v>7.9947079999999997E-3</v>
      </c>
      <c r="P180" s="18">
        <f>IF(A6taxstdlife="n/a","n/a",IF(P$3&gt;(A6taxstdlife+$E180),('RFM input'!$I$228-'RFM input'!$I$282)-SUM($I180:O180),('RFM input'!$I$228-'RFM input'!$I$282)/A6taxstdlife))</f>
        <v>7.9947079999999997E-3</v>
      </c>
      <c r="Q180" s="18">
        <f>IF(A6taxstdlife="n/a","n/a",IF(Q$3&gt;(A6taxstdlife+$E180),('RFM input'!$I$228-'RFM input'!$I$282)-SUM($I180:P180),('RFM input'!$I$228-'RFM input'!$I$282)/A6taxstdlife))</f>
        <v>7.9947079999999997E-3</v>
      </c>
      <c r="R180" s="18"/>
      <c r="S180" s="78"/>
      <c r="T180" s="78"/>
      <c r="U180" s="78"/>
      <c r="V180" s="78"/>
      <c r="W180" s="78"/>
      <c r="X180" s="78"/>
      <c r="Y180" s="78"/>
      <c r="Z180" s="78"/>
      <c r="AA180" s="172"/>
    </row>
    <row r="181" spans="1:27" ht="12.75" hidden="1" customHeight="1" outlineLevel="2">
      <c r="A181" s="3"/>
      <c r="B181" s="3"/>
      <c r="C181" s="16"/>
      <c r="D181" s="1503"/>
      <c r="E181" s="63">
        <v>3</v>
      </c>
      <c r="F181" s="17"/>
      <c r="G181" s="17"/>
      <c r="H181" s="133"/>
      <c r="I181" s="134"/>
      <c r="J181" s="135"/>
      <c r="K181" s="18">
        <f>IF(A6taxstdlife="n/a","n/a",IF(K$3&gt;(A6taxstdlife+$E181),('RFM input'!$J$228-'RFM input'!$J$282)-SUM($J181:J181),('RFM input'!$J$228-'RFM input'!$J$282)/A6taxstdlife))</f>
        <v>3.5065796000000003E-2</v>
      </c>
      <c r="L181" s="18">
        <f>IF(A6taxstdlife="n/a","n/a",IF(L$3&gt;(A6taxstdlife+$E181),('RFM input'!$J$228-'RFM input'!$J$282)-SUM($J181:K181),('RFM input'!$J$228-'RFM input'!$J$282)/A6taxstdlife))</f>
        <v>3.5065796000000003E-2</v>
      </c>
      <c r="M181" s="18">
        <f>IF(A6taxstdlife="n/a","n/a",IF(M$3&gt;(A6taxstdlife+$E181),('RFM input'!$J$228-'RFM input'!$J$282)-SUM($J181:L181),('RFM input'!$J$228-'RFM input'!$J$282)/A6taxstdlife))</f>
        <v>3.5065796000000003E-2</v>
      </c>
      <c r="N181" s="18">
        <f>IF(A6taxstdlife="n/a","n/a",IF(N$3&gt;(A6taxstdlife+$E181),('RFM input'!$J$228-'RFM input'!$J$282)-SUM($J181:M181),('RFM input'!$J$228-'RFM input'!$J$282)/A6taxstdlife))</f>
        <v>3.5065796000000003E-2</v>
      </c>
      <c r="O181" s="18">
        <f>IF(A6taxstdlife="n/a","n/a",IF(O$3&gt;(A6taxstdlife+$E181),('RFM input'!$J$228-'RFM input'!$J$282)-SUM($J181:N181),('RFM input'!$J$228-'RFM input'!$J$282)/A6taxstdlife))</f>
        <v>3.5065796000000003E-2</v>
      </c>
      <c r="P181" s="18">
        <f>IF(A6taxstdlife="n/a","n/a",IF(P$3&gt;(A6taxstdlife+$E181),('RFM input'!$J$228-'RFM input'!$J$282)-SUM($J181:O181),('RFM input'!$J$228-'RFM input'!$J$282)/A6taxstdlife))</f>
        <v>3.5065796000000003E-2</v>
      </c>
      <c r="Q181" s="18">
        <f>IF(A6taxstdlife="n/a","n/a",IF(Q$3&gt;(A6taxstdlife+$E181),('RFM input'!$J$228-'RFM input'!$J$282)-SUM($J181:P181),('RFM input'!$J$228-'RFM input'!$J$282)/A6taxstdlife))</f>
        <v>3.5065796000000003E-2</v>
      </c>
      <c r="R181" s="18"/>
      <c r="S181" s="78"/>
      <c r="T181" s="78"/>
      <c r="U181" s="78"/>
      <c r="V181" s="78"/>
      <c r="W181" s="78"/>
      <c r="X181" s="78"/>
      <c r="Y181" s="78"/>
      <c r="Z181" s="78"/>
      <c r="AA181" s="172"/>
    </row>
    <row r="182" spans="1:27" ht="12.75" hidden="1" customHeight="1" outlineLevel="2">
      <c r="A182" s="3"/>
      <c r="B182" s="3"/>
      <c r="C182" s="16"/>
      <c r="D182" s="1503"/>
      <c r="E182" s="63">
        <v>4</v>
      </c>
      <c r="F182" s="17"/>
      <c r="G182" s="17"/>
      <c r="H182" s="133"/>
      <c r="I182" s="134"/>
      <c r="J182" s="134"/>
      <c r="K182" s="135"/>
      <c r="L182" s="18">
        <f>IF(A6taxstdlife="n/a","n/a",IF(L$3&gt;(A6taxstdlife+$E182),('RFM input'!$K$228-'RFM input'!$K$282)-SUM($K182:K182),('RFM input'!$K$228-'RFM input'!$K$282)/A6taxstdlife))</f>
        <v>2.3417114999999999E-2</v>
      </c>
      <c r="M182" s="18">
        <f>IF(A6taxstdlife="n/a","n/a",IF(M$3&gt;(A6taxstdlife+$E182),('RFM input'!$K$228-'RFM input'!$K$282)-SUM($K182:L182),('RFM input'!$K$228-'RFM input'!$K$282)/A6taxstdlife))</f>
        <v>2.3417114999999999E-2</v>
      </c>
      <c r="N182" s="18">
        <f>IF(A6taxstdlife="n/a","n/a",IF(N$3&gt;(A6taxstdlife+$E182),('RFM input'!$K$228-'RFM input'!$K$282)-SUM($K182:M182),('RFM input'!$K$228-'RFM input'!$K$282)/A6taxstdlife))</f>
        <v>2.3417114999999999E-2</v>
      </c>
      <c r="O182" s="18">
        <f>IF(A6taxstdlife="n/a","n/a",IF(O$3&gt;(A6taxstdlife+$E182),('RFM input'!$K$228-'RFM input'!$K$282)-SUM($K182:N182),('RFM input'!$K$228-'RFM input'!$K$282)/A6taxstdlife))</f>
        <v>2.3417114999999999E-2</v>
      </c>
      <c r="P182" s="18">
        <f>IF(A6taxstdlife="n/a","n/a",IF(P$3&gt;(A6taxstdlife+$E182),('RFM input'!$K$228-'RFM input'!$K$282)-SUM($K182:O182),('RFM input'!$K$228-'RFM input'!$K$282)/A6taxstdlife))</f>
        <v>2.3417114999999999E-2</v>
      </c>
      <c r="Q182" s="18">
        <f>IF(A6taxstdlife="n/a","n/a",IF(Q$3&gt;(A6taxstdlife+$E182),('RFM input'!$K$228-'RFM input'!$K$282)-SUM($K182:P182),('RFM input'!$K$228-'RFM input'!$K$282)/A6taxstdlife))</f>
        <v>2.3417114999999999E-2</v>
      </c>
      <c r="R182" s="18"/>
      <c r="S182" s="78"/>
      <c r="T182" s="78"/>
      <c r="U182" s="78"/>
      <c r="V182" s="78"/>
      <c r="W182" s="78"/>
      <c r="X182" s="78"/>
      <c r="Y182" s="78"/>
      <c r="Z182" s="78"/>
      <c r="AA182" s="172"/>
    </row>
    <row r="183" spans="1:27" ht="12.75" hidden="1" customHeight="1" outlineLevel="2">
      <c r="A183" s="3"/>
      <c r="B183" s="3"/>
      <c r="C183" s="16"/>
      <c r="D183" s="1503"/>
      <c r="E183" s="63">
        <v>5</v>
      </c>
      <c r="F183" s="17"/>
      <c r="G183" s="17"/>
      <c r="H183" s="133"/>
      <c r="I183" s="134"/>
      <c r="J183" s="134"/>
      <c r="K183" s="134"/>
      <c r="L183" s="135"/>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2"/>
    </row>
    <row r="184" spans="1:27" ht="12.75" hidden="1" customHeight="1" outlineLevel="2">
      <c r="A184" s="3"/>
      <c r="B184" s="3"/>
      <c r="C184" s="16"/>
      <c r="D184" s="1503"/>
      <c r="E184" s="63">
        <v>6</v>
      </c>
      <c r="F184" s="17"/>
      <c r="G184" s="17"/>
      <c r="H184" s="133"/>
      <c r="I184" s="134"/>
      <c r="J184" s="134"/>
      <c r="K184" s="134"/>
      <c r="L184" s="134"/>
      <c r="M184" s="135"/>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2"/>
    </row>
    <row r="185" spans="1:27" ht="12.75" hidden="1" customHeight="1" outlineLevel="2">
      <c r="A185" s="3"/>
      <c r="B185" s="3"/>
      <c r="C185" s="16"/>
      <c r="D185" s="1503"/>
      <c r="E185" s="63">
        <v>7</v>
      </c>
      <c r="F185" s="17"/>
      <c r="G185" s="17"/>
      <c r="H185" s="133"/>
      <c r="I185" s="134"/>
      <c r="J185" s="134"/>
      <c r="K185" s="134"/>
      <c r="L185" s="134"/>
      <c r="M185" s="134"/>
      <c r="N185" s="135"/>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2"/>
    </row>
    <row r="186" spans="1:27" ht="12.75" hidden="1" customHeight="1" outlineLevel="2">
      <c r="A186" s="3"/>
      <c r="B186" s="3"/>
      <c r="C186" s="16"/>
      <c r="D186" s="1503"/>
      <c r="E186" s="63">
        <v>8</v>
      </c>
      <c r="F186" s="17"/>
      <c r="G186" s="17"/>
      <c r="H186" s="133"/>
      <c r="I186" s="134"/>
      <c r="J186" s="134"/>
      <c r="K186" s="134"/>
      <c r="L186" s="134"/>
      <c r="M186" s="134"/>
      <c r="N186" s="134"/>
      <c r="O186" s="135"/>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2"/>
    </row>
    <row r="187" spans="1:27" ht="12.75" hidden="1" customHeight="1" outlineLevel="2">
      <c r="A187" s="3"/>
      <c r="B187" s="3"/>
      <c r="C187" s="16"/>
      <c r="D187" s="1503"/>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0</v>
      </c>
      <c r="R187" s="18"/>
      <c r="S187" s="78"/>
      <c r="T187" s="78"/>
      <c r="U187" s="78"/>
      <c r="V187" s="78"/>
      <c r="W187" s="78"/>
      <c r="X187" s="78"/>
      <c r="Y187" s="78"/>
      <c r="Z187" s="78"/>
      <c r="AA187" s="172"/>
    </row>
    <row r="188" spans="1:27" ht="12.75" hidden="1" customHeight="1" outlineLevel="2">
      <c r="A188" s="3"/>
      <c r="B188" s="3"/>
      <c r="C188" s="16"/>
      <c r="D188" s="1503"/>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-0.1815461013487415</v>
      </c>
      <c r="I189" s="1342">
        <f>IF('RFM input'!$G$457="Tracked",-1*INDEX('RFM input'!I$461:I$510,MATCH('TAB roll forward'!$C189,'RFM input'!$E$461:$E$510,0)),-SUM(I177:I188))</f>
        <v>-0.18194180634874149</v>
      </c>
      <c r="J189" s="1319">
        <f>IF(COUNT($H189:I189)&gt;='RFM input'!$AA$7,0, IF('RFM input'!$G$457="Tracked",-1*INDEX('RFM input'!J$461:J$510,MATCH('TAB roll forward'!$C189,'RFM input'!$E$461:$E$510,0)),-SUM(J177:J188)))</f>
        <v>-0.18993651434874148</v>
      </c>
      <c r="K189" s="1319">
        <f>IF(COUNT($H189:J189)&gt;='RFM input'!$AA$7,0, IF('RFM input'!$G$457="Tracked",-1*INDEX('RFM input'!K$461:K$510,MATCH('TAB roll forward'!$C189,'RFM input'!$E$461:$E$510,0)),-SUM(K177:K188)))</f>
        <v>-0.22500231034874149</v>
      </c>
      <c r="L189" s="1319">
        <f>IF(COUNT($H189:K189)&gt;='RFM input'!$AA$7,0, IF('RFM input'!$G$457="Tracked",-1*INDEX('RFM input'!L$461:L$510,MATCH('TAB roll forward'!$C189,'RFM input'!$E$461:$E$510,0)),-SUM(L177:L188)))</f>
        <v>-0.24841942534874148</v>
      </c>
      <c r="M189" s="1319">
        <f>IF(COUNT($H189:L189)&gt;='RFM input'!$AA$7,0, IF('RFM input'!$G$457="Tracked",-1*INDEX('RFM input'!M$461:M$510,MATCH('TAB roll forward'!$C189,'RFM input'!$E$461:$E$510,0)),-SUM(M177:M188)))</f>
        <v>-0.24841942534874148</v>
      </c>
      <c r="N189" s="1319">
        <f>IF(COUNT($H189:M189)&gt;='RFM input'!$AA$7,0, IF('RFM input'!$G$457="Tracked",-1*INDEX('RFM input'!N$461:N$510,MATCH('TAB roll forward'!$C189,'RFM input'!$E$461:$E$510,0)),-SUM(N177:N188)))</f>
        <v>-0.24841942534874148</v>
      </c>
      <c r="O189" s="1319">
        <f>IF(COUNT($H189:N189)&gt;='RFM input'!$AA$7,0, IF('RFM input'!$G$457="Tracked",-1*INDEX('RFM input'!O$461:O$510,MATCH('TAB roll forward'!$C189,'RFM input'!$E$461:$E$510,0)),-SUM(O177:O188)))</f>
        <v>-0.24841942534874148</v>
      </c>
      <c r="P189" s="1319">
        <f>IF(COUNT($H189:O189)&gt;='RFM input'!$AA$7,0, IF('RFM input'!$G$457="Tracked",-1*INDEX('RFM input'!P$461:P$510,MATCH('TAB roll forward'!$C189,'RFM input'!$E$461:$E$510,0)),-SUM(P177:P188)))</f>
        <v>-0.24841942534874148</v>
      </c>
      <c r="Q189" s="1319">
        <f>IF(COUNT($H189:P189)&gt;='RFM input'!$AA$7,0, IF('RFM input'!$G$457="Tracked",-1*INDEX('RFM input'!Q$461:Q$510,MATCH('TAB roll forward'!$C189,'RFM input'!$E$461:$E$510,0)),-SUM(Q177:Q188)))</f>
        <v>-7.722274086132673E-2</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8.1418312495400172E-2</v>
      </c>
      <c r="I190" s="20">
        <f>IF(I$3&gt;A7taxremlife,A7taxvalue-SUM($F190:H190),IF(A7taxremlife="N/A","n/a",A7taxvalue/A7taxremlife))</f>
        <v>8.1418312495400172E-2</v>
      </c>
      <c r="J190" s="20">
        <f>IF(J$3&gt;A7taxremlife,A7taxvalue-SUM($F190:I190),IF(A7taxremlife="N/A","n/a",A7taxvalue/A7taxremlife))</f>
        <v>8.1418312495400172E-2</v>
      </c>
      <c r="K190" s="20">
        <f>IF(K$3&gt;A7taxremlife,A7taxvalue-SUM($F190:J190),IF(A7taxremlife="N/A","n/a",A7taxvalue/A7taxremlife))</f>
        <v>8.1418312495400172E-2</v>
      </c>
      <c r="L190" s="20">
        <f>IF(L$3&gt;A7taxremlife,A7taxvalue-SUM($F190:K190),IF(A7taxremlife="N/A","n/a",A7taxvalue/A7taxremlife))</f>
        <v>8.1418312495400172E-2</v>
      </c>
      <c r="M190" s="20">
        <f>IF(M$3&gt;A7taxremlife,A7taxvalue-SUM($F190:L190),IF(A7taxremlife="N/A","n/a",A7taxvalue/A7taxremlife))</f>
        <v>8.1418312495400172E-2</v>
      </c>
      <c r="N190" s="20">
        <f>IF(N$3&gt;A7taxremlife,A7taxvalue-SUM($F190:M190),IF(A7taxremlife="N/A","n/a",A7taxvalue/A7taxremlife))</f>
        <v>8.1418312495400172E-2</v>
      </c>
      <c r="O190" s="20">
        <f>IF(O$3&gt;A7taxremlife,A7taxvalue-SUM($F190:N190),IF(A7taxremlife="N/A","n/a",A7taxvalue/A7taxremlife))</f>
        <v>8.1418312495400172E-2</v>
      </c>
      <c r="P190" s="20">
        <f>IF(P$3&gt;A7taxremlife,A7taxvalue-SUM($F190:O190),IF(A7taxremlife="N/A","n/a",A7taxvalue/A7taxremlife))</f>
        <v>8.1418312495400172E-2</v>
      </c>
      <c r="Q190" s="20">
        <f>IF(Q$3&gt;A7taxremlife,A7taxvalue-SUM($F190:P190),IF(A7taxremlife="N/A","n/a",A7taxvalue/A7taxremlife))</f>
        <v>8.1418312495400172E-2</v>
      </c>
      <c r="R190" s="20"/>
      <c r="S190" s="78"/>
      <c r="T190" s="78"/>
      <c r="U190" s="78"/>
      <c r="V190" s="78"/>
      <c r="W190" s="78"/>
      <c r="X190" s="78"/>
      <c r="Y190" s="78"/>
      <c r="Z190" s="78"/>
      <c r="AA190" s="172"/>
    </row>
    <row r="191" spans="1:27" ht="12.75" hidden="1" customHeight="1" outlineLevel="2">
      <c r="A191" s="3"/>
      <c r="B191" s="3"/>
      <c r="C191" s="16"/>
      <c r="D191" s="1502"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3"/>
      <c r="E192" s="63">
        <v>1</v>
      </c>
      <c r="F192" s="17"/>
      <c r="G192" s="17"/>
      <c r="H192" s="1309"/>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2"/>
    </row>
    <row r="193" spans="1:27" ht="12.75" hidden="1" customHeight="1" outlineLevel="2">
      <c r="A193" s="3"/>
      <c r="B193" s="3"/>
      <c r="C193" s="16"/>
      <c r="D193" s="1503"/>
      <c r="E193" s="63">
        <v>2</v>
      </c>
      <c r="F193" s="17"/>
      <c r="G193" s="17"/>
      <c r="H193" s="133"/>
      <c r="I193" s="135"/>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2"/>
    </row>
    <row r="194" spans="1:27" ht="12.75" hidden="1" customHeight="1" outlineLevel="2">
      <c r="A194" s="3"/>
      <c r="B194" s="3"/>
      <c r="C194" s="16"/>
      <c r="D194" s="1503"/>
      <c r="E194" s="63">
        <v>3</v>
      </c>
      <c r="F194" s="17"/>
      <c r="G194" s="17"/>
      <c r="H194" s="133"/>
      <c r="I194" s="134"/>
      <c r="J194" s="135"/>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2"/>
    </row>
    <row r="195" spans="1:27" ht="12.75" hidden="1" customHeight="1" outlineLevel="2">
      <c r="A195" s="3"/>
      <c r="B195" s="3"/>
      <c r="C195" s="16"/>
      <c r="D195" s="1503"/>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3"/>
      <c r="E196" s="63">
        <v>5</v>
      </c>
      <c r="F196" s="17"/>
      <c r="G196" s="17"/>
      <c r="H196" s="133"/>
      <c r="I196" s="134"/>
      <c r="J196" s="134"/>
      <c r="K196" s="134"/>
      <c r="L196" s="135"/>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2"/>
    </row>
    <row r="197" spans="1:27" ht="12.75" hidden="1" customHeight="1" outlineLevel="2">
      <c r="A197" s="3"/>
      <c r="B197" s="3"/>
      <c r="C197" s="16"/>
      <c r="D197" s="1503"/>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3"/>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3"/>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3"/>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3"/>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-8.1418312495400172E-2</v>
      </c>
      <c r="I202" s="1342">
        <f>IF('RFM input'!$G$457="Tracked",-1*INDEX('RFM input'!I$461:I$510,MATCH('TAB roll forward'!$C202,'RFM input'!$E$461:$E$510,0)),-SUM(I190:I201))</f>
        <v>-8.1418312495400172E-2</v>
      </c>
      <c r="J202" s="1319">
        <f>IF(COUNT($H202:I202)&gt;='RFM input'!$AA$7,0, IF('RFM input'!$G$457="Tracked",-1*INDEX('RFM input'!J$461:J$510,MATCH('TAB roll forward'!$C202,'RFM input'!$E$461:$E$510,0)),-SUM(J190:J201)))</f>
        <v>-8.1418312495400172E-2</v>
      </c>
      <c r="K202" s="1319">
        <f>IF(COUNT($H202:J202)&gt;='RFM input'!$AA$7,0, IF('RFM input'!$G$457="Tracked",-1*INDEX('RFM input'!K$461:K$510,MATCH('TAB roll forward'!$C202,'RFM input'!$E$461:$E$510,0)),-SUM(K190:K201)))</f>
        <v>-8.1418312495400172E-2</v>
      </c>
      <c r="L202" s="1319">
        <f>IF(COUNT($H202:K202)&gt;='RFM input'!$AA$7,0, IF('RFM input'!$G$457="Tracked",-1*INDEX('RFM input'!L$461:L$510,MATCH('TAB roll forward'!$C202,'RFM input'!$E$461:$E$510,0)),-SUM(L190:L201)))</f>
        <v>-8.1418312495400172E-2</v>
      </c>
      <c r="M202" s="1319">
        <f>IF(COUNT($H202:L202)&gt;='RFM input'!$AA$7,0, IF('RFM input'!$G$457="Tracked",-1*INDEX('RFM input'!M$461:M$510,MATCH('TAB roll forward'!$C202,'RFM input'!$E$461:$E$510,0)),-SUM(M190:M201)))</f>
        <v>-8.1418312495400172E-2</v>
      </c>
      <c r="N202" s="1319">
        <f>IF(COUNT($H202:M202)&gt;='RFM input'!$AA$7,0, IF('RFM input'!$G$457="Tracked",-1*INDEX('RFM input'!N$461:N$510,MATCH('TAB roll forward'!$C202,'RFM input'!$E$461:$E$510,0)),-SUM(N190:N201)))</f>
        <v>-8.1418312495400172E-2</v>
      </c>
      <c r="O202" s="1319">
        <f>IF(COUNT($H202:N202)&gt;='RFM input'!$AA$7,0, IF('RFM input'!$G$457="Tracked",-1*INDEX('RFM input'!O$461:O$510,MATCH('TAB roll forward'!$C202,'RFM input'!$E$461:$E$510,0)),-SUM(O190:O201)))</f>
        <v>-8.1418312495400172E-2</v>
      </c>
      <c r="P202" s="1319">
        <f>IF(COUNT($H202:O202)&gt;='RFM input'!$AA$7,0, IF('RFM input'!$G$457="Tracked",-1*INDEX('RFM input'!P$461:P$510,MATCH('TAB roll forward'!$C202,'RFM input'!$E$461:$E$510,0)),-SUM(P190:P201)))</f>
        <v>-8.1418312495400172E-2</v>
      </c>
      <c r="Q202" s="1319">
        <f>IF(COUNT($H202:P202)&gt;='RFM input'!$AA$7,0, IF('RFM input'!$G$457="Tracked",-1*INDEX('RFM input'!Q$461:Q$510,MATCH('TAB roll forward'!$C202,'RFM input'!$E$461:$E$510,0)),-SUM(Q190:Q201)))</f>
        <v>-8.1418312495400172E-2</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2"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3"/>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3"/>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3"/>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3"/>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3"/>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3"/>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3"/>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3"/>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3"/>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3"/>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0.25812102382610119</v>
      </c>
      <c r="I216" s="20">
        <f>IF(I$3&gt;A9taxremlife,A9taxvalue-SUM($F216:H216),IF(A9taxremlife="N/A","n/a",A9taxvalue/A9taxremlife))</f>
        <v>0.25812102382610119</v>
      </c>
      <c r="J216" s="20">
        <f>IF(J$3&gt;A9taxremlife,A9taxvalue-SUM($F216:I216),IF(A9taxremlife="N/A","n/a",A9taxvalue/A9taxremlife))</f>
        <v>0.25812102382610119</v>
      </c>
      <c r="K216" s="20">
        <f>IF(K$3&gt;A9taxremlife,A9taxvalue-SUM($F216:J216),IF(A9taxremlife="N/A","n/a",A9taxvalue/A9taxremlife))</f>
        <v>0.25812102382610119</v>
      </c>
      <c r="L216" s="20">
        <f>IF(L$3&gt;A9taxremlife,A9taxvalue-SUM($F216:K216),IF(A9taxremlife="N/A","n/a",A9taxvalue/A9taxremlife))</f>
        <v>0.25812102382610119</v>
      </c>
      <c r="M216" s="20">
        <f>IF(M$3&gt;A9taxremlife,A9taxvalue-SUM($F216:L216),IF(A9taxremlife="N/A","n/a",A9taxvalue/A9taxremlife))</f>
        <v>0.25812102382610119</v>
      </c>
      <c r="N216" s="20">
        <f>IF(N$3&gt;A9taxremlife,A9taxvalue-SUM($F216:M216),IF(A9taxremlife="N/A","n/a",A9taxvalue/A9taxremlife))</f>
        <v>0.25812102382610119</v>
      </c>
      <c r="O216" s="20">
        <f>IF(O$3&gt;A9taxremlife,A9taxvalue-SUM($F216:N216),IF(A9taxremlife="N/A","n/a",A9taxvalue/A9taxremlife))</f>
        <v>0.25812102382610119</v>
      </c>
      <c r="P216" s="20">
        <f>IF(P$3&gt;A9taxremlife,A9taxvalue-SUM($F216:O216),IF(A9taxremlife="N/A","n/a",A9taxvalue/A9taxremlife))</f>
        <v>0.25812102382610119</v>
      </c>
      <c r="Q216" s="20">
        <f>IF(Q$3&gt;A9taxremlife,A9taxvalue-SUM($F216:P216),IF(A9taxremlife="N/A","n/a",A9taxvalue/A9taxremlife))</f>
        <v>0.25812102382610119</v>
      </c>
      <c r="R216" s="20"/>
      <c r="S216" s="78"/>
      <c r="T216" s="78"/>
      <c r="U216" s="78"/>
      <c r="V216" s="78"/>
      <c r="W216" s="78"/>
      <c r="X216" s="78"/>
      <c r="Y216" s="78"/>
      <c r="Z216" s="78"/>
      <c r="AA216" s="172"/>
    </row>
    <row r="217" spans="1:27" ht="12.75" hidden="1" customHeight="1" outlineLevel="2">
      <c r="A217" s="3"/>
      <c r="B217" s="3"/>
      <c r="C217" s="16"/>
      <c r="D217" s="1502"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3"/>
      <c r="E218" s="63">
        <v>1</v>
      </c>
      <c r="F218" s="17"/>
      <c r="G218" s="17"/>
      <c r="H218" s="1309"/>
      <c r="I218" s="18">
        <f>IF(A9taxstdlife="n/a","n/a",IF(I$3&gt;(A9taxstdlife+$E218),('RFM input'!$H$231-'RFM input'!$H$285)-SUM($H218:H218),('RFM input'!$H$231-'RFM input'!$H$285)/A9taxstdlife))</f>
        <v>6.6662099999999995E-4</v>
      </c>
      <c r="J218" s="18">
        <f>IF(A9taxstdlife="n/a","n/a",IF(J$3&gt;(A9taxstdlife+$E218),('RFM input'!$H$231-'RFM input'!$H$285)-SUM($H218:I218),('RFM input'!$H$231-'RFM input'!$H$285)/A9taxstdlife))</f>
        <v>6.6662099999999995E-4</v>
      </c>
      <c r="K218" s="18">
        <f>IF(A9taxstdlife="n/a","n/a",IF(K$3&gt;(A9taxstdlife+$E218),('RFM input'!$H$231-'RFM input'!$H$285)-SUM($H218:J218),('RFM input'!$H$231-'RFM input'!$H$285)/A9taxstdlife))</f>
        <v>6.6662099999999995E-4</v>
      </c>
      <c r="L218" s="18">
        <f>IF(A9taxstdlife="n/a","n/a",IF(L$3&gt;(A9taxstdlife+$E218),('RFM input'!$H$231-'RFM input'!$H$285)-SUM($H218:K218),('RFM input'!$H$231-'RFM input'!$H$285)/A9taxstdlife))</f>
        <v>6.6662099999999995E-4</v>
      </c>
      <c r="M218" s="18">
        <f>IF(A9taxstdlife="n/a","n/a",IF(M$3&gt;(A9taxstdlife+$E218),('RFM input'!$H$231-'RFM input'!$H$285)-SUM($H218:L218),('RFM input'!$H$231-'RFM input'!$H$285)/A9taxstdlife))</f>
        <v>6.6662099999999995E-4</v>
      </c>
      <c r="N218" s="18">
        <f>IF(A9taxstdlife="n/a","n/a",IF(N$3&gt;(A9taxstdlife+$E218),('RFM input'!$H$231-'RFM input'!$H$285)-SUM($H218:M218),('RFM input'!$H$231-'RFM input'!$H$285)/A9taxstdlife))</f>
        <v>6.6662099999999995E-4</v>
      </c>
      <c r="O218" s="18">
        <f>IF(A9taxstdlife="n/a","n/a",IF(O$3&gt;(A9taxstdlife+$E218),('RFM input'!$H$231-'RFM input'!$H$285)-SUM($H218:N218),('RFM input'!$H$231-'RFM input'!$H$285)/A9taxstdlife))</f>
        <v>6.6662099999999995E-4</v>
      </c>
      <c r="P218" s="18">
        <f>IF(A9taxstdlife="n/a","n/a",IF(P$3&gt;(A9taxstdlife+$E218),('RFM input'!$H$231-'RFM input'!$H$285)-SUM($H218:O218),('RFM input'!$H$231-'RFM input'!$H$285)/A9taxstdlife))</f>
        <v>6.6662099999999995E-4</v>
      </c>
      <c r="Q218" s="18">
        <f>IF(A9taxstdlife="n/a","n/a",IF(Q$3&gt;(A9taxstdlife+$E218),('RFM input'!$H$231-'RFM input'!$H$285)-SUM($H218:P218),('RFM input'!$H$231-'RFM input'!$H$285)/A9taxstdlife))</f>
        <v>6.6662099999999995E-4</v>
      </c>
      <c r="R218" s="18"/>
      <c r="S218" s="78"/>
      <c r="T218" s="78"/>
      <c r="U218" s="78"/>
      <c r="V218" s="78"/>
      <c r="W218" s="78"/>
      <c r="X218" s="78"/>
      <c r="Y218" s="78"/>
      <c r="Z218" s="78"/>
      <c r="AA218" s="172"/>
    </row>
    <row r="219" spans="1:27" ht="12.75" hidden="1" customHeight="1" outlineLevel="2">
      <c r="A219" s="3"/>
      <c r="B219" s="3"/>
      <c r="C219" s="16"/>
      <c r="D219" s="1503"/>
      <c r="E219" s="63">
        <v>2</v>
      </c>
      <c r="F219" s="17"/>
      <c r="G219" s="17"/>
      <c r="H219" s="133"/>
      <c r="I219" s="135"/>
      <c r="J219" s="18">
        <f>IF(A9taxstdlife="n/a","n/a",IF(J$3&gt;(A9taxstdlife+$E219),('RFM input'!$I$231-'RFM input'!$I$285)-SUM($I219:I219),('RFM input'!$I$231-'RFM input'!$I$285)/A9taxstdlife))</f>
        <v>1.7345780000000005E-2</v>
      </c>
      <c r="K219" s="18">
        <f>IF(A9taxstdlife="n/a","n/a",IF(K$3&gt;(A9taxstdlife+$E219),('RFM input'!$I$231-'RFM input'!$I$285)-SUM($I219:J219),('RFM input'!$I$231-'RFM input'!$I$285)/A9taxstdlife))</f>
        <v>1.7345780000000005E-2</v>
      </c>
      <c r="L219" s="18">
        <f>IF(A9taxstdlife="n/a","n/a",IF(L$3&gt;(A9taxstdlife+$E219),('RFM input'!$I$231-'RFM input'!$I$285)-SUM($I219:K219),('RFM input'!$I$231-'RFM input'!$I$285)/A9taxstdlife))</f>
        <v>1.7345780000000005E-2</v>
      </c>
      <c r="M219" s="18">
        <f>IF(A9taxstdlife="n/a","n/a",IF(M$3&gt;(A9taxstdlife+$E219),('RFM input'!$I$231-'RFM input'!$I$285)-SUM($I219:L219),('RFM input'!$I$231-'RFM input'!$I$285)/A9taxstdlife))</f>
        <v>1.7345780000000005E-2</v>
      </c>
      <c r="N219" s="18">
        <f>IF(A9taxstdlife="n/a","n/a",IF(N$3&gt;(A9taxstdlife+$E219),('RFM input'!$I$231-'RFM input'!$I$285)-SUM($I219:M219),('RFM input'!$I$231-'RFM input'!$I$285)/A9taxstdlife))</f>
        <v>1.7345780000000005E-2</v>
      </c>
      <c r="O219" s="18">
        <f>IF(A9taxstdlife="n/a","n/a",IF(O$3&gt;(A9taxstdlife+$E219),('RFM input'!$I$231-'RFM input'!$I$285)-SUM($I219:N219),('RFM input'!$I$231-'RFM input'!$I$285)/A9taxstdlife))</f>
        <v>1.7345780000000005E-2</v>
      </c>
      <c r="P219" s="18">
        <f>IF(A9taxstdlife="n/a","n/a",IF(P$3&gt;(A9taxstdlife+$E219),('RFM input'!$I$231-'RFM input'!$I$285)-SUM($I219:O219),('RFM input'!$I$231-'RFM input'!$I$285)/A9taxstdlife))</f>
        <v>1.7345780000000005E-2</v>
      </c>
      <c r="Q219" s="18">
        <f>IF(A9taxstdlife="n/a","n/a",IF(Q$3&gt;(A9taxstdlife+$E219),('RFM input'!$I$231-'RFM input'!$I$285)-SUM($I219:P219),('RFM input'!$I$231-'RFM input'!$I$285)/A9taxstdlife))</f>
        <v>1.7345780000000005E-2</v>
      </c>
      <c r="R219" s="18"/>
      <c r="S219" s="78"/>
      <c r="T219" s="78"/>
      <c r="U219" s="78"/>
      <c r="V219" s="78"/>
      <c r="W219" s="78"/>
      <c r="X219" s="78"/>
      <c r="Y219" s="78"/>
      <c r="Z219" s="78"/>
      <c r="AA219" s="172"/>
    </row>
    <row r="220" spans="1:27" ht="12.75" hidden="1" customHeight="1" outlineLevel="2">
      <c r="A220" s="3"/>
      <c r="B220" s="3"/>
      <c r="C220" s="16"/>
      <c r="D220" s="1503"/>
      <c r="E220" s="63">
        <v>3</v>
      </c>
      <c r="F220" s="17"/>
      <c r="G220" s="17"/>
      <c r="H220" s="133"/>
      <c r="I220" s="134"/>
      <c r="J220" s="135"/>
      <c r="K220" s="18">
        <f>IF(A9taxstdlife="n/a","n/a",IF(K$3&gt;(A9taxstdlife+$E220),('RFM input'!$J$231-'RFM input'!$J$285)-SUM($J220:J220),('RFM input'!$J$231-'RFM input'!$J$285)/A9taxstdlife))</f>
        <v>1.0088716500000001E-2</v>
      </c>
      <c r="L220" s="18">
        <f>IF(A9taxstdlife="n/a","n/a",IF(L$3&gt;(A9taxstdlife+$E220),('RFM input'!$J$231-'RFM input'!$J$285)-SUM($J220:K220),('RFM input'!$J$231-'RFM input'!$J$285)/A9taxstdlife))</f>
        <v>1.0088716500000001E-2</v>
      </c>
      <c r="M220" s="18">
        <f>IF(A9taxstdlife="n/a","n/a",IF(M$3&gt;(A9taxstdlife+$E220),('RFM input'!$J$231-'RFM input'!$J$285)-SUM($J220:L220),('RFM input'!$J$231-'RFM input'!$J$285)/A9taxstdlife))</f>
        <v>1.0088716500000001E-2</v>
      </c>
      <c r="N220" s="18">
        <f>IF(A9taxstdlife="n/a","n/a",IF(N$3&gt;(A9taxstdlife+$E220),('RFM input'!$J$231-'RFM input'!$J$285)-SUM($J220:M220),('RFM input'!$J$231-'RFM input'!$J$285)/A9taxstdlife))</f>
        <v>1.0088716500000001E-2</v>
      </c>
      <c r="O220" s="18">
        <f>IF(A9taxstdlife="n/a","n/a",IF(O$3&gt;(A9taxstdlife+$E220),('RFM input'!$J$231-'RFM input'!$J$285)-SUM($J220:N220),('RFM input'!$J$231-'RFM input'!$J$285)/A9taxstdlife))</f>
        <v>1.0088716500000001E-2</v>
      </c>
      <c r="P220" s="18">
        <f>IF(A9taxstdlife="n/a","n/a",IF(P$3&gt;(A9taxstdlife+$E220),('RFM input'!$J$231-'RFM input'!$J$285)-SUM($J220:O220),('RFM input'!$J$231-'RFM input'!$J$285)/A9taxstdlife))</f>
        <v>1.0088716500000001E-2</v>
      </c>
      <c r="Q220" s="18">
        <f>IF(A9taxstdlife="n/a","n/a",IF(Q$3&gt;(A9taxstdlife+$E220),('RFM input'!$J$231-'RFM input'!$J$285)-SUM($J220:P220),('RFM input'!$J$231-'RFM input'!$J$285)/A9taxstdlife))</f>
        <v>1.0088716500000001E-2</v>
      </c>
      <c r="R220" s="18"/>
      <c r="S220" s="78"/>
      <c r="T220" s="78"/>
      <c r="U220" s="78"/>
      <c r="V220" s="78"/>
      <c r="W220" s="78"/>
      <c r="X220" s="78"/>
      <c r="Y220" s="78"/>
      <c r="Z220" s="78"/>
      <c r="AA220" s="172"/>
    </row>
    <row r="221" spans="1:27" ht="12.75" hidden="1" customHeight="1" outlineLevel="2">
      <c r="A221" s="3"/>
      <c r="B221" s="3"/>
      <c r="C221" s="16"/>
      <c r="D221" s="1503"/>
      <c r="E221" s="63">
        <v>4</v>
      </c>
      <c r="F221" s="17"/>
      <c r="G221" s="17"/>
      <c r="H221" s="133"/>
      <c r="I221" s="134"/>
      <c r="J221" s="134"/>
      <c r="K221" s="135"/>
      <c r="L221" s="18">
        <f>IF(A9taxstdlife="n/a","n/a",IF(L$3&gt;(A9taxstdlife+$E221),('RFM input'!$K$231-'RFM input'!$K$285)-SUM($K221:K221),('RFM input'!$K$231-'RFM input'!$K$285)/A9taxstdlife))</f>
        <v>4.7926024999999997E-3</v>
      </c>
      <c r="M221" s="18">
        <f>IF(A9taxstdlife="n/a","n/a",IF(M$3&gt;(A9taxstdlife+$E221),('RFM input'!$K$231-'RFM input'!$K$285)-SUM($K221:L221),('RFM input'!$K$231-'RFM input'!$K$285)/A9taxstdlife))</f>
        <v>4.7926024999999997E-3</v>
      </c>
      <c r="N221" s="18">
        <f>IF(A9taxstdlife="n/a","n/a",IF(N$3&gt;(A9taxstdlife+$E221),('RFM input'!$K$231-'RFM input'!$K$285)-SUM($K221:M221),('RFM input'!$K$231-'RFM input'!$K$285)/A9taxstdlife))</f>
        <v>4.7926024999999997E-3</v>
      </c>
      <c r="O221" s="18">
        <f>IF(A9taxstdlife="n/a","n/a",IF(O$3&gt;(A9taxstdlife+$E221),('RFM input'!$K$231-'RFM input'!$K$285)-SUM($K221:N221),('RFM input'!$K$231-'RFM input'!$K$285)/A9taxstdlife))</f>
        <v>4.7926024999999997E-3</v>
      </c>
      <c r="P221" s="18">
        <f>IF(A9taxstdlife="n/a","n/a",IF(P$3&gt;(A9taxstdlife+$E221),('RFM input'!$K$231-'RFM input'!$K$285)-SUM($K221:O221),('RFM input'!$K$231-'RFM input'!$K$285)/A9taxstdlife))</f>
        <v>4.7926024999999997E-3</v>
      </c>
      <c r="Q221" s="18">
        <f>IF(A9taxstdlife="n/a","n/a",IF(Q$3&gt;(A9taxstdlife+$E221),('RFM input'!$K$231-'RFM input'!$K$285)-SUM($K221:P221),('RFM input'!$K$231-'RFM input'!$K$285)/A9taxstdlife))</f>
        <v>4.7926024999999997E-3</v>
      </c>
      <c r="R221" s="18"/>
      <c r="S221" s="78"/>
      <c r="T221" s="78"/>
      <c r="U221" s="78"/>
      <c r="V221" s="78"/>
      <c r="W221" s="78"/>
      <c r="X221" s="78"/>
      <c r="Y221" s="78"/>
      <c r="Z221" s="78"/>
      <c r="AA221" s="172"/>
    </row>
    <row r="222" spans="1:27" ht="12.75" hidden="1" customHeight="1" outlineLevel="2">
      <c r="A222" s="3"/>
      <c r="B222" s="3"/>
      <c r="C222" s="16"/>
      <c r="D222" s="1503"/>
      <c r="E222" s="63">
        <v>5</v>
      </c>
      <c r="F222" s="17"/>
      <c r="G222" s="17"/>
      <c r="H222" s="133"/>
      <c r="I222" s="134"/>
      <c r="J222" s="134"/>
      <c r="K222" s="134"/>
      <c r="L222" s="135"/>
      <c r="M222" s="18">
        <f>IF(A9taxstdlife="n/a","n/a",IF(M$3&gt;(A9taxstdlife+$E222),('RFM input'!$L$231-'RFM input'!$L$285)-SUM($L222:L222),('RFM input'!$L$231-'RFM input'!$L$285)/A9taxstdlife))</f>
        <v>4.0903599999999995E-3</v>
      </c>
      <c r="N222" s="18">
        <f>IF(A9taxstdlife="n/a","n/a",IF(N$3&gt;(A9taxstdlife+$E222),('RFM input'!$L$231-'RFM input'!$L$285)-SUM($L222:M222),('RFM input'!$L$231-'RFM input'!$L$285)/A9taxstdlife))</f>
        <v>4.0903599999999995E-3</v>
      </c>
      <c r="O222" s="18">
        <f>IF(A9taxstdlife="n/a","n/a",IF(O$3&gt;(A9taxstdlife+$E222),('RFM input'!$L$231-'RFM input'!$L$285)-SUM($L222:N222),('RFM input'!$L$231-'RFM input'!$L$285)/A9taxstdlife))</f>
        <v>4.0903599999999995E-3</v>
      </c>
      <c r="P222" s="18">
        <f>IF(A9taxstdlife="n/a","n/a",IF(P$3&gt;(A9taxstdlife+$E222),('RFM input'!$L$231-'RFM input'!$L$285)-SUM($L222:O222),('RFM input'!$L$231-'RFM input'!$L$285)/A9taxstdlife))</f>
        <v>4.0903599999999995E-3</v>
      </c>
      <c r="Q222" s="18">
        <f>IF(A9taxstdlife="n/a","n/a",IF(Q$3&gt;(A9taxstdlife+$E222),('RFM input'!$L$231-'RFM input'!$L$285)-SUM($L222:P222),('RFM input'!$L$231-'RFM input'!$L$285)/A9taxstdlife))</f>
        <v>4.0903599999999995E-3</v>
      </c>
      <c r="R222" s="18"/>
      <c r="S222" s="78"/>
      <c r="T222" s="78"/>
      <c r="U222" s="78"/>
      <c r="V222" s="78"/>
      <c r="W222" s="78"/>
      <c r="X222" s="78"/>
      <c r="Y222" s="78"/>
      <c r="Z222" s="78"/>
      <c r="AA222" s="172"/>
    </row>
    <row r="223" spans="1:27" ht="12.75" hidden="1" customHeight="1" outlineLevel="2">
      <c r="A223" s="3"/>
      <c r="B223" s="3"/>
      <c r="C223" s="16"/>
      <c r="D223" s="1503"/>
      <c r="E223" s="63">
        <v>6</v>
      </c>
      <c r="F223" s="17"/>
      <c r="G223" s="17"/>
      <c r="H223" s="133"/>
      <c r="I223" s="134"/>
      <c r="J223" s="134"/>
      <c r="K223" s="134"/>
      <c r="L223" s="134"/>
      <c r="M223" s="135"/>
      <c r="N223" s="18">
        <f>IF(A9taxstdlife="n/a","n/a",IF(N$3&gt;(A9taxstdlife+$E223),('RFM input'!$M$231-'RFM input'!$M$285)-SUM($M223:M223),('RFM input'!$M$231-'RFM input'!$M$285)/A9taxstdlife))</f>
        <v>-5.5534290000000004E-3</v>
      </c>
      <c r="O223" s="18">
        <f>IF(A9taxstdlife="n/a","n/a",IF(O$3&gt;(A9taxstdlife+$E223),('RFM input'!$M$231-'RFM input'!$M$285)-SUM($M223:N223),('RFM input'!$M$231-'RFM input'!$M$285)/A9taxstdlife))</f>
        <v>-5.5534290000000004E-3</v>
      </c>
      <c r="P223" s="18">
        <f>IF(A9taxstdlife="n/a","n/a",IF(P$3&gt;(A9taxstdlife+$E223),('RFM input'!$M$231-'RFM input'!$M$285)-SUM($M223:O223),('RFM input'!$M$231-'RFM input'!$M$285)/A9taxstdlife))</f>
        <v>-5.5534290000000004E-3</v>
      </c>
      <c r="Q223" s="18">
        <f>IF(A9taxstdlife="n/a","n/a",IF(Q$3&gt;(A9taxstdlife+$E223),('RFM input'!$M$231-'RFM input'!$M$285)-SUM($M223:P223),('RFM input'!$M$231-'RFM input'!$M$285)/A9taxstdlife))</f>
        <v>-5.5534290000000004E-3</v>
      </c>
      <c r="R223" s="18"/>
      <c r="S223" s="78"/>
      <c r="T223" s="78"/>
      <c r="U223" s="78"/>
      <c r="V223" s="78"/>
      <c r="W223" s="78"/>
      <c r="X223" s="78"/>
      <c r="Y223" s="78"/>
      <c r="Z223" s="78"/>
      <c r="AA223" s="172"/>
    </row>
    <row r="224" spans="1:27" ht="12.75" hidden="1" customHeight="1" outlineLevel="2">
      <c r="A224" s="3"/>
      <c r="B224" s="3"/>
      <c r="C224" s="16"/>
      <c r="D224" s="1503"/>
      <c r="E224" s="63">
        <v>7</v>
      </c>
      <c r="F224" s="17"/>
      <c r="G224" s="17"/>
      <c r="H224" s="133"/>
      <c r="I224" s="134"/>
      <c r="J224" s="134"/>
      <c r="K224" s="134"/>
      <c r="L224" s="134"/>
      <c r="M224" s="134"/>
      <c r="N224" s="135"/>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8"/>
      <c r="T224" s="78"/>
      <c r="U224" s="78"/>
      <c r="V224" s="78"/>
      <c r="W224" s="78"/>
      <c r="X224" s="78"/>
      <c r="Y224" s="78"/>
      <c r="Z224" s="78"/>
      <c r="AA224" s="172"/>
    </row>
    <row r="225" spans="1:27" ht="12.75" hidden="1" customHeight="1" outlineLevel="2">
      <c r="A225" s="3"/>
      <c r="B225" s="3"/>
      <c r="C225" s="16"/>
      <c r="D225" s="1503"/>
      <c r="E225" s="63">
        <v>8</v>
      </c>
      <c r="F225" s="17"/>
      <c r="G225" s="17"/>
      <c r="H225" s="133"/>
      <c r="I225" s="134"/>
      <c r="J225" s="134"/>
      <c r="K225" s="134"/>
      <c r="L225" s="134"/>
      <c r="M225" s="134"/>
      <c r="N225" s="134"/>
      <c r="O225" s="135"/>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2"/>
    </row>
    <row r="226" spans="1:27" ht="12.75" hidden="1" customHeight="1" outlineLevel="2">
      <c r="A226" s="3"/>
      <c r="B226" s="3"/>
      <c r="C226" s="16"/>
      <c r="D226" s="1503"/>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0</v>
      </c>
      <c r="R226" s="18"/>
      <c r="S226" s="78"/>
      <c r="T226" s="78"/>
      <c r="U226" s="78"/>
      <c r="V226" s="78"/>
      <c r="W226" s="78"/>
      <c r="X226" s="78"/>
      <c r="Y226" s="78"/>
      <c r="Z226" s="78"/>
      <c r="AA226" s="172"/>
    </row>
    <row r="227" spans="1:27" ht="12.75" hidden="1" customHeight="1" outlineLevel="2">
      <c r="A227" s="3"/>
      <c r="B227" s="3"/>
      <c r="C227" s="16"/>
      <c r="D227" s="1503"/>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-0.25812102382610119</v>
      </c>
      <c r="I228" s="1342">
        <f>IF('RFM input'!$G$457="Tracked",-1*INDEX('RFM input'!I$461:I$510,MATCH('TAB roll forward'!$C228,'RFM input'!$E$461:$E$510,0)),-SUM(I216:I227))</f>
        <v>-0.25878764482610117</v>
      </c>
      <c r="J228" s="1319">
        <f>IF(COUNT($H228:I228)&gt;='RFM input'!$AA$7,0, IF('RFM input'!$G$457="Tracked",-1*INDEX('RFM input'!J$461:J$510,MATCH('TAB roll forward'!$C228,'RFM input'!$E$461:$E$510,0)),-SUM(J216:J227)))</f>
        <v>-0.27613342482610115</v>
      </c>
      <c r="K228" s="1319">
        <f>IF(COUNT($H228:J228)&gt;='RFM input'!$AA$7,0, IF('RFM input'!$G$457="Tracked",-1*INDEX('RFM input'!K$461:K$510,MATCH('TAB roll forward'!$C228,'RFM input'!$E$461:$E$510,0)),-SUM(K216:K227)))</f>
        <v>-0.28622214132610113</v>
      </c>
      <c r="L228" s="1319">
        <f>IF(COUNT($H228:K228)&gt;='RFM input'!$AA$7,0, IF('RFM input'!$G$457="Tracked",-1*INDEX('RFM input'!L$461:L$510,MATCH('TAB roll forward'!$C228,'RFM input'!$E$461:$E$510,0)),-SUM(L216:L227)))</f>
        <v>-0.29101474382610115</v>
      </c>
      <c r="M228" s="1319">
        <f>IF(COUNT($H228:L228)&gt;='RFM input'!$AA$7,0, IF('RFM input'!$G$457="Tracked",-1*INDEX('RFM input'!M$461:M$510,MATCH('TAB roll forward'!$C228,'RFM input'!$E$461:$E$510,0)),-SUM(M216:M227)))</f>
        <v>-0.29510510382610117</v>
      </c>
      <c r="N228" s="1319">
        <f>IF(COUNT($H228:M228)&gt;='RFM input'!$AA$7,0, IF('RFM input'!$G$457="Tracked",-1*INDEX('RFM input'!N$461:N$510,MATCH('TAB roll forward'!$C228,'RFM input'!$E$461:$E$510,0)),-SUM(N216:N227)))</f>
        <v>-0.28955167482610117</v>
      </c>
      <c r="O228" s="1319">
        <f>IF(COUNT($H228:N228)&gt;='RFM input'!$AA$7,0, IF('RFM input'!$G$457="Tracked",-1*INDEX('RFM input'!O$461:O$510,MATCH('TAB roll forward'!$C228,'RFM input'!$E$461:$E$510,0)),-SUM(O216:O227)))</f>
        <v>-0.28955167482610117</v>
      </c>
      <c r="P228" s="1319">
        <f>IF(COUNT($H228:O228)&gt;='RFM input'!$AA$7,0, IF('RFM input'!$G$457="Tracked",-1*INDEX('RFM input'!P$461:P$510,MATCH('TAB roll forward'!$C228,'RFM input'!$E$461:$E$510,0)),-SUM(P216:P227)))</f>
        <v>-0.28955167482610117</v>
      </c>
      <c r="Q228" s="1319">
        <f>IF(COUNT($H228:P228)&gt;='RFM input'!$AA$7,0, IF('RFM input'!$G$457="Tracked",-1*INDEX('RFM input'!Q$461:Q$510,MATCH('TAB roll forward'!$C228,'RFM input'!$E$461:$E$510,0)),-SUM(Q216:Q227)))</f>
        <v>-0.28955167482610117</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1.767926205674707E-2</v>
      </c>
      <c r="I229" s="20">
        <f>IF(I$3&gt;A10taxremlife,A10taxvalue-SUM($F229:H229),IF(A10taxremlife="N/A","n/a",A10taxvalue/A10taxremlife))</f>
        <v>1.767926205674707E-2</v>
      </c>
      <c r="J229" s="20">
        <f>IF(J$3&gt;A10taxremlife,A10taxvalue-SUM($F229:I229),IF(A10taxremlife="N/A","n/a",A10taxvalue/A10taxremlife))</f>
        <v>1.3202558386505546E-2</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2"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3"/>
      <c r="E231" s="63">
        <v>1</v>
      </c>
      <c r="F231" s="17"/>
      <c r="G231" s="17"/>
      <c r="H231" s="1309"/>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3"/>
      <c r="E232" s="63">
        <v>2</v>
      </c>
      <c r="F232" s="17"/>
      <c r="G232" s="17"/>
      <c r="H232" s="133"/>
      <c r="I232" s="135"/>
      <c r="J232" s="18">
        <f>IF(A10taxstdlife="n/a","n/a",IF(J$3&gt;(A10taxstdlife+$E232),('RFM input'!$I$232-'RFM input'!$I$286)-SUM($I232:I232),('RFM input'!$I$232-'RFM input'!$I$286)/A10taxstdlife))</f>
        <v>4.3375E-4</v>
      </c>
      <c r="K232" s="18">
        <f>IF(A10taxstdlife="n/a","n/a",IF(K$3&gt;(A10taxstdlife+$E232),('RFM input'!$I$232-'RFM input'!$I$286)-SUM($I232:J232),('RFM input'!$I$232-'RFM input'!$I$286)/A10taxstdlife))</f>
        <v>4.3375E-4</v>
      </c>
      <c r="L232" s="18">
        <f>IF(A10taxstdlife="n/a","n/a",IF(L$3&gt;(A10taxstdlife+$E232),('RFM input'!$I$232-'RFM input'!$I$286)-SUM($I232:K232),('RFM input'!$I$232-'RFM input'!$I$286)/A10taxstdlife))</f>
        <v>4.3375E-4</v>
      </c>
      <c r="M232" s="18">
        <f>IF(A10taxstdlife="n/a","n/a",IF(M$3&gt;(A10taxstdlife+$E232),('RFM input'!$I$232-'RFM input'!$I$286)-SUM($I232:L232),('RFM input'!$I$232-'RFM input'!$I$286)/A10taxstdlife))</f>
        <v>4.3375E-4</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3"/>
      <c r="E233" s="63">
        <v>3</v>
      </c>
      <c r="F233" s="17"/>
      <c r="G233" s="17"/>
      <c r="H233" s="133"/>
      <c r="I233" s="134"/>
      <c r="J233" s="135"/>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3"/>
      <c r="E234" s="63">
        <v>4</v>
      </c>
      <c r="F234" s="17"/>
      <c r="G234" s="17"/>
      <c r="H234" s="133"/>
      <c r="I234" s="134"/>
      <c r="J234" s="134"/>
      <c r="K234" s="135"/>
      <c r="L234" s="18">
        <f>IF(A10taxstdlife="n/a","n/a",IF(L$3&gt;(A10taxstdlife+$E234),('RFM input'!$K$232-'RFM input'!$K$286)-SUM($K234:K234),('RFM input'!$K$232-'RFM input'!$K$286)/A10taxstdlife))</f>
        <v>0.25942251096698116</v>
      </c>
      <c r="M234" s="18">
        <f>IF(A10taxstdlife="n/a","n/a",IF(M$3&gt;(A10taxstdlife+$E234),('RFM input'!$K$232-'RFM input'!$K$286)-SUM($K234:L234),('RFM input'!$K$232-'RFM input'!$K$286)/A10taxstdlife))</f>
        <v>0.25942251096698116</v>
      </c>
      <c r="N234" s="18">
        <f>IF(A10taxstdlife="n/a","n/a",IF(N$3&gt;(A10taxstdlife+$E234),('RFM input'!$K$232-'RFM input'!$K$286)-SUM($K234:M234),('RFM input'!$K$232-'RFM input'!$K$286)/A10taxstdlife))</f>
        <v>0.25942251096698116</v>
      </c>
      <c r="O234" s="18">
        <f>IF(A10taxstdlife="n/a","n/a",IF(O$3&gt;(A10taxstdlife+$E234),('RFM input'!$K$232-'RFM input'!$K$286)-SUM($K234:N234),('RFM input'!$K$232-'RFM input'!$K$286)/A10taxstdlife))</f>
        <v>0.25942251096698116</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3"/>
      <c r="E235" s="63">
        <v>5</v>
      </c>
      <c r="F235" s="17"/>
      <c r="G235" s="17"/>
      <c r="H235" s="133"/>
      <c r="I235" s="134"/>
      <c r="J235" s="134"/>
      <c r="K235" s="134"/>
      <c r="L235" s="135"/>
      <c r="M235" s="18">
        <f>IF(A10taxstdlife="n/a","n/a",IF(M$3&gt;(A10taxstdlife+$E235),('RFM input'!$L$232-'RFM input'!$L$286)-SUM($L235:L235),('RFM input'!$L$232-'RFM input'!$L$286)/A10taxstdlife))</f>
        <v>1.5330188559801173E-9</v>
      </c>
      <c r="N235" s="18">
        <f>IF(A10taxstdlife="n/a","n/a",IF(N$3&gt;(A10taxstdlife+$E235),('RFM input'!$L$232-'RFM input'!$L$286)-SUM($L235:M235),('RFM input'!$L$232-'RFM input'!$L$286)/A10taxstdlife))</f>
        <v>1.5330188559801173E-9</v>
      </c>
      <c r="O235" s="18">
        <f>IF(A10taxstdlife="n/a","n/a",IF(O$3&gt;(A10taxstdlife+$E235),('RFM input'!$L$232-'RFM input'!$L$286)-SUM($L235:N235),('RFM input'!$L$232-'RFM input'!$L$286)/A10taxstdlife))</f>
        <v>1.5330188559801173E-9</v>
      </c>
      <c r="P235" s="18">
        <f>IF(A10taxstdlife="n/a","n/a",IF(P$3&gt;(A10taxstdlife+$E235),('RFM input'!$L$232-'RFM input'!$L$286)-SUM($L235:O235),('RFM input'!$L$232-'RFM input'!$L$286)/A10taxstdlife))</f>
        <v>1.5330188559801173E-9</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3"/>
      <c r="E236" s="63">
        <v>6</v>
      </c>
      <c r="F236" s="17"/>
      <c r="G236" s="17"/>
      <c r="H236" s="133"/>
      <c r="I236" s="134"/>
      <c r="J236" s="134"/>
      <c r="K236" s="134"/>
      <c r="L236" s="134"/>
      <c r="M236" s="135"/>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2"/>
    </row>
    <row r="237" spans="1:27" ht="12.75" hidden="1" customHeight="1" outlineLevel="2">
      <c r="A237" s="3"/>
      <c r="B237" s="3"/>
      <c r="C237" s="16"/>
      <c r="D237" s="1503"/>
      <c r="E237" s="63">
        <v>7</v>
      </c>
      <c r="F237" s="17"/>
      <c r="G237" s="17"/>
      <c r="H237" s="133"/>
      <c r="I237" s="134"/>
      <c r="J237" s="134"/>
      <c r="K237" s="134"/>
      <c r="L237" s="134"/>
      <c r="M237" s="134"/>
      <c r="N237" s="135"/>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8"/>
      <c r="T237" s="78"/>
      <c r="U237" s="78"/>
      <c r="V237" s="78"/>
      <c r="W237" s="78"/>
      <c r="X237" s="78"/>
      <c r="Y237" s="78"/>
      <c r="Z237" s="78"/>
      <c r="AA237" s="172"/>
    </row>
    <row r="238" spans="1:27" ht="12.75" hidden="1" customHeight="1" outlineLevel="2">
      <c r="A238" s="3"/>
      <c r="B238" s="3"/>
      <c r="C238" s="16"/>
      <c r="D238" s="1503"/>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2"/>
    </row>
    <row r="239" spans="1:27" ht="12.75" hidden="1" customHeight="1" outlineLevel="2">
      <c r="A239" s="3"/>
      <c r="B239" s="3"/>
      <c r="C239" s="16"/>
      <c r="D239" s="1503"/>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0</v>
      </c>
      <c r="R239" s="18"/>
      <c r="S239" s="78"/>
      <c r="T239" s="78"/>
      <c r="U239" s="78"/>
      <c r="V239" s="78"/>
      <c r="W239" s="78"/>
      <c r="X239" s="78"/>
      <c r="Y239" s="78"/>
      <c r="Z239" s="78"/>
      <c r="AA239" s="172"/>
    </row>
    <row r="240" spans="1:27" ht="12.75" hidden="1" customHeight="1" outlineLevel="2">
      <c r="A240" s="3"/>
      <c r="B240" s="3"/>
      <c r="C240" s="16"/>
      <c r="D240" s="1503"/>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-1.767926205674707E-2</v>
      </c>
      <c r="I241" s="1342">
        <f>IF('RFM input'!$G$457="Tracked",-1*INDEX('RFM input'!I$461:I$510,MATCH('TAB roll forward'!$C241,'RFM input'!$E$461:$E$510,0)),-SUM(I229:I240))</f>
        <v>-1.767926205674707E-2</v>
      </c>
      <c r="J241" s="1319">
        <f>IF(COUNT($H241:I241)&gt;='RFM input'!$AA$7,0, IF('RFM input'!$G$457="Tracked",-1*INDEX('RFM input'!J$461:J$510,MATCH('TAB roll forward'!$C241,'RFM input'!$E$461:$E$510,0)),-SUM(J229:J240)))</f>
        <v>-1.3636308386505546E-2</v>
      </c>
      <c r="K241" s="1319">
        <f>IF(COUNT($H241:J241)&gt;='RFM input'!$AA$7,0, IF('RFM input'!$G$457="Tracked",-1*INDEX('RFM input'!K$461:K$510,MATCH('TAB roll forward'!$C241,'RFM input'!$E$461:$E$510,0)),-SUM(K229:K240)))</f>
        <v>-4.3375E-4</v>
      </c>
      <c r="L241" s="1319">
        <f>IF(COUNT($H241:K241)&gt;='RFM input'!$AA$7,0, IF('RFM input'!$G$457="Tracked",-1*INDEX('RFM input'!L$461:L$510,MATCH('TAB roll forward'!$C241,'RFM input'!$E$461:$E$510,0)),-SUM(L229:L240)))</f>
        <v>-0.25985626096698117</v>
      </c>
      <c r="M241" s="1319">
        <f>IF(COUNT($H241:L241)&gt;='RFM input'!$AA$7,0, IF('RFM input'!$G$457="Tracked",-1*INDEX('RFM input'!M$461:M$510,MATCH('TAB roll forward'!$C241,'RFM input'!$E$461:$E$510,0)),-SUM(M229:M240)))</f>
        <v>-0.25985626250000005</v>
      </c>
      <c r="N241" s="1319">
        <f>IF(COUNT($H241:M241)&gt;='RFM input'!$AA$7,0, IF('RFM input'!$G$457="Tracked",-1*INDEX('RFM input'!N$461:N$510,MATCH('TAB roll forward'!$C241,'RFM input'!$E$461:$E$510,0)),-SUM(N229:N240)))</f>
        <v>-0.25942251250000004</v>
      </c>
      <c r="O241" s="1319">
        <f>IF(COUNT($H241:N241)&gt;='RFM input'!$AA$7,0, IF('RFM input'!$G$457="Tracked",-1*INDEX('RFM input'!O$461:O$510,MATCH('TAB roll forward'!$C241,'RFM input'!$E$461:$E$510,0)),-SUM(O229:O240)))</f>
        <v>-0.25942251250000004</v>
      </c>
      <c r="P241" s="1319">
        <f>IF(COUNT($H241:O241)&gt;='RFM input'!$AA$7,0, IF('RFM input'!$G$457="Tracked",-1*INDEX('RFM input'!P$461:P$510,MATCH('TAB roll forward'!$C241,'RFM input'!$E$461:$E$510,0)),-SUM(P229:P240)))</f>
        <v>-1.5330188559801173E-9</v>
      </c>
      <c r="Q241" s="1319">
        <f>IF(COUNT($H241:P241)&gt;='RFM input'!$AA$7,0, IF('RFM input'!$G$457="Tracked",-1*INDEX('RFM input'!Q$461:Q$510,MATCH('TAB roll forward'!$C241,'RFM input'!$E$461:$E$510,0)),-SUM(Q229:Q240)))</f>
        <v>0</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0.17759805222837974</v>
      </c>
      <c r="I242" s="20">
        <f>IF(I$3&gt;A11taxremlife,A11taxvalue-SUM($F242:H242),IF(A11taxremlife="N/A","n/a",A11taxvalue/A11taxremlife))</f>
        <v>0.17759805222837974</v>
      </c>
      <c r="J242" s="20">
        <f>IF(J$3&gt;A11taxremlife,A11taxvalue-SUM($F242:I242),IF(A11taxremlife="N/A","n/a",A11taxvalue/A11taxremlife))</f>
        <v>0.17759805222837974</v>
      </c>
      <c r="K242" s="20">
        <f>IF(K$3&gt;A11taxremlife,A11taxvalue-SUM($F242:J242),IF(A11taxremlife="N/A","n/a",A11taxvalue/A11taxremlife))</f>
        <v>0.17759805222837974</v>
      </c>
      <c r="L242" s="20">
        <f>IF(L$3&gt;A11taxremlife,A11taxvalue-SUM($F242:K242),IF(A11taxremlife="N/A","n/a",A11taxvalue/A11taxremlife))</f>
        <v>0.17759805222837974</v>
      </c>
      <c r="M242" s="20">
        <f>IF(M$3&gt;A11taxremlife,A11taxvalue-SUM($F242:L242),IF(A11taxremlife="N/A","n/a",A11taxvalue/A11taxremlife))</f>
        <v>0.17759805222837974</v>
      </c>
      <c r="N242" s="20">
        <f>IF(N$3&gt;A11taxremlife,A11taxvalue-SUM($F242:M242),IF(A11taxremlife="N/A","n/a",A11taxvalue/A11taxremlife))</f>
        <v>9.3976490823270753E-2</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2"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3"/>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3"/>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3"/>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3"/>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3"/>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3"/>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3"/>
      <c r="E250" s="63">
        <v>7</v>
      </c>
      <c r="F250" s="17"/>
      <c r="G250" s="17"/>
      <c r="H250" s="133"/>
      <c r="I250" s="134"/>
      <c r="J250" s="134"/>
      <c r="K250" s="134"/>
      <c r="L250" s="134"/>
      <c r="M250" s="134"/>
      <c r="N250" s="135"/>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2"/>
    </row>
    <row r="251" spans="1:27" ht="12.75" hidden="1" customHeight="1" outlineLevel="2">
      <c r="A251" s="3"/>
      <c r="B251" s="3"/>
      <c r="C251" s="16"/>
      <c r="D251" s="1503"/>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3"/>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3"/>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-0.17759805222837974</v>
      </c>
      <c r="I254" s="1342">
        <f>IF('RFM input'!$G$457="Tracked",-1*INDEX('RFM input'!I$461:I$510,MATCH('TAB roll forward'!$C254,'RFM input'!$E$461:$E$510,0)),-SUM(I242:I253))</f>
        <v>-0.17759805222837974</v>
      </c>
      <c r="J254" s="1319">
        <f>IF(COUNT($H254:I254)&gt;='RFM input'!$AA$7,0, IF('RFM input'!$G$457="Tracked",-1*INDEX('RFM input'!J$461:J$510,MATCH('TAB roll forward'!$C254,'RFM input'!$E$461:$E$510,0)),-SUM(J242:J253)))</f>
        <v>-0.17759805222837974</v>
      </c>
      <c r="K254" s="1319">
        <f>IF(COUNT($H254:J254)&gt;='RFM input'!$AA$7,0, IF('RFM input'!$G$457="Tracked",-1*INDEX('RFM input'!K$461:K$510,MATCH('TAB roll forward'!$C254,'RFM input'!$E$461:$E$510,0)),-SUM(K242:K253)))</f>
        <v>-0.17759805222837974</v>
      </c>
      <c r="L254" s="1319">
        <f>IF(COUNT($H254:K254)&gt;='RFM input'!$AA$7,0, IF('RFM input'!$G$457="Tracked",-1*INDEX('RFM input'!L$461:L$510,MATCH('TAB roll forward'!$C254,'RFM input'!$E$461:$E$510,0)),-SUM(L242:L253)))</f>
        <v>-0.17759805222837974</v>
      </c>
      <c r="M254" s="1319">
        <f>IF(COUNT($H254:L254)&gt;='RFM input'!$AA$7,0, IF('RFM input'!$G$457="Tracked",-1*INDEX('RFM input'!M$461:M$510,MATCH('TAB roll forward'!$C254,'RFM input'!$E$461:$E$510,0)),-SUM(M242:M253)))</f>
        <v>-0.17759805222837974</v>
      </c>
      <c r="N254" s="1319">
        <f>IF(COUNT($H254:M254)&gt;='RFM input'!$AA$7,0, IF('RFM input'!$G$457="Tracked",-1*INDEX('RFM input'!N$461:N$510,MATCH('TAB roll forward'!$C254,'RFM input'!$E$461:$E$510,0)),-SUM(N242:N253)))</f>
        <v>-9.3976490823270753E-2</v>
      </c>
      <c r="O254" s="1319">
        <f>IF(COUNT($H254:N254)&gt;='RFM input'!$AA$7,0, IF('RFM input'!$G$457="Tracked",-1*INDEX('RFM input'!O$461:O$510,MATCH('TAB roll forward'!$C254,'RFM input'!$E$461:$E$510,0)),-SUM(O242:O253)))</f>
        <v>0</v>
      </c>
      <c r="P254" s="1319">
        <f>IF(COUNT($H254:O254)&gt;='RFM input'!$AA$7,0, IF('RFM input'!$G$457="Tracked",-1*INDEX('RFM input'!P$461:P$510,MATCH('TAB roll forward'!$C254,'RFM input'!$E$461:$E$510,0)),-SUM(P242:P253)))</f>
        <v>0</v>
      </c>
      <c r="Q254" s="1319">
        <f>IF(COUNT($H254:P254)&gt;='RFM input'!$AA$7,0, IF('RFM input'!$G$457="Tracked",-1*INDEX('RFM input'!Q$461:Q$510,MATCH('TAB roll forward'!$C254,'RFM input'!$E$461:$E$510,0)),-SUM(Q242:Q253)))</f>
        <v>0</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0.82761298049980758</v>
      </c>
      <c r="I255" s="20">
        <f>IF(I$3&gt;A12taxremlife,A12taxvalue-SUM($F255:H255),IF(A12taxremlife="N/A","n/a",A12taxvalue/A12taxremlife))</f>
        <v>0.82761298049980758</v>
      </c>
      <c r="J255" s="20">
        <f>IF(J$3&gt;A12taxremlife,A12taxvalue-SUM($F255:I255),IF(A12taxremlife="N/A","n/a",A12taxvalue/A12taxremlife))</f>
        <v>0.82761298049980758</v>
      </c>
      <c r="K255" s="20">
        <f>IF(K$3&gt;A12taxremlife,A12taxvalue-SUM($F255:J255),IF(A12taxremlife="N/A","n/a",A12taxvalue/A12taxremlife))</f>
        <v>0.82761298049980758</v>
      </c>
      <c r="L255" s="20">
        <f>IF(L$3&gt;A12taxremlife,A12taxvalue-SUM($F255:K255),IF(A12taxremlife="N/A","n/a",A12taxvalue/A12taxremlife))</f>
        <v>0.24222231887423984</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2"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3"/>
      <c r="E257" s="63">
        <v>1</v>
      </c>
      <c r="F257" s="17"/>
      <c r="G257" s="17"/>
      <c r="H257" s="1309"/>
      <c r="I257" s="18">
        <f>IF(A12taxstdlife="n/a","n/a",IF(I$3&gt;(A12taxstdlife+$E257),('RFM input'!$H$234-'RFM input'!$H$288)-SUM($H257:H257),('RFM input'!$H$234-'RFM input'!$H$288)/A12taxstdlife))</f>
        <v>0.11921792038156731</v>
      </c>
      <c r="J257" s="18">
        <f>IF(A12taxstdlife="n/a","n/a",IF(J$3&gt;(A12taxstdlife+$E257),('RFM input'!$H$234-'RFM input'!$H$288)-SUM($H257:I257),('RFM input'!$H$234-'RFM input'!$H$288)/A12taxstdlife))</f>
        <v>0.11921792038156731</v>
      </c>
      <c r="K257" s="18">
        <f>IF(A12taxstdlife="n/a","n/a",IF(K$3&gt;(A12taxstdlife+$E257),('RFM input'!$H$234-'RFM input'!$H$288)-SUM($H257:J257),('RFM input'!$H$234-'RFM input'!$H$288)/A12taxstdlife))</f>
        <v>0.11921792038156731</v>
      </c>
      <c r="L257" s="18">
        <f>IF(A12taxstdlife="n/a","n/a",IF(L$3&gt;(A12taxstdlife+$E257),('RFM input'!$H$234-'RFM input'!$H$288)-SUM($H257:K257),('RFM input'!$H$234-'RFM input'!$H$288)/A12taxstdlife))</f>
        <v>0.11921792038156731</v>
      </c>
      <c r="M257" s="18">
        <f>IF(A12taxstdlife="n/a","n/a",IF(M$3&gt;(A12taxstdlife+$E257),('RFM input'!$H$234-'RFM input'!$H$288)-SUM($H257:L257),('RFM input'!$H$234-'RFM input'!$H$288)/A12taxstdlife))</f>
        <v>0.11921792038156731</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3"/>
      <c r="E258" s="63">
        <v>2</v>
      </c>
      <c r="F258" s="17"/>
      <c r="G258" s="17"/>
      <c r="H258" s="133"/>
      <c r="I258" s="135"/>
      <c r="J258" s="18">
        <f>IF(A12taxstdlife="n/a","n/a",IF(J$3&gt;(A12taxstdlife+$E258),('RFM input'!$I$234-'RFM input'!$I$288)-SUM($I258:I258),('RFM input'!$I$234-'RFM input'!$I$288)/A12taxstdlife))</f>
        <v>0.19926062637704839</v>
      </c>
      <c r="K258" s="18">
        <f>IF(A12taxstdlife="n/a","n/a",IF(K$3&gt;(A12taxstdlife+$E258),('RFM input'!$I$234-'RFM input'!$I$288)-SUM($I258:J258),('RFM input'!$I$234-'RFM input'!$I$288)/A12taxstdlife))</f>
        <v>0.19926062637704839</v>
      </c>
      <c r="L258" s="18">
        <f>IF(A12taxstdlife="n/a","n/a",IF(L$3&gt;(A12taxstdlife+$E258),('RFM input'!$I$234-'RFM input'!$I$288)-SUM($I258:K258),('RFM input'!$I$234-'RFM input'!$I$288)/A12taxstdlife))</f>
        <v>0.19926062637704839</v>
      </c>
      <c r="M258" s="18">
        <f>IF(A12taxstdlife="n/a","n/a",IF(M$3&gt;(A12taxstdlife+$E258),('RFM input'!$I$234-'RFM input'!$I$288)-SUM($I258:L258),('RFM input'!$I$234-'RFM input'!$I$288)/A12taxstdlife))</f>
        <v>0.19926062637704839</v>
      </c>
      <c r="N258" s="18">
        <f>IF(A12taxstdlife="n/a","n/a",IF(N$3&gt;(A12taxstdlife+$E258),('RFM input'!$I$234-'RFM input'!$I$288)-SUM($I258:M258),('RFM input'!$I$234-'RFM input'!$I$288)/A12taxstdlife))</f>
        <v>0.19926062637704839</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3"/>
      <c r="E259" s="63">
        <v>3</v>
      </c>
      <c r="F259" s="17"/>
      <c r="G259" s="17"/>
      <c r="H259" s="133"/>
      <c r="I259" s="134"/>
      <c r="J259" s="135"/>
      <c r="K259" s="18">
        <f>IF(A12taxstdlife="n/a","n/a",IF(K$3&gt;(A12taxstdlife+$E259),('RFM input'!$J$234-'RFM input'!$J$288)-SUM($J259:J259),('RFM input'!$J$234-'RFM input'!$J$288)/A12taxstdlife))</f>
        <v>0.31551843393947876</v>
      </c>
      <c r="L259" s="18">
        <f>IF(A12taxstdlife="n/a","n/a",IF(L$3&gt;(A12taxstdlife+$E259),('RFM input'!$J$234-'RFM input'!$J$288)-SUM($J259:K259),('RFM input'!$J$234-'RFM input'!$J$288)/A12taxstdlife))</f>
        <v>0.31551843393947876</v>
      </c>
      <c r="M259" s="18">
        <f>IF(A12taxstdlife="n/a","n/a",IF(M$3&gt;(A12taxstdlife+$E259),('RFM input'!$J$234-'RFM input'!$J$288)-SUM($J259:L259),('RFM input'!$J$234-'RFM input'!$J$288)/A12taxstdlife))</f>
        <v>0.31551843393947876</v>
      </c>
      <c r="N259" s="18">
        <f>IF(A12taxstdlife="n/a","n/a",IF(N$3&gt;(A12taxstdlife+$E259),('RFM input'!$J$234-'RFM input'!$J$288)-SUM($J259:M259),('RFM input'!$J$234-'RFM input'!$J$288)/A12taxstdlife))</f>
        <v>0.31551843393947876</v>
      </c>
      <c r="O259" s="18">
        <f>IF(A12taxstdlife="n/a","n/a",IF(O$3&gt;(A12taxstdlife+$E259),('RFM input'!$J$234-'RFM input'!$J$288)-SUM($J259:N259),('RFM input'!$J$234-'RFM input'!$J$288)/A12taxstdlife))</f>
        <v>0.31551843393947876</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3"/>
      <c r="E260" s="63">
        <v>4</v>
      </c>
      <c r="F260" s="17"/>
      <c r="G260" s="17"/>
      <c r="H260" s="133"/>
      <c r="I260" s="134"/>
      <c r="J260" s="134"/>
      <c r="K260" s="135"/>
      <c r="L260" s="18">
        <f>IF(A12taxstdlife="n/a","n/a",IF(L$3&gt;(A12taxstdlife+$E260),('RFM input'!$K$234-'RFM input'!$K$288)-SUM($K260:K260),('RFM input'!$K$234-'RFM input'!$K$288)/A12taxstdlife))</f>
        <v>0.21562951712053971</v>
      </c>
      <c r="M260" s="18">
        <f>IF(A12taxstdlife="n/a","n/a",IF(M$3&gt;(A12taxstdlife+$E260),('RFM input'!$K$234-'RFM input'!$K$288)-SUM($K260:L260),('RFM input'!$K$234-'RFM input'!$K$288)/A12taxstdlife))</f>
        <v>0.21562951712053971</v>
      </c>
      <c r="N260" s="18">
        <f>IF(A12taxstdlife="n/a","n/a",IF(N$3&gt;(A12taxstdlife+$E260),('RFM input'!$K$234-'RFM input'!$K$288)-SUM($K260:M260),('RFM input'!$K$234-'RFM input'!$K$288)/A12taxstdlife))</f>
        <v>0.21562951712053971</v>
      </c>
      <c r="O260" s="18">
        <f>IF(A12taxstdlife="n/a","n/a",IF(O$3&gt;(A12taxstdlife+$E260),('RFM input'!$K$234-'RFM input'!$K$288)-SUM($K260:N260),('RFM input'!$K$234-'RFM input'!$K$288)/A12taxstdlife))</f>
        <v>0.21562951712053971</v>
      </c>
      <c r="P260" s="18">
        <f>IF(A12taxstdlife="n/a","n/a",IF(P$3&gt;(A12taxstdlife+$E260),('RFM input'!$K$234-'RFM input'!$K$288)-SUM($K260:O260),('RFM input'!$K$234-'RFM input'!$K$288)/A12taxstdlife))</f>
        <v>0.21562951712053971</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3"/>
      <c r="E261" s="63">
        <v>5</v>
      </c>
      <c r="F261" s="17"/>
      <c r="G261" s="17"/>
      <c r="H261" s="133"/>
      <c r="I261" s="134"/>
      <c r="J261" s="134"/>
      <c r="K261" s="134"/>
      <c r="L261" s="135"/>
      <c r="M261" s="18">
        <f>IF(A12taxstdlife="n/a","n/a",IF(M$3&gt;(A12taxstdlife+$E261),('RFM input'!$L$234-'RFM input'!$L$288)-SUM($L261:L261),('RFM input'!$L$234-'RFM input'!$L$288)/A12taxstdlife))</f>
        <v>0.12500733224925847</v>
      </c>
      <c r="N261" s="18">
        <f>IF(A12taxstdlife="n/a","n/a",IF(N$3&gt;(A12taxstdlife+$E261),('RFM input'!$L$234-'RFM input'!$L$288)-SUM($L261:M261),('RFM input'!$L$234-'RFM input'!$L$288)/A12taxstdlife))</f>
        <v>0.12500733224925847</v>
      </c>
      <c r="O261" s="18">
        <f>IF(A12taxstdlife="n/a","n/a",IF(O$3&gt;(A12taxstdlife+$E261),('RFM input'!$L$234-'RFM input'!$L$288)-SUM($L261:N261),('RFM input'!$L$234-'RFM input'!$L$288)/A12taxstdlife))</f>
        <v>0.12500733224925847</v>
      </c>
      <c r="P261" s="18">
        <f>IF(A12taxstdlife="n/a","n/a",IF(P$3&gt;(A12taxstdlife+$E261),('RFM input'!$L$234-'RFM input'!$L$288)-SUM($L261:O261),('RFM input'!$L$234-'RFM input'!$L$288)/A12taxstdlife))</f>
        <v>0.12500733224925847</v>
      </c>
      <c r="Q261" s="18">
        <f>IF(A12taxstdlife="n/a","n/a",IF(Q$3&gt;(A12taxstdlife+$E261),('RFM input'!$L$234-'RFM input'!$L$288)-SUM($L261:P261),('RFM input'!$L$234-'RFM input'!$L$288)/A12taxstdlife))</f>
        <v>0.12500733224925847</v>
      </c>
      <c r="R261" s="18"/>
      <c r="S261" s="78"/>
      <c r="T261" s="78"/>
      <c r="U261" s="78"/>
      <c r="V261" s="78"/>
      <c r="W261" s="78"/>
      <c r="X261" s="78"/>
      <c r="Y261" s="78"/>
      <c r="Z261" s="78"/>
      <c r="AA261" s="172"/>
    </row>
    <row r="262" spans="1:27" ht="12.75" hidden="1" customHeight="1" outlineLevel="2">
      <c r="A262" s="3"/>
      <c r="B262" s="3"/>
      <c r="C262" s="16"/>
      <c r="D262" s="1503"/>
      <c r="E262" s="63">
        <v>6</v>
      </c>
      <c r="F262" s="17"/>
      <c r="G262" s="17"/>
      <c r="H262" s="133"/>
      <c r="I262" s="134"/>
      <c r="J262" s="134"/>
      <c r="K262" s="134"/>
      <c r="L262" s="134"/>
      <c r="M262" s="135"/>
      <c r="N262" s="18">
        <f>IF(A12taxstdlife="n/a","n/a",IF(N$3&gt;(A12taxstdlife+$E262),('RFM input'!$M$234-'RFM input'!$M$288)-SUM($M262:M262),('RFM input'!$M$234-'RFM input'!$M$288)/A12taxstdlife))</f>
        <v>0.61096664724525929</v>
      </c>
      <c r="O262" s="18">
        <f>IF(A12taxstdlife="n/a","n/a",IF(O$3&gt;(A12taxstdlife+$E262),('RFM input'!$M$234-'RFM input'!$M$288)-SUM($M262:N262),('RFM input'!$M$234-'RFM input'!$M$288)/A12taxstdlife))</f>
        <v>0.61096664724525929</v>
      </c>
      <c r="P262" s="18">
        <f>IF(A12taxstdlife="n/a","n/a",IF(P$3&gt;(A12taxstdlife+$E262),('RFM input'!$M$234-'RFM input'!$M$288)-SUM($M262:O262),('RFM input'!$M$234-'RFM input'!$M$288)/A12taxstdlife))</f>
        <v>0.61096664724525929</v>
      </c>
      <c r="Q262" s="18">
        <f>IF(A12taxstdlife="n/a","n/a",IF(Q$3&gt;(A12taxstdlife+$E262),('RFM input'!$M$234-'RFM input'!$M$288)-SUM($M262:P262),('RFM input'!$M$234-'RFM input'!$M$288)/A12taxstdlife))</f>
        <v>0.61096664724525929</v>
      </c>
      <c r="R262" s="18"/>
      <c r="S262" s="78"/>
      <c r="T262" s="78"/>
      <c r="U262" s="78"/>
      <c r="V262" s="78"/>
      <c r="W262" s="78"/>
      <c r="X262" s="78"/>
      <c r="Y262" s="78"/>
      <c r="Z262" s="78"/>
      <c r="AA262" s="172"/>
    </row>
    <row r="263" spans="1:27" ht="12.75" hidden="1" customHeight="1" outlineLevel="2">
      <c r="A263" s="3"/>
      <c r="B263" s="3"/>
      <c r="C263" s="16"/>
      <c r="D263" s="1503"/>
      <c r="E263" s="63">
        <v>7</v>
      </c>
      <c r="F263" s="17"/>
      <c r="G263" s="17"/>
      <c r="H263" s="133"/>
      <c r="I263" s="134"/>
      <c r="J263" s="134"/>
      <c r="K263" s="134"/>
      <c r="L263" s="134"/>
      <c r="M263" s="134"/>
      <c r="N263" s="135"/>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8"/>
      <c r="T263" s="78"/>
      <c r="U263" s="78"/>
      <c r="V263" s="78"/>
      <c r="W263" s="78"/>
      <c r="X263" s="78"/>
      <c r="Y263" s="78"/>
      <c r="Z263" s="78"/>
      <c r="AA263" s="172"/>
    </row>
    <row r="264" spans="1:27" ht="12.75" hidden="1" customHeight="1" outlineLevel="2">
      <c r="A264" s="3"/>
      <c r="B264" s="3"/>
      <c r="C264" s="16"/>
      <c r="D264" s="1503"/>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8"/>
      <c r="T264" s="78"/>
      <c r="U264" s="78"/>
      <c r="V264" s="78"/>
      <c r="W264" s="78"/>
      <c r="X264" s="78"/>
      <c r="Y264" s="78"/>
      <c r="Z264" s="78"/>
      <c r="AA264" s="172"/>
    </row>
    <row r="265" spans="1:27" ht="12.75" hidden="1" customHeight="1" outlineLevel="2">
      <c r="A265" s="3"/>
      <c r="B265" s="3"/>
      <c r="C265" s="16"/>
      <c r="D265" s="1503"/>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0</v>
      </c>
      <c r="R265" s="18"/>
      <c r="S265" s="78"/>
      <c r="T265" s="78"/>
      <c r="U265" s="78"/>
      <c r="V265" s="78"/>
      <c r="W265" s="78"/>
      <c r="X265" s="78"/>
      <c r="Y265" s="78"/>
      <c r="Z265" s="78"/>
      <c r="AA265" s="172"/>
    </row>
    <row r="266" spans="1:27" ht="12.75" hidden="1" customHeight="1" outlineLevel="2">
      <c r="A266" s="3"/>
      <c r="B266" s="3"/>
      <c r="C266" s="16"/>
      <c r="D266" s="1503"/>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-0.82761298049980758</v>
      </c>
      <c r="I267" s="1342">
        <f>IF('RFM input'!$G$457="Tracked",-1*INDEX('RFM input'!I$461:I$510,MATCH('TAB roll forward'!$C267,'RFM input'!$E$461:$E$510,0)),-SUM(I255:I266))</f>
        <v>-0.94683090088137489</v>
      </c>
      <c r="J267" s="1319">
        <f>IF(COUNT($H267:I267)&gt;='RFM input'!$AA$7,0, IF('RFM input'!$G$457="Tracked",-1*INDEX('RFM input'!J$461:J$510,MATCH('TAB roll forward'!$C267,'RFM input'!$E$461:$E$510,0)),-SUM(J255:J266)))</f>
        <v>-1.1460915272584233</v>
      </c>
      <c r="K267" s="1319">
        <f>IF(COUNT($H267:J267)&gt;='RFM input'!$AA$7,0, IF('RFM input'!$G$457="Tracked",-1*INDEX('RFM input'!K$461:K$510,MATCH('TAB roll forward'!$C267,'RFM input'!$E$461:$E$510,0)),-SUM(K255:K266)))</f>
        <v>-1.4616099611979021</v>
      </c>
      <c r="L267" s="1319">
        <f>IF(COUNT($H267:K267)&gt;='RFM input'!$AA$7,0, IF('RFM input'!$G$457="Tracked",-1*INDEX('RFM input'!L$461:L$510,MATCH('TAB roll forward'!$C267,'RFM input'!$E$461:$E$510,0)),-SUM(L255:L266)))</f>
        <v>-1.0918488166928741</v>
      </c>
      <c r="M267" s="1319">
        <f>IF(COUNT($H267:L267)&gt;='RFM input'!$AA$7,0, IF('RFM input'!$G$457="Tracked",-1*INDEX('RFM input'!M$461:M$510,MATCH('TAB roll forward'!$C267,'RFM input'!$E$461:$E$510,0)),-SUM(M255:M266)))</f>
        <v>-0.97463383006789273</v>
      </c>
      <c r="N267" s="1319">
        <f>IF(COUNT($H267:M267)&gt;='RFM input'!$AA$7,0, IF('RFM input'!$G$457="Tracked",-1*INDEX('RFM input'!N$461:N$510,MATCH('TAB roll forward'!$C267,'RFM input'!$E$461:$E$510,0)),-SUM(N255:N266)))</f>
        <v>-1.4663825569315847</v>
      </c>
      <c r="O267" s="1319">
        <f>IF(COUNT($H267:N267)&gt;='RFM input'!$AA$7,0, IF('RFM input'!$G$457="Tracked",-1*INDEX('RFM input'!O$461:O$510,MATCH('TAB roll forward'!$C267,'RFM input'!$E$461:$E$510,0)),-SUM(O255:O266)))</f>
        <v>-1.2671219305545363</v>
      </c>
      <c r="P267" s="1319">
        <f>IF(COUNT($H267:O267)&gt;='RFM input'!$AA$7,0, IF('RFM input'!$G$457="Tracked",-1*INDEX('RFM input'!P$461:P$510,MATCH('TAB roll forward'!$C267,'RFM input'!$E$461:$E$510,0)),-SUM(P255:P266)))</f>
        <v>-0.9516034966150575</v>
      </c>
      <c r="Q267" s="1319">
        <f>IF(COUNT($H267:P267)&gt;='RFM input'!$AA$7,0, IF('RFM input'!$G$457="Tracked",-1*INDEX('RFM input'!Q$461:Q$510,MATCH('TAB roll forward'!$C267,'RFM input'!$E$461:$E$510,0)),-SUM(Q255:Q266)))</f>
        <v>-0.7359739794945177</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2"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3"/>
      <c r="E270" s="63">
        <v>1</v>
      </c>
      <c r="F270" s="17"/>
      <c r="G270" s="17"/>
      <c r="H270" s="1309"/>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3"/>
      <c r="E271" s="63">
        <v>2</v>
      </c>
      <c r="F271" s="17"/>
      <c r="G271" s="17"/>
      <c r="H271" s="133"/>
      <c r="I271" s="135"/>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3"/>
      <c r="E272" s="63">
        <v>3</v>
      </c>
      <c r="F272" s="17"/>
      <c r="G272" s="17"/>
      <c r="H272" s="133"/>
      <c r="I272" s="134"/>
      <c r="J272" s="135"/>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3"/>
      <c r="E273" s="63">
        <v>4</v>
      </c>
      <c r="F273" s="17"/>
      <c r="G273" s="17"/>
      <c r="H273" s="133"/>
      <c r="I273" s="134"/>
      <c r="J273" s="134"/>
      <c r="K273" s="135"/>
      <c r="L273" s="18">
        <f>IF(A13taxstdlife="n/a","n/a",IF(L$3&gt;(A13taxstdlife+$E273),('RFM input'!$K$235-'RFM input'!$K$289)-SUM($K273:K273),('RFM input'!$K$235-'RFM input'!$K$289)/A13taxstdlife))</f>
        <v>0.17578814444019425</v>
      </c>
      <c r="M273" s="18">
        <f>IF(A13taxstdlife="n/a","n/a",IF(M$3&gt;(A13taxstdlife+$E273),('RFM input'!$K$235-'RFM input'!$K$289)-SUM($K273:L273),('RFM input'!$K$235-'RFM input'!$K$289)/A13taxstdlife))</f>
        <v>0.17578814444019425</v>
      </c>
      <c r="N273" s="18">
        <f>IF(A13taxstdlife="n/a","n/a",IF(N$3&gt;(A13taxstdlife+$E273),('RFM input'!$K$235-'RFM input'!$K$289)-SUM($K273:M273),('RFM input'!$K$235-'RFM input'!$K$289)/A13taxstdlife))</f>
        <v>0.17578814444019425</v>
      </c>
      <c r="O273" s="18">
        <f>IF(A13taxstdlife="n/a","n/a",IF(O$3&gt;(A13taxstdlife+$E273),('RFM input'!$K$235-'RFM input'!$K$289)-SUM($K273:N273),('RFM input'!$K$235-'RFM input'!$K$289)/A13taxstdlife))</f>
        <v>0.17578814444019425</v>
      </c>
      <c r="P273" s="18">
        <f>IF(A13taxstdlife="n/a","n/a",IF(P$3&gt;(A13taxstdlife+$E273),('RFM input'!$K$235-'RFM input'!$K$289)-SUM($K273:O273),('RFM input'!$K$235-'RFM input'!$K$289)/A13taxstdlife))</f>
        <v>0.17578814444019425</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3"/>
      <c r="E274" s="63">
        <v>5</v>
      </c>
      <c r="F274" s="17"/>
      <c r="G274" s="17"/>
      <c r="H274" s="133"/>
      <c r="I274" s="134"/>
      <c r="J274" s="134"/>
      <c r="K274" s="134"/>
      <c r="L274" s="135"/>
      <c r="M274" s="18">
        <f>IF(A13taxstdlife="n/a","n/a",IF(M$3&gt;(A13taxstdlife+$E274),('RFM input'!$L$235-'RFM input'!$L$289)-SUM($L274:L274),('RFM input'!$L$235-'RFM input'!$L$289)/A13taxstdlife))</f>
        <v>4.026047063298694E-2</v>
      </c>
      <c r="N274" s="18">
        <f>IF(A13taxstdlife="n/a","n/a",IF(N$3&gt;(A13taxstdlife+$E274),('RFM input'!$L$235-'RFM input'!$L$289)-SUM($L274:M274),('RFM input'!$L$235-'RFM input'!$L$289)/A13taxstdlife))</f>
        <v>4.026047063298694E-2</v>
      </c>
      <c r="O274" s="18">
        <f>IF(A13taxstdlife="n/a","n/a",IF(O$3&gt;(A13taxstdlife+$E274),('RFM input'!$L$235-'RFM input'!$L$289)-SUM($L274:N274),('RFM input'!$L$235-'RFM input'!$L$289)/A13taxstdlife))</f>
        <v>4.026047063298694E-2</v>
      </c>
      <c r="P274" s="18">
        <f>IF(A13taxstdlife="n/a","n/a",IF(P$3&gt;(A13taxstdlife+$E274),('RFM input'!$L$235-'RFM input'!$L$289)-SUM($L274:O274),('RFM input'!$L$235-'RFM input'!$L$289)/A13taxstdlife))</f>
        <v>4.026047063298694E-2</v>
      </c>
      <c r="Q274" s="18">
        <f>IF(A13taxstdlife="n/a","n/a",IF(Q$3&gt;(A13taxstdlife+$E274),('RFM input'!$L$235-'RFM input'!$L$289)-SUM($L274:P274),('RFM input'!$L$235-'RFM input'!$L$289)/A13taxstdlife))</f>
        <v>4.026047063298694E-2</v>
      </c>
      <c r="R274" s="18"/>
      <c r="S274" s="78"/>
      <c r="T274" s="78"/>
      <c r="U274" s="78"/>
      <c r="V274" s="78"/>
      <c r="W274" s="78"/>
      <c r="X274" s="78"/>
      <c r="Y274" s="78"/>
      <c r="Z274" s="78"/>
      <c r="AA274" s="172"/>
    </row>
    <row r="275" spans="1:27" ht="12.75" hidden="1" customHeight="1" outlineLevel="2">
      <c r="A275" s="3"/>
      <c r="B275" s="3"/>
      <c r="C275" s="16"/>
      <c r="D275" s="1503"/>
      <c r="E275" s="63">
        <v>6</v>
      </c>
      <c r="F275" s="17"/>
      <c r="G275" s="17"/>
      <c r="H275" s="133"/>
      <c r="I275" s="134"/>
      <c r="J275" s="134"/>
      <c r="K275" s="134"/>
      <c r="L275" s="134"/>
      <c r="M275" s="135"/>
      <c r="N275" s="18">
        <f>IF(A13taxstdlife="n/a","n/a",IF(N$3&gt;(A13taxstdlife+$E275),('RFM input'!$M$235-'RFM input'!$M$289)-SUM($M275:M275),('RFM input'!$M$235-'RFM input'!$M$289)/A13taxstdlife))</f>
        <v>4.6209172196729292E-2</v>
      </c>
      <c r="O275" s="18">
        <f>IF(A13taxstdlife="n/a","n/a",IF(O$3&gt;(A13taxstdlife+$E275),('RFM input'!$M$235-'RFM input'!$M$289)-SUM($M275:N275),('RFM input'!$M$235-'RFM input'!$M$289)/A13taxstdlife))</f>
        <v>4.6209172196729292E-2</v>
      </c>
      <c r="P275" s="18">
        <f>IF(A13taxstdlife="n/a","n/a",IF(P$3&gt;(A13taxstdlife+$E275),('RFM input'!$M$235-'RFM input'!$M$289)-SUM($M275:O275),('RFM input'!$M$235-'RFM input'!$M$289)/A13taxstdlife))</f>
        <v>4.6209172196729292E-2</v>
      </c>
      <c r="Q275" s="18">
        <f>IF(A13taxstdlife="n/a","n/a",IF(Q$3&gt;(A13taxstdlife+$E275),('RFM input'!$M$235-'RFM input'!$M$289)-SUM($M275:P275),('RFM input'!$M$235-'RFM input'!$M$289)/A13taxstdlife))</f>
        <v>4.6209172196729292E-2</v>
      </c>
      <c r="R275" s="18"/>
      <c r="S275" s="78"/>
      <c r="T275" s="78"/>
      <c r="U275" s="78"/>
      <c r="V275" s="78"/>
      <c r="W275" s="78"/>
      <c r="X275" s="78"/>
      <c r="Y275" s="78"/>
      <c r="Z275" s="78"/>
      <c r="AA275" s="172"/>
    </row>
    <row r="276" spans="1:27" ht="12.75" hidden="1" customHeight="1" outlineLevel="2">
      <c r="A276" s="3"/>
      <c r="B276" s="3"/>
      <c r="C276" s="16"/>
      <c r="D276" s="1503"/>
      <c r="E276" s="63">
        <v>7</v>
      </c>
      <c r="F276" s="17"/>
      <c r="G276" s="17"/>
      <c r="H276" s="133"/>
      <c r="I276" s="134"/>
      <c r="J276" s="134"/>
      <c r="K276" s="134"/>
      <c r="L276" s="134"/>
      <c r="M276" s="134"/>
      <c r="N276" s="135"/>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8"/>
      <c r="T276" s="78"/>
      <c r="U276" s="78"/>
      <c r="V276" s="78"/>
      <c r="W276" s="78"/>
      <c r="X276" s="78"/>
      <c r="Y276" s="78"/>
      <c r="Z276" s="78"/>
      <c r="AA276" s="172"/>
    </row>
    <row r="277" spans="1:27" ht="12.75" hidden="1" customHeight="1" outlineLevel="2">
      <c r="A277" s="3"/>
      <c r="B277" s="3"/>
      <c r="C277" s="16"/>
      <c r="D277" s="1503"/>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8"/>
      <c r="T277" s="78"/>
      <c r="U277" s="78"/>
      <c r="V277" s="78"/>
      <c r="W277" s="78"/>
      <c r="X277" s="78"/>
      <c r="Y277" s="78"/>
      <c r="Z277" s="78"/>
      <c r="AA277" s="172"/>
    </row>
    <row r="278" spans="1:27" ht="12.75" hidden="1" customHeight="1" outlineLevel="2">
      <c r="A278" s="3"/>
      <c r="B278" s="3"/>
      <c r="C278" s="16"/>
      <c r="D278" s="1503"/>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v>
      </c>
      <c r="R278" s="18"/>
      <c r="S278" s="78"/>
      <c r="T278" s="78"/>
      <c r="U278" s="78"/>
      <c r="V278" s="78"/>
      <c r="W278" s="78"/>
      <c r="X278" s="78"/>
      <c r="Y278" s="78"/>
      <c r="Z278" s="78"/>
      <c r="AA278" s="172"/>
    </row>
    <row r="279" spans="1:27" ht="12.75" hidden="1" customHeight="1" outlineLevel="2">
      <c r="A279" s="3"/>
      <c r="B279" s="3"/>
      <c r="C279" s="16"/>
      <c r="D279" s="1503"/>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0</v>
      </c>
      <c r="I280" s="1342">
        <f>IF('RFM input'!$G$457="Tracked",-1*INDEX('RFM input'!I$461:I$510,MATCH('TAB roll forward'!$C280,'RFM input'!$E$461:$E$510,0)),-SUM(I268:I279))</f>
        <v>0</v>
      </c>
      <c r="J280" s="1319">
        <f>IF(COUNT($H280:I280)&gt;='RFM input'!$AA$7,0, IF('RFM input'!$G$457="Tracked",-1*INDEX('RFM input'!J$461:J$510,MATCH('TAB roll forward'!$C280,'RFM input'!$E$461:$E$510,0)),-SUM(J268:J279)))</f>
        <v>0</v>
      </c>
      <c r="K280" s="1319">
        <f>IF(COUNT($H280:J280)&gt;='RFM input'!$AA$7,0, IF('RFM input'!$G$457="Tracked",-1*INDEX('RFM input'!K$461:K$510,MATCH('TAB roll forward'!$C280,'RFM input'!$E$461:$E$510,0)),-SUM(K268:K279)))</f>
        <v>0</v>
      </c>
      <c r="L280" s="1319">
        <f>IF(COUNT($H280:K280)&gt;='RFM input'!$AA$7,0, IF('RFM input'!$G$457="Tracked",-1*INDEX('RFM input'!L$461:L$510,MATCH('TAB roll forward'!$C280,'RFM input'!$E$461:$E$510,0)),-SUM(L268:L279)))</f>
        <v>-0.17578814444019425</v>
      </c>
      <c r="M280" s="1319">
        <f>IF(COUNT($H280:L280)&gt;='RFM input'!$AA$7,0, IF('RFM input'!$G$457="Tracked",-1*INDEX('RFM input'!M$461:M$510,MATCH('TAB roll forward'!$C280,'RFM input'!$E$461:$E$510,0)),-SUM(M268:M279)))</f>
        <v>-0.21604861507318118</v>
      </c>
      <c r="N280" s="1319">
        <f>IF(COUNT($H280:M280)&gt;='RFM input'!$AA$7,0, IF('RFM input'!$G$457="Tracked",-1*INDEX('RFM input'!N$461:N$510,MATCH('TAB roll forward'!$C280,'RFM input'!$E$461:$E$510,0)),-SUM(N268:N279)))</f>
        <v>-0.26225778726991045</v>
      </c>
      <c r="O280" s="1319">
        <f>IF(COUNT($H280:N280)&gt;='RFM input'!$AA$7,0, IF('RFM input'!$G$457="Tracked",-1*INDEX('RFM input'!O$461:O$510,MATCH('TAB roll forward'!$C280,'RFM input'!$E$461:$E$510,0)),-SUM(O268:O279)))</f>
        <v>-0.26225778726991045</v>
      </c>
      <c r="P280" s="1319">
        <f>IF(COUNT($H280:O280)&gt;='RFM input'!$AA$7,0, IF('RFM input'!$G$457="Tracked",-1*INDEX('RFM input'!P$461:P$510,MATCH('TAB roll forward'!$C280,'RFM input'!$E$461:$E$510,0)),-SUM(P268:P279)))</f>
        <v>-0.26225778726991045</v>
      </c>
      <c r="Q280" s="1319">
        <f>IF(COUNT($H280:P280)&gt;='RFM input'!$AA$7,0, IF('RFM input'!$G$457="Tracked",-1*INDEX('RFM input'!Q$461:Q$510,MATCH('TAB roll forward'!$C280,'RFM input'!$E$461:$E$510,0)),-SUM(Q268:Q279)))</f>
        <v>-8.6469642829716226E-2</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-3.5527136788005011E-16</v>
      </c>
      <c r="I281" s="20">
        <f>IF(I$3&gt;A14taxremlife,A14taxvalue-SUM($F281:H281),IF(A14taxremlife="N/A","n/a",A14taxvalue/A14taxremlife))</f>
        <v>-3.5527136788005011E-16</v>
      </c>
      <c r="J281" s="20">
        <f>IF(J$3&gt;A14taxremlife,A14taxvalue-SUM($F281:I281),IF(A14taxremlife="N/A","n/a",A14taxvalue/A14taxremlife))</f>
        <v>-3.5527136788005011E-16</v>
      </c>
      <c r="K281" s="20">
        <f>IF(K$3&gt;A14taxremlife,A14taxvalue-SUM($F281:J281),IF(A14taxremlife="N/A","n/a",A14taxvalue/A14taxremlife))</f>
        <v>-3.5527136788005011E-16</v>
      </c>
      <c r="L281" s="20">
        <f>IF(L$3&gt;A14taxremlife,A14taxvalue-SUM($F281:K281),IF(A14taxremlife="N/A","n/a",A14taxvalue/A14taxremlife))</f>
        <v>-3.5527136788005011E-16</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2"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3"/>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3"/>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3"/>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3"/>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3"/>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3"/>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3"/>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3"/>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3"/>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3"/>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3.5527136788005011E-16</v>
      </c>
      <c r="I293" s="1342">
        <f>IF('RFM input'!$G$457="Tracked",-1*INDEX('RFM input'!I$461:I$510,MATCH('TAB roll forward'!$C293,'RFM input'!$E$461:$E$510,0)),-SUM(I281:I292))</f>
        <v>3.5527136788005011E-16</v>
      </c>
      <c r="J293" s="1319">
        <f>IF(COUNT($H293:I293)&gt;='RFM input'!$AA$7,0, IF('RFM input'!$G$457="Tracked",-1*INDEX('RFM input'!J$461:J$510,MATCH('TAB roll forward'!$C293,'RFM input'!$E$461:$E$510,0)),-SUM(J281:J292)))</f>
        <v>3.5527136788005011E-16</v>
      </c>
      <c r="K293" s="1319">
        <f>IF(COUNT($H293:J293)&gt;='RFM input'!$AA$7,0, IF('RFM input'!$G$457="Tracked",-1*INDEX('RFM input'!K$461:K$510,MATCH('TAB roll forward'!$C293,'RFM input'!$E$461:$E$510,0)),-SUM(K281:K292)))</f>
        <v>3.5527136788005011E-16</v>
      </c>
      <c r="L293" s="1319">
        <f>IF(COUNT($H293:K293)&gt;='RFM input'!$AA$7,0, IF('RFM input'!$G$457="Tracked",-1*INDEX('RFM input'!L$461:L$510,MATCH('TAB roll forward'!$C293,'RFM input'!$E$461:$E$510,0)),-SUM(L281:L292)))</f>
        <v>3.5527136788005011E-16</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f>Asset15</f>
        <v>0</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2"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3"/>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3"/>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3"/>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3"/>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3"/>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3"/>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3"/>
      <c r="E302" s="63">
        <v>7</v>
      </c>
      <c r="F302" s="17"/>
      <c r="G302" s="17"/>
      <c r="H302" s="133"/>
      <c r="I302" s="134"/>
      <c r="J302" s="134"/>
      <c r="K302" s="134"/>
      <c r="L302" s="134"/>
      <c r="M302" s="134"/>
      <c r="N302" s="135"/>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2"/>
    </row>
    <row r="303" spans="1:27" ht="12.75" hidden="1" customHeight="1" outlineLevel="2">
      <c r="A303" s="3"/>
      <c r="B303" s="3"/>
      <c r="C303" s="16"/>
      <c r="D303" s="1503"/>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3"/>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3"/>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f>Asset15</f>
        <v>0</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0</v>
      </c>
      <c r="P306" s="1319">
        <f>IF(COUNT($H306:O306)&gt;='RFM input'!$AA$7,0, IF('RFM input'!$G$457="Tracked",-1*INDEX('RFM input'!P$461:P$510,MATCH('TAB roll forward'!$C306,'RFM input'!$E$461:$E$510,0)),-SUM(P294:P305)))</f>
        <v>0</v>
      </c>
      <c r="Q306" s="1319">
        <f>IF(COUNT($H306:P306)&gt;='RFM input'!$AA$7,0, IF('RFM input'!$G$457="Tracked",-1*INDEX('RFM input'!Q$461:Q$510,MATCH('TAB roll forward'!$C306,'RFM input'!$E$461:$E$510,0)),-SUM(Q294:Q305)))</f>
        <v>0</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2"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3"/>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3"/>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3"/>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3"/>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3"/>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3"/>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3"/>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3"/>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3"/>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3"/>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2"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3"/>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3"/>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3"/>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3"/>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3"/>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3"/>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3"/>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3"/>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3"/>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3"/>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2"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3"/>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3"/>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3"/>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3"/>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3"/>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3"/>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3"/>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3"/>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3"/>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3"/>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2"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3"/>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3"/>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3"/>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3"/>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3"/>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3"/>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3"/>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3"/>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3"/>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3"/>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2"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3"/>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3"/>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3"/>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3"/>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3"/>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3"/>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3"/>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3"/>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3"/>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3"/>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2"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3"/>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3"/>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3"/>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3"/>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3"/>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3"/>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3"/>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3"/>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3"/>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3"/>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2"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3"/>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3"/>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3"/>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3"/>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3"/>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3"/>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3"/>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3"/>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3"/>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3"/>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2"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3"/>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3"/>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3"/>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3"/>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3"/>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3"/>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3"/>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3"/>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3"/>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3"/>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2"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3"/>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3"/>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3"/>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3"/>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3"/>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3"/>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3"/>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3"/>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3"/>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3"/>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2"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3"/>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3"/>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3"/>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3"/>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3"/>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3"/>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3"/>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3"/>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3"/>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3"/>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2"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3"/>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3"/>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3"/>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3"/>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3"/>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3"/>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3"/>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3"/>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3"/>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3"/>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2"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3"/>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3"/>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3"/>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3"/>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3"/>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3"/>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3"/>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3"/>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3"/>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3"/>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2"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3"/>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3"/>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3"/>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3"/>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3"/>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3"/>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3"/>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3"/>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3"/>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3"/>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2"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3"/>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3"/>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3"/>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3"/>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3"/>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3"/>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3"/>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3"/>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3"/>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3"/>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2"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3"/>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3"/>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3"/>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3"/>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3"/>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3"/>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3"/>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3"/>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3"/>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3"/>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2"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3"/>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3"/>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3"/>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3"/>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3"/>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3"/>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3"/>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3"/>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3"/>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3"/>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2"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3"/>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3"/>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3"/>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3"/>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3"/>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3"/>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3"/>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3"/>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3"/>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3"/>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2"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3"/>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3"/>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3"/>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3"/>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3"/>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3"/>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3"/>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3"/>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3"/>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3"/>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2"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3"/>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3"/>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3"/>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3"/>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3"/>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3"/>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3"/>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3"/>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3"/>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3"/>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2"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3"/>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3"/>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3"/>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3"/>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3"/>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3"/>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3"/>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3"/>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3"/>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3"/>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2"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3"/>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3"/>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3"/>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3"/>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3"/>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3"/>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3"/>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3"/>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3"/>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3"/>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2"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3"/>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3"/>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3"/>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3"/>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3"/>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3"/>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3"/>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3"/>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3"/>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3"/>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2"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3"/>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3"/>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3"/>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3"/>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3"/>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3"/>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3"/>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3"/>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3"/>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3"/>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2"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3"/>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3"/>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3"/>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3"/>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3"/>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3"/>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3"/>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3"/>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3"/>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3"/>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2"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3"/>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3"/>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3"/>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3"/>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3"/>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3"/>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3"/>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3"/>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3"/>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3"/>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2"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3"/>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3"/>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3"/>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3"/>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3"/>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3"/>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3"/>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3"/>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3"/>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3"/>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2"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3"/>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3"/>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3"/>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3"/>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3"/>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3"/>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3"/>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3"/>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3"/>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3"/>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2"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3"/>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3"/>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3"/>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3"/>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3"/>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3"/>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3"/>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3"/>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3"/>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3"/>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2"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3"/>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3"/>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3"/>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3"/>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3"/>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3"/>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3"/>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3"/>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3"/>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3"/>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2"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3"/>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3"/>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3"/>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3"/>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3"/>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3"/>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3"/>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3"/>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3"/>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3"/>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2"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3"/>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3"/>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3"/>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3"/>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3"/>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3"/>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3"/>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3"/>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3"/>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3"/>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2"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3"/>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3"/>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3"/>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3"/>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3"/>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3"/>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3"/>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3"/>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3"/>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3"/>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2"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3"/>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3"/>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3"/>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3"/>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3"/>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3"/>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3"/>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3"/>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3"/>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3"/>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2"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3"/>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3"/>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3"/>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3"/>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3"/>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3"/>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3"/>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3"/>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3"/>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3"/>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2"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3"/>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3"/>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3"/>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3"/>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3"/>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3"/>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3"/>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3"/>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3"/>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3"/>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election activeCell="C8" sqref="C8"/>
    </sheetView>
  </sheetViews>
  <sheetFormatPr defaultColWidth="9.109375" defaultRowHeight="13.2" outlineLevelRow="1"/>
  <cols>
    <col min="1" max="1" width="14.44140625" style="172" customWidth="1"/>
    <col min="2" max="2" width="38.6640625" style="172" customWidth="1"/>
    <col min="3" max="3" width="11.5546875" style="172" customWidth="1"/>
    <col min="4" max="6" width="10.5546875" style="172" customWidth="1"/>
    <col min="7" max="7" width="10.6640625" style="172" customWidth="1"/>
    <col min="8" max="23" width="10.5546875" style="172" customWidth="1"/>
    <col min="24" max="16384" width="9.10937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6">
      <c r="A2" s="147"/>
      <c r="B2" s="203" t="str">
        <f>'DMS input'!$C$16&amp;" - Asset Lives Roll Forward"&amp;" - TNSP RFM - version "&amp;Intro!$M$4</f>
        <v>Carpentaria Gas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6">
      <c r="A6" s="229"/>
      <c r="B6" s="229"/>
      <c r="C6" s="105" t="s">
        <v>157</v>
      </c>
      <c r="D6" s="105" t="str">
        <f>C8</f>
        <v>2016-17</v>
      </c>
      <c r="E6" s="105" t="str">
        <f>IF(LEN(D6)&gt;4,CONCATENATE(LEFT(D6,4)+1&amp;"-"&amp;IF(D6&gt;"2007-08",,"0")&amp;RIGHT(D6,2)+1),D6+1)</f>
        <v>2017-18</v>
      </c>
      <c r="F6" s="105" t="str">
        <f t="shared" ref="F6:W6" si="0">IF(LEN(E6)&gt;4,CONCATENATE(LEFT(E6,4)+1&amp;"-"&amp;IF(E6&gt;"2007-08",,"0")&amp;RIGHT(E6,2)+1),E6+1)</f>
        <v>2018-19</v>
      </c>
      <c r="G6" s="105" t="str">
        <f t="shared" si="0"/>
        <v>2019-20</v>
      </c>
      <c r="H6" s="105" t="str">
        <f t="shared" si="0"/>
        <v>2020-21</v>
      </c>
      <c r="I6" s="105" t="str">
        <f t="shared" si="0"/>
        <v>2021-22</v>
      </c>
      <c r="J6" s="105" t="str">
        <f t="shared" si="0"/>
        <v>2022-23</v>
      </c>
      <c r="K6" s="105" t="str">
        <f t="shared" si="0"/>
        <v>2023-24</v>
      </c>
      <c r="L6" s="105" t="str">
        <f t="shared" si="0"/>
        <v>2024-25</v>
      </c>
      <c r="M6" s="105" t="str">
        <f t="shared" si="0"/>
        <v>2025-26</v>
      </c>
      <c r="N6" s="105" t="str">
        <f t="shared" si="0"/>
        <v>2026-27</v>
      </c>
      <c r="O6" s="105" t="str">
        <f t="shared" si="0"/>
        <v>2027-28</v>
      </c>
      <c r="P6" s="105" t="str">
        <f t="shared" si="0"/>
        <v>2028-29</v>
      </c>
      <c r="Q6" s="105" t="str">
        <f t="shared" si="0"/>
        <v>2029-30</v>
      </c>
      <c r="R6" s="105" t="str">
        <f t="shared" si="0"/>
        <v>2030-31</v>
      </c>
      <c r="S6" s="105" t="str">
        <f t="shared" si="0"/>
        <v>2031-32</v>
      </c>
      <c r="T6" s="105" t="str">
        <f t="shared" si="0"/>
        <v>2032-33</v>
      </c>
      <c r="U6" s="105" t="str">
        <f t="shared" si="0"/>
        <v>2033-34</v>
      </c>
      <c r="V6" s="105" t="str">
        <f t="shared" si="0"/>
        <v>2034-35</v>
      </c>
      <c r="W6" s="105" t="str">
        <f t="shared" si="0"/>
        <v>2035-36</v>
      </c>
    </row>
    <row r="7" spans="1:26" ht="15.6">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2016-17</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1.0232558139534831E-2</v>
      </c>
      <c r="D9" s="318">
        <f>IF(LEFT(D$6,4)&lt;LEFT('RFM input'!$G$60,4),"enter input",IF(LEFT(D$6,4)&gt;LEFT('RFM input'!$Q$60,4),0,
INDEX('RFM input'!$E$384:$Q$392,MATCH($B9,'RFM input'!$E$384:$E$392,0),MATCH(D$6,'RFM input'!$E$384:$Q$384,0))))</f>
        <v>1.9337016574585641E-2</v>
      </c>
      <c r="E9" s="318">
        <f>IF(LEFT(E$6,4)&lt;LEFT('RFM input'!$G$60,4),"enter input",IF(LEFT(E$6,4)&gt;LEFT('RFM input'!$Q$60,4),0,
INDEX('RFM input'!$E$384:$Q$392,MATCH($B9,'RFM input'!$E$384:$E$392,0),MATCH(E$6,'RFM input'!$E$384:$Q$384,0))))</f>
        <v>2.0776874435411097E-2</v>
      </c>
      <c r="F9" s="318">
        <f>IF(LEFT(F$6,4)&lt;LEFT('RFM input'!$G$60,4),"enter input",IF(LEFT(F$6,4)&gt;LEFT('RFM input'!$Q$60,4),0,
INDEX('RFM input'!$E$384:$Q$392,MATCH($B9,'RFM input'!$E$384:$E$392,0),MATCH(F$6,'RFM input'!$E$384:$Q$384,0))))</f>
        <v>1.5929203539823078E-2</v>
      </c>
      <c r="G9" s="318">
        <f>IF(LEFT(G$6,4)&lt;LEFT('RFM input'!$G$60,4),"enter input",IF(LEFT(G$6,4)&gt;LEFT('RFM input'!$Q$60,4),0,
INDEX('RFM input'!$E$384:$Q$392,MATCH($B9,'RFM input'!$E$384:$E$392,0),MATCH(G$6,'RFM input'!$E$384:$Q$384,0))))</f>
        <v>-3.4843205574912606E-3</v>
      </c>
      <c r="H9" s="318">
        <f>IF(LEFT(H$6,4)&lt;LEFT('RFM input'!$G$60,4),"enter input",IF(LEFT(H$6,4)&gt;LEFT('RFM input'!$Q$60,4),0,
INDEX('RFM input'!$E$384:$Q$392,MATCH($B9,'RFM input'!$E$384:$E$392,0),MATCH(H$6,'RFM input'!$E$384:$Q$384,0))))</f>
        <v>3.8461538461538325E-2</v>
      </c>
      <c r="I9" s="318">
        <f>IF(LEFT(I$6,4)&lt;LEFT('RFM input'!$G$60,4),"enter input",IF(LEFT(I$6,4)&gt;LEFT('RFM input'!$Q$60,4),0,
INDEX('RFM input'!$E$384:$Q$392,MATCH($B9,'RFM input'!$E$384:$E$392,0),MATCH(I$6,'RFM input'!$E$384:$Q$384,0))))</f>
        <v>6.1447811447811418E-2</v>
      </c>
      <c r="J9" s="318">
        <f>IF(LEFT(J$6,4)&lt;LEFT('RFM input'!$G$60,4),"enter input",IF(LEFT(J$6,4)&gt;LEFT('RFM input'!$Q$60,4),0,
INDEX('RFM input'!$E$384:$Q$392,MATCH($B9,'RFM input'!$E$384:$E$392,0),MATCH(J$6,'RFM input'!$E$384:$Q$384,0))))</f>
        <v>0</v>
      </c>
      <c r="K9" s="318">
        <f>IF(LEFT(K$6,4)&lt;LEFT('RFM input'!$G$60,4),"enter input",IF(LEFT(K$6,4)&gt;LEFT('RFM input'!$Q$60,4),0,
INDEX('RFM input'!$E$384:$Q$392,MATCH($B9,'RFM input'!$E$384:$E$392,0),MATCH(K$6,'RFM input'!$E$384:$Q$384,0))))</f>
        <v>0</v>
      </c>
      <c r="L9" s="318">
        <f>IF(LEFT(L$6,4)&lt;LEFT('RFM input'!$G$60,4),"enter input",IF(LEFT(L$6,4)&gt;LEFT('RFM input'!$Q$60,4),0,
INDEX('RFM input'!$E$384:$Q$392,MATCH($B9,'RFM input'!$E$384:$E$392,0),MATCH(L$6,'RFM input'!$E$384:$Q$384,0))))</f>
        <v>0</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1.0102325581395348</v>
      </c>
      <c r="E10" s="283">
        <f>D10*(1+D9)</f>
        <v>1.029767441860465</v>
      </c>
      <c r="F10" s="283">
        <f t="shared" ref="F10:W10" si="1">E10*(1+E9)</f>
        <v>1.0511627906976744</v>
      </c>
      <c r="G10" s="283">
        <f t="shared" si="1"/>
        <v>1.067906976744186</v>
      </c>
      <c r="H10" s="283">
        <f>G10*(1+G9)</f>
        <v>1.064186046511628</v>
      </c>
      <c r="I10" s="283">
        <f t="shared" si="1"/>
        <v>1.1051162790697673</v>
      </c>
      <c r="J10" s="283">
        <f t="shared" si="1"/>
        <v>1.1730232558139533</v>
      </c>
      <c r="K10" s="283">
        <f t="shared" si="1"/>
        <v>1.1730232558139533</v>
      </c>
      <c r="L10" s="283">
        <f t="shared" si="1"/>
        <v>1.1730232558139533</v>
      </c>
      <c r="M10" s="283">
        <f t="shared" si="1"/>
        <v>1.1730232558139533</v>
      </c>
      <c r="N10" s="283">
        <f t="shared" si="1"/>
        <v>1.1730232558139533</v>
      </c>
      <c r="O10" s="283">
        <f t="shared" si="1"/>
        <v>1.1730232558139533</v>
      </c>
      <c r="P10" s="283">
        <f t="shared" si="1"/>
        <v>1.1730232558139533</v>
      </c>
      <c r="Q10" s="283">
        <f t="shared" si="1"/>
        <v>1.1730232558139533</v>
      </c>
      <c r="R10" s="283">
        <f t="shared" si="1"/>
        <v>1.1730232558139533</v>
      </c>
      <c r="S10" s="283">
        <f t="shared" si="1"/>
        <v>1.1730232558139533</v>
      </c>
      <c r="T10" s="283">
        <f t="shared" si="1"/>
        <v>1.1730232558139533</v>
      </c>
      <c r="U10" s="283">
        <f t="shared" si="1"/>
        <v>1.1730232558139533</v>
      </c>
      <c r="V10" s="283">
        <f t="shared" si="1"/>
        <v>1.1730232558139533</v>
      </c>
      <c r="W10" s="283">
        <f t="shared" si="1"/>
        <v>1.1730232558139533</v>
      </c>
    </row>
    <row r="11" spans="1:26">
      <c r="B11" s="224" t="s">
        <v>45</v>
      </c>
      <c r="C11" s="319">
        <f>IFERROR(INDEX('RFM input'!$E$384:$Q$392,MATCH($B11,'RFM input'!$E$384:$E$392,0),MATCH(D$6,'RFM input'!$E$384:$Q$384,0)-1),"enter input")</f>
        <v>5.4463496313102766E-2</v>
      </c>
      <c r="D11" s="318">
        <f>IF(LEFT(D$6,4)&lt;LEFT('RFM input'!$G$60,4),"enter input",IF(LEFT(D$6,4)&gt;LEFT('RFM input'!$Q$60,4),0,
INDEX('RFM input'!$E$384:$Q$392,MATCH($B11,'RFM input'!$E$384:$E$392,0),MATCH(D$6,'RFM input'!$E$384:$Q$384,0))))</f>
        <v>5.2373390830024125E-2</v>
      </c>
      <c r="E11" s="318">
        <f>IF(LEFT(E$6,4)&lt;LEFT('RFM input'!$G$60,4),"enter input",IF(LEFT(E$6,4)&gt;LEFT('RFM input'!$Q$60,4),0,
INDEX('RFM input'!$E$384:$Q$392,MATCH($B11,'RFM input'!$E$384:$E$392,0),MATCH(E$6,'RFM input'!$E$384:$Q$384,0))))</f>
        <v>5.1966696494946119E-2</v>
      </c>
      <c r="F11" s="318">
        <f>IF(LEFT(F$6,4)&lt;LEFT('RFM input'!$G$60,4),"enter input",IF(LEFT(F$6,4)&gt;LEFT('RFM input'!$Q$60,4),0,
INDEX('RFM input'!$E$384:$Q$392,MATCH($B11,'RFM input'!$E$384:$E$392,0),MATCH(F$6,'RFM input'!$E$384:$Q$384,0))))</f>
        <v>4.8326341682757956E-2</v>
      </c>
      <c r="G11" s="318">
        <f>IF(LEFT(G$6,4)&lt;LEFT('RFM input'!$G$60,4),"enter input",IF(LEFT(G$6,4)&gt;LEFT('RFM input'!$Q$60,4),0,
INDEX('RFM input'!$E$384:$Q$392,MATCH($B11,'RFM input'!$E$384:$E$392,0),MATCH(G$6,'RFM input'!$E$384:$Q$384,0))))</f>
        <v>1.8955260447490518E-2</v>
      </c>
      <c r="H11" s="318">
        <f>IF(LEFT(H$6,4)&lt;LEFT('RFM input'!$G$60,4),"enter input",IF(LEFT(H$6,4)&gt;LEFT('RFM input'!$Q$60,4),0,
INDEX('RFM input'!$E$384:$Q$392,MATCH($B11,'RFM input'!$E$384:$E$392,0),MATCH(H$6,'RFM input'!$E$384:$Q$384,0))))</f>
        <v>5.4185067873302906E-2</v>
      </c>
      <c r="I11" s="318">
        <f>IF(LEFT(I$6,4)&lt;LEFT('RFM input'!$G$60,4),"enter input",IF(LEFT(I$6,4)&gt;LEFT('RFM input'!$Q$60,4),0,
INDEX('RFM input'!$E$384:$Q$392,MATCH($B11,'RFM input'!$E$384:$E$392,0),MATCH(I$6,'RFM input'!$E$384:$Q$384,0))))</f>
        <v>8.9868361549495068E-2</v>
      </c>
      <c r="J11" s="318">
        <f>IF(LEFT(J$6,4)&lt;LEFT('RFM input'!$G$60,4),"enter input",IF(LEFT(J$6,4)&gt;LEFT('RFM input'!$Q$60,4),0,
INDEX('RFM input'!$E$384:$Q$392,MATCH($B11,'RFM input'!$E$384:$E$392,0),MATCH(J$6,'RFM input'!$E$384:$Q$384,0))))</f>
        <v>-1.9607843137254943E-2</v>
      </c>
      <c r="K11" s="318">
        <f>IF(LEFT(K$6,4)&lt;LEFT('RFM input'!$G$60,4),"enter input",IF(LEFT(K$6,4)&gt;LEFT('RFM input'!$Q$60,4),0,
INDEX('RFM input'!$E$384:$Q$392,MATCH($B11,'RFM input'!$E$384:$E$392,0),MATCH(K$6,'RFM input'!$E$384:$Q$384,0))))</f>
        <v>-1.9607843137254943E-2</v>
      </c>
      <c r="L11" s="318">
        <f>IF(LEFT(L$6,4)&lt;LEFT('RFM input'!$G$60,4),"enter input",IF(LEFT(L$6,4)&gt;LEFT('RFM input'!$Q$60,4),0,
INDEX('RFM input'!$E$384:$Q$392,MATCH($B11,'RFM input'!$E$384:$E$392,0),MATCH(L$6,'RFM input'!$E$384:$Q$384,0))))</f>
        <v>-1.9607843137254943E-2</v>
      </c>
      <c r="M11" s="318">
        <f>IF(LEFT(M$6,4)&lt;LEFT('RFM input'!$G$60,4),"enter input",IF(LEFT(M$6,4)&gt;LEFT('RFM input'!$Q$60,4),0,
INDEX('RFM input'!$E$384:$Q$392,MATCH($B11,'RFM input'!$E$384:$E$392,0),MATCH(M$6,'RFM input'!$E$384:$Q$384,0))))</f>
        <v>-1.9607843137254943E-2</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238.35232489350605</v>
      </c>
      <c r="D14" s="1344">
        <f>IF(LEFT(D$6,4)&lt;LEFT('RFM input'!$G$60,4),"enter input",IF(LEFT(D$6,4)&gt;LEFT('RFM input'!$Q$60,4),0,
INDEX('RFM input'!$G$223:$Q$272,$A14,MATCH(D$6,'RFM input'!$G$222:$Q$222,0))
-INDEX('RFM input'!$G$277:$Q$326,$A14,MATCH(D$6,'RFM input'!$G$222:$Q$222,0))))</f>
        <v>0</v>
      </c>
      <c r="E14" s="1344">
        <f>IF(LEFT(E$6,4)&lt;LEFT('RFM input'!$G$60,4),"enter input",IF(LEFT(E$6,4)&gt;LEFT('RFM input'!$Q$60,4),0,
INDEX('RFM input'!$G$223:$Q$272,$A14,MATCH(E$6,'RFM input'!$G$222:$Q$222,0))
-INDEX('RFM input'!$G$277:$Q$326,$A14,MATCH(E$6,'RFM input'!$G$222:$Q$222,0))))</f>
        <v>0</v>
      </c>
      <c r="F14" s="1344">
        <f>IF(LEFT(F$6,4)&lt;LEFT('RFM input'!$G$60,4),"enter input",IF(LEFT(F$6,4)&gt;LEFT('RFM input'!$Q$60,4),0,
INDEX('RFM input'!$G$223:$Q$272,$A14,MATCH(F$6,'RFM input'!$G$222:$Q$222,0))
-INDEX('RFM input'!$G$277:$Q$326,$A14,MATCH(F$6,'RFM input'!$G$222:$Q$222,0))))</f>
        <v>1.7027990000000003E-2</v>
      </c>
      <c r="G14" s="1344">
        <f>IF(LEFT(G$6,4)&lt;LEFT('RFM input'!$G$60,4),"enter input",IF(LEFT(G$6,4)&gt;LEFT('RFM input'!$Q$60,4),0,
INDEX('RFM input'!$G$223:$Q$272,$A14,MATCH(G$6,'RFM input'!$G$222:$Q$222,0))
-INDEX('RFM input'!$G$277:$Q$326,$A14,MATCH(G$6,'RFM input'!$G$222:$Q$222,0))))</f>
        <v>1.3283121499999999</v>
      </c>
      <c r="H14" s="1344">
        <f>IF(LEFT(H$6,4)&lt;LEFT('RFM input'!$G$60,4),"enter input",IF(LEFT(H$6,4)&gt;LEFT('RFM input'!$Q$60,4),0,
INDEX('RFM input'!$G$223:$Q$272,$A14,MATCH(H$6,'RFM input'!$G$222:$Q$222,0))
-INDEX('RFM input'!$G$277:$Q$326,$A14,MATCH(H$6,'RFM input'!$G$222:$Q$222,0))))</f>
        <v>0.61771703</v>
      </c>
      <c r="I14" s="1344">
        <f>IF(LEFT(I$6,4)&lt;LEFT('RFM input'!$G$60,4),"enter input",IF(LEFT(I$6,4)&gt;LEFT('RFM input'!$Q$60,4),0,
INDEX('RFM input'!$G$223:$Q$272,$A14,MATCH(I$6,'RFM input'!$G$222:$Q$222,0))
-INDEX('RFM input'!$G$277:$Q$326,$A14,MATCH(I$6,'RFM input'!$G$222:$Q$222,0))))</f>
        <v>0</v>
      </c>
      <c r="J14" s="1344">
        <f>IF(LEFT(J$6,4)&lt;LEFT('RFM input'!$G$60,4),"enter input",IF(LEFT(J$6,4)&gt;LEFT('RFM input'!$Q$60,4),0,
INDEX('RFM input'!$G$223:$Q$272,$A14,MATCH(J$6,'RFM input'!$G$222:$Q$222,0))
-INDEX('RFM input'!$G$277:$Q$326,$A14,MATCH(J$6,'RFM input'!$G$222:$Q$222,0))))</f>
        <v>0</v>
      </c>
      <c r="K14" s="1344">
        <f>IF(LEFT(K$6,4)&lt;LEFT('RFM input'!$G$60,4),"enter input",IF(LEFT(K$6,4)&gt;LEFT('RFM input'!$Q$60,4),0,
INDEX('RFM input'!$G$223:$Q$272,$A14,MATCH(K$6,'RFM input'!$G$222:$Q$222,0))
-INDEX('RFM input'!$G$277:$Q$326,$A14,MATCH(K$6,'RFM input'!$G$222:$Q$222,0))))</f>
        <v>0</v>
      </c>
      <c r="L14" s="1344">
        <f>IF(LEFT(L$6,4)&lt;LEFT('RFM input'!$G$60,4),"enter input",IF(LEFT(L$6,4)&gt;LEFT('RFM input'!$Q$60,4),0,
INDEX('RFM input'!$G$223:$Q$272,$A14,MATCH(L$6,'RFM input'!$G$222:$Q$222,0))
-INDEX('RFM input'!$G$277:$Q$326,$A14,MATCH(L$6,'RFM input'!$G$222:$Q$222,0))))</f>
        <v>0</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62.218288407248899</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238.35232489350605</v>
      </c>
      <c r="D19" s="1348">
        <f ca="1">IF(C43="n/a",C19,IFERROR(IF((OFFSET($C19,0,$A19))&lt;0,
MIN(0,C19-(OFFSET($C19,0,$A19)/(OFFSET($C14,-$A18,$A19)))),
MAX(0,C19-(OFFSET($C19,0,$A19)/(OFFSET($C14,-$A18,$A19))))),0))</f>
        <v>234.52142033159694</v>
      </c>
      <c r="E19" s="1348">
        <f t="shared" ref="E19:W19" ca="1" si="3">IF(D43="n/a",D19,IFERROR(IF((OFFSET($C19,0,$A19))&lt;0,
MIN(0,D19-(OFFSET($C19,0,$A19)/(OFFSET($C14,-$A18,$A19)))),
MAX(0,D19-(OFFSET($C19,0,$A19)/(OFFSET($C14,-$A18,$A19))))),0))</f>
        <v>230.69051576968783</v>
      </c>
      <c r="F19" s="1348">
        <f t="shared" ca="1" si="3"/>
        <v>226.85961120777873</v>
      </c>
      <c r="G19" s="1348">
        <f t="shared" ca="1" si="3"/>
        <v>223.02870664586962</v>
      </c>
      <c r="H19" s="1348">
        <f t="shared" ca="1" si="3"/>
        <v>219.19780208396051</v>
      </c>
      <c r="I19" s="1348">
        <f t="shared" ca="1" si="3"/>
        <v>215.3668975220514</v>
      </c>
      <c r="J19" s="1348">
        <f t="shared" ca="1" si="3"/>
        <v>211.53599296014229</v>
      </c>
      <c r="K19" s="1348">
        <f t="shared" ca="1" si="3"/>
        <v>207.70508839823319</v>
      </c>
      <c r="L19" s="1348">
        <f t="shared" ca="1" si="3"/>
        <v>203.87418383632408</v>
      </c>
      <c r="M19" s="1348">
        <f t="shared" ca="1" si="3"/>
        <v>200.04327927441497</v>
      </c>
      <c r="N19" s="1348">
        <f t="shared" ca="1" si="3"/>
        <v>196.21237471250586</v>
      </c>
      <c r="O19" s="1348">
        <f t="shared" ca="1" si="3"/>
        <v>192.38147015059675</v>
      </c>
      <c r="P19" s="1348">
        <f t="shared" ca="1" si="3"/>
        <v>188.55056558868765</v>
      </c>
      <c r="Q19" s="1348">
        <f t="shared" ca="1" si="3"/>
        <v>184.71966102677854</v>
      </c>
      <c r="R19" s="1348">
        <f t="shared" ca="1" si="3"/>
        <v>180.88875646486943</v>
      </c>
      <c r="S19" s="1348">
        <f t="shared" ca="1" si="3"/>
        <v>177.05785190296032</v>
      </c>
      <c r="T19" s="1348">
        <f t="shared" ca="1" si="3"/>
        <v>173.22694734105121</v>
      </c>
      <c r="U19" s="1348">
        <f t="shared" ca="1" si="3"/>
        <v>169.39604277914211</v>
      </c>
      <c r="V19" s="1348">
        <f t="shared" ca="1" si="3"/>
        <v>165.565138217233</v>
      </c>
      <c r="W19" s="1348">
        <f t="shared" ca="1" si="3"/>
        <v>161.73423365532389</v>
      </c>
    </row>
    <row r="20" spans="1:26" ht="12.75" hidden="1" customHeight="1" outlineLevel="1">
      <c r="A20" s="225">
        <v>1</v>
      </c>
      <c r="B20" s="212" t="str">
        <f t="shared" ref="B20:B38" ca="1" si="4">"Depreciated Net Capex "&amp;OFFSET($C$6,0,A20)</f>
        <v>Depreciated Net Capex 2016-17</v>
      </c>
      <c r="C20" s="1349"/>
      <c r="D20" s="1350">
        <f>(D14*((1+D$11)^0.5)/D$10)</f>
        <v>0</v>
      </c>
      <c r="E20" s="1348">
        <f ca="1">IF(D44="n/a",D20,IFERROR(IF((OFFSET($C20,0,$A20))&lt;0,
MIN(0,D20-(OFFSET($C20,0,$A20)/(OFFSET($C15,-$A19,$A20)))),
MAX(0,D20-(OFFSET($C20,0,$A20)/(OFFSET($C15,-$A19,$A20))))),0))</f>
        <v>0</v>
      </c>
      <c r="F20" s="1348">
        <f t="shared" ref="F20:W20" ca="1" si="5">IF(E44="n/a",E20,IFERROR(IF((OFFSET($C20,0,$A20))&lt;0,
MIN(0,E20-(OFFSET($C20,0,$A20)/(OFFSET($C15,-$A19,$A20)))),
MAX(0,E20-(OFFSET($C20,0,$A20)/(OFFSET($C15,-$A19,$A20))))),0))</f>
        <v>0</v>
      </c>
      <c r="G20" s="1348">
        <f t="shared" ca="1" si="5"/>
        <v>0</v>
      </c>
      <c r="H20" s="1348">
        <f t="shared" ca="1" si="5"/>
        <v>0</v>
      </c>
      <c r="I20" s="1348">
        <f t="shared" ca="1" si="5"/>
        <v>0</v>
      </c>
      <c r="J20" s="1348">
        <f t="shared" ca="1" si="5"/>
        <v>0</v>
      </c>
      <c r="K20" s="1348">
        <f t="shared" ca="1" si="5"/>
        <v>0</v>
      </c>
      <c r="L20" s="1348">
        <f t="shared" ca="1" si="5"/>
        <v>0</v>
      </c>
      <c r="M20" s="1348">
        <f t="shared" ca="1" si="5"/>
        <v>0</v>
      </c>
      <c r="N20" s="1348">
        <f t="shared" ca="1" si="5"/>
        <v>0</v>
      </c>
      <c r="O20" s="1348">
        <f t="shared" ca="1" si="5"/>
        <v>0</v>
      </c>
      <c r="P20" s="1348">
        <f t="shared" ca="1" si="5"/>
        <v>0</v>
      </c>
      <c r="Q20" s="1348">
        <f t="shared" ca="1" si="5"/>
        <v>0</v>
      </c>
      <c r="R20" s="1348">
        <f t="shared" ca="1" si="5"/>
        <v>0</v>
      </c>
      <c r="S20" s="1348">
        <f t="shared" ca="1" si="5"/>
        <v>0</v>
      </c>
      <c r="T20" s="1348">
        <f t="shared" ca="1" si="5"/>
        <v>0</v>
      </c>
      <c r="U20" s="1348">
        <f t="shared" ca="1" si="5"/>
        <v>0</v>
      </c>
      <c r="V20" s="1348">
        <f t="shared" ca="1" si="5"/>
        <v>0</v>
      </c>
      <c r="W20" s="1348">
        <f t="shared" ca="1" si="5"/>
        <v>0</v>
      </c>
    </row>
    <row r="21" spans="1:26" ht="12.75" hidden="1" customHeight="1" outlineLevel="1">
      <c r="A21" s="225">
        <v>2</v>
      </c>
      <c r="B21" s="212" t="str">
        <f t="shared" ca="1" si="4"/>
        <v>Depreciated Net Capex 2017-18</v>
      </c>
      <c r="C21" s="1351"/>
      <c r="D21" s="1352"/>
      <c r="E21" s="1350">
        <f>(E14*((1+E$11)^0.5)/E$10)</f>
        <v>0</v>
      </c>
      <c r="F21" s="1348">
        <f ca="1">IF(E45="n/a",E21,IFERROR(IF((OFFSET($C21,0,$A21))&lt;0,
MIN(0,E21-(OFFSET($C21,0,$A21)/(OFFSET($C16,-$A20,$A21)))),
MAX(0,E21-(OFFSET($C21,0,$A21)/(OFFSET($C16,-$A20,$A21))))),0))</f>
        <v>0</v>
      </c>
      <c r="G21" s="1348">
        <f t="shared" ref="G21" ca="1" si="6">IF(F45="n/a",F21,IFERROR(IF((OFFSET($C21,0,$A21))&lt;0,
MIN(0,F21-(OFFSET($C21,0,$A21)/(OFFSET($C16,-$A20,$A21)))),
MAX(0,F21-(OFFSET($C21,0,$A21)/(OFFSET($C16,-$A20,$A21))))),0))</f>
        <v>0</v>
      </c>
      <c r="H21" s="1348">
        <f t="shared" ref="H21:H22" ca="1" si="7">IF(G45="n/a",G21,IFERROR(IF((OFFSET($C21,0,$A21))&lt;0,
MIN(0,G21-(OFFSET($C21,0,$A21)/(OFFSET($C16,-$A20,$A21)))),
MAX(0,G21-(OFFSET($C21,0,$A21)/(OFFSET($C16,-$A20,$A21))))),0))</f>
        <v>0</v>
      </c>
      <c r="I21" s="1348">
        <f t="shared" ref="I21:I23" ca="1" si="8">IF(H45="n/a",H21,IFERROR(IF((OFFSET($C21,0,$A21))&lt;0,
MIN(0,H21-(OFFSET($C21,0,$A21)/(OFFSET($C16,-$A20,$A21)))),
MAX(0,H21-(OFFSET($C21,0,$A21)/(OFFSET($C16,-$A20,$A21))))),0))</f>
        <v>0</v>
      </c>
      <c r="J21" s="1348">
        <f t="shared" ref="J21:J24" ca="1" si="9">IF(I45="n/a",I21,IFERROR(IF((OFFSET($C21,0,$A21))&lt;0,
MIN(0,I21-(OFFSET($C21,0,$A21)/(OFFSET($C16,-$A20,$A21)))),
MAX(0,I21-(OFFSET($C21,0,$A21)/(OFFSET($C16,-$A20,$A21))))),0))</f>
        <v>0</v>
      </c>
      <c r="K21" s="1348">
        <f t="shared" ref="K21:K25" ca="1" si="10">IF(J45="n/a",J21,IFERROR(IF((OFFSET($C21,0,$A21))&lt;0,
MIN(0,J21-(OFFSET($C21,0,$A21)/(OFFSET($C16,-$A20,$A21)))),
MAX(0,J21-(OFFSET($C21,0,$A21)/(OFFSET($C16,-$A20,$A21))))),0))</f>
        <v>0</v>
      </c>
      <c r="L21" s="1348">
        <f t="shared" ref="L21:L26" ca="1" si="11">IF(K45="n/a",K21,IFERROR(IF((OFFSET($C21,0,$A21))&lt;0,
MIN(0,K21-(OFFSET($C21,0,$A21)/(OFFSET($C16,-$A20,$A21)))),
MAX(0,K21-(OFFSET($C21,0,$A21)/(OFFSET($C16,-$A20,$A21))))),0))</f>
        <v>0</v>
      </c>
      <c r="M21" s="1348">
        <f t="shared" ref="M21:M27" ca="1" si="12">IF(L45="n/a",L21,IFERROR(IF((OFFSET($C21,0,$A21))&lt;0,
MIN(0,L21-(OFFSET($C21,0,$A21)/(OFFSET($C16,-$A20,$A21)))),
MAX(0,L21-(OFFSET($C21,0,$A21)/(OFFSET($C16,-$A20,$A21))))),0))</f>
        <v>0</v>
      </c>
      <c r="N21" s="1348">
        <f t="shared" ref="N21:N28" ca="1" si="13">IF(M45="n/a",M21,IFERROR(IF((OFFSET($C21,0,$A21))&lt;0,
MIN(0,M21-(OFFSET($C21,0,$A21)/(OFFSET($C16,-$A20,$A21)))),
MAX(0,M21-(OFFSET($C21,0,$A21)/(OFFSET($C16,-$A20,$A21))))),0))</f>
        <v>0</v>
      </c>
      <c r="O21" s="1348">
        <f t="shared" ref="O21:O29" ca="1" si="14">IF(N45="n/a",N21,IFERROR(IF((OFFSET($C21,0,$A21))&lt;0,
MIN(0,N21-(OFFSET($C21,0,$A21)/(OFFSET($C16,-$A20,$A21)))),
MAX(0,N21-(OFFSET($C21,0,$A21)/(OFFSET($C16,-$A20,$A21))))),0))</f>
        <v>0</v>
      </c>
      <c r="P21" s="1348">
        <f t="shared" ref="P21:P30" ca="1" si="15">IF(O45="n/a",O21,IFERROR(IF((OFFSET($C21,0,$A21))&lt;0,
MIN(0,O21-(OFFSET($C21,0,$A21)/(OFFSET($C16,-$A20,$A21)))),
MAX(0,O21-(OFFSET($C21,0,$A21)/(OFFSET($C16,-$A20,$A21))))),0))</f>
        <v>0</v>
      </c>
      <c r="Q21" s="1348">
        <f t="shared" ref="Q21:Q31" ca="1" si="16">IF(P45="n/a",P21,IFERROR(IF((OFFSET($C21,0,$A21))&lt;0,
MIN(0,P21-(OFFSET($C21,0,$A21)/(OFFSET($C16,-$A20,$A21)))),
MAX(0,P21-(OFFSET($C21,0,$A21)/(OFFSET($C16,-$A20,$A21))))),0))</f>
        <v>0</v>
      </c>
      <c r="R21" s="1348">
        <f t="shared" ref="R21:R32" ca="1" si="17">IF(Q45="n/a",Q21,IFERROR(IF((OFFSET($C21,0,$A21))&lt;0,
MIN(0,Q21-(OFFSET($C21,0,$A21)/(OFFSET($C16,-$A20,$A21)))),
MAX(0,Q21-(OFFSET($C21,0,$A21)/(OFFSET($C16,-$A20,$A21))))),0))</f>
        <v>0</v>
      </c>
      <c r="S21" s="1348">
        <f t="shared" ref="S21:S33" ca="1" si="18">IF(R45="n/a",R21,IFERROR(IF((OFFSET($C21,0,$A21))&lt;0,
MIN(0,R21-(OFFSET($C21,0,$A21)/(OFFSET($C16,-$A20,$A21)))),
MAX(0,R21-(OFFSET($C21,0,$A21)/(OFFSET($C16,-$A20,$A21))))),0))</f>
        <v>0</v>
      </c>
      <c r="T21" s="1348">
        <f t="shared" ref="T21:T34" ca="1" si="19">IF(S45="n/a",S21,IFERROR(IF((OFFSET($C21,0,$A21))&lt;0,
MIN(0,S21-(OFFSET($C21,0,$A21)/(OFFSET($C16,-$A20,$A21)))),
MAX(0,S21-(OFFSET($C21,0,$A21)/(OFFSET($C16,-$A20,$A21))))),0))</f>
        <v>0</v>
      </c>
      <c r="U21" s="1348">
        <f t="shared" ref="U21:U35" ca="1" si="20">IF(T45="n/a",T21,IFERROR(IF((OFFSET($C21,0,$A21))&lt;0,
MIN(0,T21-(OFFSET($C21,0,$A21)/(OFFSET($C16,-$A20,$A21)))),
MAX(0,T21-(OFFSET($C21,0,$A21)/(OFFSET($C16,-$A20,$A21))))),0))</f>
        <v>0</v>
      </c>
      <c r="V21" s="1348">
        <f t="shared" ref="V21:V36" ca="1" si="21">IF(U45="n/a",U21,IFERROR(IF((OFFSET($C21,0,$A21))&lt;0,
MIN(0,U21-(OFFSET($C21,0,$A21)/(OFFSET($C16,-$A20,$A21)))),
MAX(0,U21-(OFFSET($C21,0,$A21)/(OFFSET($C16,-$A20,$A21))))),0))</f>
        <v>0</v>
      </c>
      <c r="W21" s="1348">
        <f t="shared" ref="W21:W37" ca="1" si="22">IF(V45="n/a",V21,IFERROR(IF((OFFSET($C21,0,$A21))&lt;0,
MIN(0,V21-(OFFSET($C21,0,$A21)/(OFFSET($C16,-$A20,$A21)))),
MAX(0,V21-(OFFSET($C21,0,$A21)/(OFFSET($C16,-$A20,$A21))))),0))</f>
        <v>0</v>
      </c>
      <c r="X21" s="228"/>
    </row>
    <row r="22" spans="1:26" ht="12.75" hidden="1" customHeight="1" outlineLevel="1">
      <c r="A22" s="225">
        <v>3</v>
      </c>
      <c r="B22" s="212" t="str">
        <f t="shared" ca="1" si="4"/>
        <v>Depreciated Net Capex 2018-19</v>
      </c>
      <c r="C22" s="1351"/>
      <c r="D22" s="1351"/>
      <c r="E22" s="1352"/>
      <c r="F22" s="1353">
        <f>($F14*((1+F$11)^0.5)/F$10)</f>
        <v>1.6585999827581629E-2</v>
      </c>
      <c r="G22" s="1348">
        <f ca="1">IF(F46="n/a",F22,IFERROR(IF((OFFSET($C22,0,$A22))&lt;0,
MIN(0,F22-(OFFSET($C22,0,$A22)/(OFFSET($C17,-$A21,$A22)))),
MAX(0,F22-(OFFSET($C22,0,$A22)/(OFFSET($C17,-$A21,$A22))))),0))</f>
        <v>1.6378674829736858E-2</v>
      </c>
      <c r="H22" s="1348">
        <f t="shared" ca="1" si="7"/>
        <v>1.6171349831892088E-2</v>
      </c>
      <c r="I22" s="1348">
        <f t="shared" ca="1" si="8"/>
        <v>1.5964024834047318E-2</v>
      </c>
      <c r="J22" s="1348">
        <f t="shared" ca="1" si="9"/>
        <v>1.5756699836202547E-2</v>
      </c>
      <c r="K22" s="1348">
        <f t="shared" ca="1" si="10"/>
        <v>1.5549374838357777E-2</v>
      </c>
      <c r="L22" s="1348">
        <f t="shared" ca="1" si="11"/>
        <v>1.5342049840513006E-2</v>
      </c>
      <c r="M22" s="1348">
        <f t="shared" ca="1" si="12"/>
        <v>1.5134724842668236E-2</v>
      </c>
      <c r="N22" s="1348">
        <f t="shared" ca="1" si="13"/>
        <v>1.4927399844823466E-2</v>
      </c>
      <c r="O22" s="1348">
        <f t="shared" ca="1" si="14"/>
        <v>1.4720074846978695E-2</v>
      </c>
      <c r="P22" s="1348">
        <f t="shared" ca="1" si="15"/>
        <v>1.4512749849133925E-2</v>
      </c>
      <c r="Q22" s="1348">
        <f t="shared" ca="1" si="16"/>
        <v>1.4305424851289154E-2</v>
      </c>
      <c r="R22" s="1348">
        <f t="shared" ca="1" si="17"/>
        <v>1.4098099853444384E-2</v>
      </c>
      <c r="S22" s="1348">
        <f t="shared" ca="1" si="18"/>
        <v>1.3890774855599614E-2</v>
      </c>
      <c r="T22" s="1348">
        <f t="shared" ca="1" si="19"/>
        <v>1.3683449857754843E-2</v>
      </c>
      <c r="U22" s="1348">
        <f t="shared" ca="1" si="20"/>
        <v>1.3476124859910073E-2</v>
      </c>
      <c r="V22" s="1348">
        <f t="shared" ca="1" si="21"/>
        <v>1.3268799862065302E-2</v>
      </c>
      <c r="W22" s="1348">
        <f t="shared" ca="1" si="22"/>
        <v>1.3061474864220532E-2</v>
      </c>
      <c r="X22" s="228"/>
      <c r="Y22" s="228"/>
    </row>
    <row r="23" spans="1:26" ht="12.75" hidden="1" customHeight="1" outlineLevel="1">
      <c r="A23" s="225">
        <v>4</v>
      </c>
      <c r="B23" s="212" t="str">
        <f t="shared" ca="1" si="4"/>
        <v>Depreciated Net Capex 2019-20</v>
      </c>
      <c r="C23" s="1351"/>
      <c r="D23" s="1351"/>
      <c r="E23" s="1351"/>
      <c r="F23" s="1352"/>
      <c r="G23" s="1353">
        <f>($G14*((1+G$11)^0.5)/G$10)</f>
        <v>1.2555796817991662</v>
      </c>
      <c r="H23" s="1348">
        <f ca="1">IF(G47="n/a",G23,IFERROR(IF((OFFSET($C23,0,$A23))&lt;0,
MIN(0,G23-(OFFSET($C23,0,$A23)/(OFFSET($C18,-$A22,$A23)))),
MAX(0,G23-(OFFSET($C23,0,$A23)/(OFFSET($C18,-$A22,$A23))))),0))</f>
        <v>1.2398849357766766</v>
      </c>
      <c r="I23" s="1348">
        <f t="shared" ca="1" si="8"/>
        <v>1.2241901897541869</v>
      </c>
      <c r="J23" s="1348">
        <f t="shared" ca="1" si="9"/>
        <v>1.2084954437316973</v>
      </c>
      <c r="K23" s="1348">
        <f t="shared" ca="1" si="10"/>
        <v>1.1928006977092076</v>
      </c>
      <c r="L23" s="1348">
        <f t="shared" ca="1" si="11"/>
        <v>1.1771059516867179</v>
      </c>
      <c r="M23" s="1348">
        <f t="shared" ca="1" si="12"/>
        <v>1.1614112056642283</v>
      </c>
      <c r="N23" s="1348">
        <f t="shared" ca="1" si="13"/>
        <v>1.1457164596417386</v>
      </c>
      <c r="O23" s="1348">
        <f t="shared" ca="1" si="14"/>
        <v>1.130021713619249</v>
      </c>
      <c r="P23" s="1348">
        <f t="shared" ca="1" si="15"/>
        <v>1.1143269675967593</v>
      </c>
      <c r="Q23" s="1348">
        <f t="shared" ca="1" si="16"/>
        <v>1.0986322215742697</v>
      </c>
      <c r="R23" s="1348">
        <f t="shared" ca="1" si="17"/>
        <v>1.08293747555178</v>
      </c>
      <c r="S23" s="1348">
        <f t="shared" ca="1" si="18"/>
        <v>1.0672427295292903</v>
      </c>
      <c r="T23" s="1348">
        <f t="shared" ca="1" si="19"/>
        <v>1.0515479835068007</v>
      </c>
      <c r="U23" s="1348">
        <f t="shared" ca="1" si="20"/>
        <v>1.035853237484311</v>
      </c>
      <c r="V23" s="1348">
        <f t="shared" ca="1" si="21"/>
        <v>1.0201584914618214</v>
      </c>
      <c r="W23" s="1348">
        <f t="shared" ca="1" si="22"/>
        <v>1.0044637454393317</v>
      </c>
      <c r="X23" s="228"/>
      <c r="Y23" s="228"/>
      <c r="Z23" s="228"/>
    </row>
    <row r="24" spans="1:26" ht="12.75" hidden="1" customHeight="1" outlineLevel="1">
      <c r="A24" s="225">
        <v>5</v>
      </c>
      <c r="B24" s="212" t="str">
        <f t="shared" ca="1" si="4"/>
        <v>Depreciated Net Capex 2020-21</v>
      </c>
      <c r="C24" s="1351"/>
      <c r="D24" s="1351"/>
      <c r="E24" s="1351"/>
      <c r="F24" s="1351"/>
      <c r="G24" s="1352"/>
      <c r="H24" s="1353">
        <f>(H14*((1+H$11)^0.5)/H$10)</f>
        <v>0.59597829667249325</v>
      </c>
      <c r="I24" s="1348">
        <f ca="1">IF(H48="n/a",H24,IFERROR(IF((OFFSET($C24,0,$A24))&lt;0,
MIN(0,H24-(OFFSET($C24,0,$A24)/(OFFSET($C19,-$A23,$A24)))),
MAX(0,H24-(OFFSET($C24,0,$A24)/(OFFSET($C19,-$A23,$A24))))),0))</f>
        <v>0.58852856796408703</v>
      </c>
      <c r="J24" s="1348">
        <f t="shared" ca="1" si="9"/>
        <v>0.58107883925568082</v>
      </c>
      <c r="K24" s="1348">
        <f t="shared" ca="1" si="10"/>
        <v>0.57362911054727461</v>
      </c>
      <c r="L24" s="1348">
        <f t="shared" ca="1" si="11"/>
        <v>0.5661793818388684</v>
      </c>
      <c r="M24" s="1348">
        <f t="shared" ca="1" si="12"/>
        <v>0.55872965313046219</v>
      </c>
      <c r="N24" s="1348">
        <f t="shared" ca="1" si="13"/>
        <v>0.55127992442205598</v>
      </c>
      <c r="O24" s="1348">
        <f t="shared" ca="1" si="14"/>
        <v>0.54383019571364977</v>
      </c>
      <c r="P24" s="1348">
        <f t="shared" ca="1" si="15"/>
        <v>0.53638046700524356</v>
      </c>
      <c r="Q24" s="1348">
        <f t="shared" ca="1" si="16"/>
        <v>0.52893073829683734</v>
      </c>
      <c r="R24" s="1348">
        <f t="shared" ca="1" si="17"/>
        <v>0.52148100958843113</v>
      </c>
      <c r="S24" s="1348">
        <f t="shared" ca="1" si="18"/>
        <v>0.51403128088002492</v>
      </c>
      <c r="T24" s="1348">
        <f t="shared" ca="1" si="19"/>
        <v>0.50658155217161871</v>
      </c>
      <c r="U24" s="1348">
        <f t="shared" ca="1" si="20"/>
        <v>0.49913182346321255</v>
      </c>
      <c r="V24" s="1348">
        <f t="shared" ca="1" si="21"/>
        <v>0.4916820947548064</v>
      </c>
      <c r="W24" s="1348">
        <f t="shared" ca="1" si="22"/>
        <v>0.48423236604640024</v>
      </c>
      <c r="X24" s="228"/>
      <c r="Y24" s="228"/>
      <c r="Z24" s="228"/>
    </row>
    <row r="25" spans="1:26" ht="12.75" hidden="1" customHeight="1" outlineLevel="1">
      <c r="A25" s="225">
        <v>6</v>
      </c>
      <c r="B25" s="212" t="str">
        <f t="shared" ca="1" si="4"/>
        <v>Depreciated Net Capex 2021-22</v>
      </c>
      <c r="C25" s="1351"/>
      <c r="D25" s="1351"/>
      <c r="E25" s="1351"/>
      <c r="F25" s="1351"/>
      <c r="G25" s="1351"/>
      <c r="H25" s="1352"/>
      <c r="I25" s="1353">
        <f>(I14*((1+I$11)^0.5)/I$10)</f>
        <v>0</v>
      </c>
      <c r="J25" s="1348">
        <f ca="1">IF(I49="n/a",I25,IFERROR(IF((OFFSET($C25,0,$A25))&lt;0,
MIN(0,I25-(OFFSET($C25,0,$A25)/(OFFSET($C20,-$A24,$A25)))),
MAX(0,I25-(OFFSET($C25,0,$A25)/(OFFSET($C20,-$A24,$A25))))),0))</f>
        <v>0</v>
      </c>
      <c r="K25" s="1348">
        <f t="shared" ca="1" si="10"/>
        <v>0</v>
      </c>
      <c r="L25" s="1348">
        <f t="shared" ca="1" si="11"/>
        <v>0</v>
      </c>
      <c r="M25" s="1348">
        <f t="shared" ca="1" si="12"/>
        <v>0</v>
      </c>
      <c r="N25" s="1348">
        <f t="shared" ca="1" si="13"/>
        <v>0</v>
      </c>
      <c r="O25" s="1348">
        <f t="shared" ca="1" si="14"/>
        <v>0</v>
      </c>
      <c r="P25" s="1348">
        <f t="shared" ca="1" si="15"/>
        <v>0</v>
      </c>
      <c r="Q25" s="1348">
        <f t="shared" ca="1" si="16"/>
        <v>0</v>
      </c>
      <c r="R25" s="1348">
        <f t="shared" ca="1" si="17"/>
        <v>0</v>
      </c>
      <c r="S25" s="1348">
        <f t="shared" ca="1" si="18"/>
        <v>0</v>
      </c>
      <c r="T25" s="1348">
        <f t="shared" ca="1" si="19"/>
        <v>0</v>
      </c>
      <c r="U25" s="1348">
        <f t="shared" ca="1" si="20"/>
        <v>0</v>
      </c>
      <c r="V25" s="1348">
        <f t="shared" ca="1" si="21"/>
        <v>0</v>
      </c>
      <c r="W25" s="1348">
        <f t="shared" ca="1" si="22"/>
        <v>0</v>
      </c>
      <c r="X25" s="228"/>
      <c r="Y25" s="228"/>
      <c r="Z25" s="228"/>
    </row>
    <row r="26" spans="1:26" ht="12.75" hidden="1" customHeight="1" outlineLevel="1">
      <c r="A26" s="225">
        <v>7</v>
      </c>
      <c r="B26" s="212" t="str">
        <f t="shared" ca="1" si="4"/>
        <v>Depreciated Net Capex 2022-23</v>
      </c>
      <c r="C26" s="1351"/>
      <c r="D26" s="1351"/>
      <c r="E26" s="1351"/>
      <c r="F26" s="1351"/>
      <c r="G26" s="1351"/>
      <c r="H26" s="1351"/>
      <c r="I26" s="1352"/>
      <c r="J26" s="1353">
        <f>(J14*((1+J$11)^0.5)/J$10)</f>
        <v>0</v>
      </c>
      <c r="K26" s="1348">
        <f ca="1">IF(J50="n/a",J26,IFERROR(IF((OFFSET($C26,0,$A26))&lt;0,
MIN(0,J26-(OFFSET($C26,0,$A26)/(OFFSET($C21,-$A25,$A26)))),
MAX(0,J26-(OFFSET($C26,0,$A26)/(OFFSET($C21,-$A25,$A26))))),0))</f>
        <v>0</v>
      </c>
      <c r="L26" s="1348">
        <f t="shared" ca="1" si="11"/>
        <v>0</v>
      </c>
      <c r="M26" s="1348">
        <f t="shared" ca="1" si="12"/>
        <v>0</v>
      </c>
      <c r="N26" s="1348">
        <f t="shared" ca="1" si="13"/>
        <v>0</v>
      </c>
      <c r="O26" s="1348">
        <f t="shared" ca="1" si="14"/>
        <v>0</v>
      </c>
      <c r="P26" s="1348">
        <f t="shared" ca="1" si="15"/>
        <v>0</v>
      </c>
      <c r="Q26" s="1348">
        <f t="shared" ca="1" si="16"/>
        <v>0</v>
      </c>
      <c r="R26" s="1348">
        <f t="shared" ca="1" si="17"/>
        <v>0</v>
      </c>
      <c r="S26" s="1348">
        <f t="shared" ca="1" si="18"/>
        <v>0</v>
      </c>
      <c r="T26" s="1348">
        <f t="shared" ca="1" si="19"/>
        <v>0</v>
      </c>
      <c r="U26" s="1348">
        <f t="shared" ca="1" si="20"/>
        <v>0</v>
      </c>
      <c r="V26" s="1348">
        <f t="shared" ca="1" si="21"/>
        <v>0</v>
      </c>
      <c r="W26" s="1348">
        <f t="shared" ca="1" si="22"/>
        <v>0</v>
      </c>
      <c r="X26" s="228"/>
      <c r="Y26" s="228"/>
      <c r="Z26" s="228"/>
    </row>
    <row r="27" spans="1:26" ht="12.75" hidden="1" customHeight="1" outlineLevel="1">
      <c r="A27" s="225">
        <v>8</v>
      </c>
      <c r="B27" s="212" t="str">
        <f t="shared" ca="1" si="4"/>
        <v>Depreciated Net Capex 2023-24</v>
      </c>
      <c r="C27" s="1351"/>
      <c r="D27" s="1351"/>
      <c r="E27" s="1351"/>
      <c r="F27" s="1351"/>
      <c r="G27" s="1351"/>
      <c r="H27" s="1351"/>
      <c r="I27" s="1351"/>
      <c r="J27" s="1352"/>
      <c r="K27" s="1353">
        <f>(K14*((1+K$11)^0.5)/K$10)</f>
        <v>0</v>
      </c>
      <c r="L27" s="1348">
        <f ca="1">IF(K51="n/a",K27,IFERROR(IF((OFFSET($C27,0,$A27))&lt;0,
MIN(0,K27-(OFFSET($C27,0,$A27)/(OFFSET($C22,-$A26,$A27)))),
MAX(0,K27-(OFFSET($C27,0,$A27)/(OFFSET($C22,-$A26,$A27))))),0))</f>
        <v>0</v>
      </c>
      <c r="M27" s="1348">
        <f t="shared" ca="1" si="12"/>
        <v>0</v>
      </c>
      <c r="N27" s="1348">
        <f t="shared" ca="1" si="13"/>
        <v>0</v>
      </c>
      <c r="O27" s="1348">
        <f t="shared" ca="1" si="14"/>
        <v>0</v>
      </c>
      <c r="P27" s="1348">
        <f t="shared" ca="1" si="15"/>
        <v>0</v>
      </c>
      <c r="Q27" s="1348">
        <f t="shared" ca="1" si="16"/>
        <v>0</v>
      </c>
      <c r="R27" s="1348">
        <f t="shared" ca="1" si="17"/>
        <v>0</v>
      </c>
      <c r="S27" s="1348">
        <f t="shared" ca="1" si="18"/>
        <v>0</v>
      </c>
      <c r="T27" s="1348">
        <f t="shared" ca="1" si="19"/>
        <v>0</v>
      </c>
      <c r="U27" s="1348">
        <f t="shared" ca="1" si="20"/>
        <v>0</v>
      </c>
      <c r="V27" s="1348">
        <f t="shared" ca="1" si="21"/>
        <v>0</v>
      </c>
      <c r="W27" s="1348">
        <f t="shared" ca="1" si="22"/>
        <v>0</v>
      </c>
      <c r="X27" s="228"/>
      <c r="Y27" s="228"/>
      <c r="Z27" s="228"/>
    </row>
    <row r="28" spans="1:26" ht="12.75" hidden="1" customHeight="1" outlineLevel="1">
      <c r="A28" s="225">
        <v>9</v>
      </c>
      <c r="B28" s="212" t="str">
        <f t="shared" ca="1" si="4"/>
        <v>Depreciated Net Capex 2024-25</v>
      </c>
      <c r="C28" s="1351"/>
      <c r="D28" s="1351"/>
      <c r="E28" s="1351"/>
      <c r="F28" s="1351"/>
      <c r="G28" s="1351"/>
      <c r="H28" s="1351"/>
      <c r="I28" s="1351"/>
      <c r="J28" s="1351"/>
      <c r="K28" s="1352"/>
      <c r="L28" s="1353">
        <f>(L14*((1+L$11)^0.5)/L$10)</f>
        <v>0</v>
      </c>
      <c r="M28" s="1348">
        <f ca="1">IF(L52="n/a",L28,IFERROR(IF((OFFSET($C28,0,$A28))&lt;0,
MIN(0,L28-(OFFSET($C28,0,$A28)/(OFFSET($C23,-$A27,$A28)))),
MAX(0,L28-(OFFSET($C28,0,$A28)/(OFFSET($C23,-$A27,$A28))))),0))</f>
        <v>0</v>
      </c>
      <c r="N28" s="1348">
        <f t="shared" ca="1" si="13"/>
        <v>0</v>
      </c>
      <c r="O28" s="1348">
        <f t="shared" ca="1" si="14"/>
        <v>0</v>
      </c>
      <c r="P28" s="1348">
        <f t="shared" ca="1" si="15"/>
        <v>0</v>
      </c>
      <c r="Q28" s="1348">
        <f t="shared" ca="1" si="16"/>
        <v>0</v>
      </c>
      <c r="R28" s="1348">
        <f t="shared" ca="1" si="17"/>
        <v>0</v>
      </c>
      <c r="S28" s="1348">
        <f t="shared" ca="1" si="18"/>
        <v>0</v>
      </c>
      <c r="T28" s="1348">
        <f t="shared" ca="1" si="19"/>
        <v>0</v>
      </c>
      <c r="U28" s="1348">
        <f t="shared" ca="1" si="20"/>
        <v>0</v>
      </c>
      <c r="V28" s="1348">
        <f t="shared" ca="1" si="21"/>
        <v>0</v>
      </c>
      <c r="W28" s="1348">
        <f t="shared" ca="1" si="22"/>
        <v>0</v>
      </c>
      <c r="X28" s="228"/>
      <c r="Y28" s="228"/>
      <c r="Z28" s="228"/>
    </row>
    <row r="29" spans="1:26" ht="12.75" hidden="1" customHeight="1" outlineLevel="1">
      <c r="A29" s="225">
        <v>10</v>
      </c>
      <c r="B29" s="212" t="str">
        <f t="shared" ca="1" si="4"/>
        <v>Depreciated Net Capex 2025-26</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2026-27</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2027-28</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2028-29</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2029-30</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2030-31</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2031-32</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2032-33</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2033-34</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2034-35</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2035-36</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62.218288407248899</v>
      </c>
      <c r="D43" s="1348">
        <f t="shared" ref="D43:W43" ca="1" si="24">IF(C43="n/a","n/a",MAX(0,C43-1))</f>
        <v>61.218288407248899</v>
      </c>
      <c r="E43" s="1348">
        <f t="shared" ca="1" si="24"/>
        <v>60.218288407248899</v>
      </c>
      <c r="F43" s="1348">
        <f t="shared" ca="1" si="24"/>
        <v>59.218288407248899</v>
      </c>
      <c r="G43" s="1348">
        <f t="shared" ca="1" si="24"/>
        <v>58.218288407248899</v>
      </c>
      <c r="H43" s="1348">
        <f t="shared" ca="1" si="24"/>
        <v>57.218288407248899</v>
      </c>
      <c r="I43" s="1348">
        <f t="shared" ca="1" si="24"/>
        <v>56.218288407248899</v>
      </c>
      <c r="J43" s="1348">
        <f t="shared" ca="1" si="24"/>
        <v>55.218288407248899</v>
      </c>
      <c r="K43" s="1348">
        <f t="shared" ca="1" si="24"/>
        <v>54.218288407248899</v>
      </c>
      <c r="L43" s="1348">
        <f t="shared" ca="1" si="24"/>
        <v>53.218288407248899</v>
      </c>
      <c r="M43" s="1348">
        <f t="shared" ca="1" si="24"/>
        <v>52.218288407248899</v>
      </c>
      <c r="N43" s="1348">
        <f t="shared" ca="1" si="24"/>
        <v>51.218288407248899</v>
      </c>
      <c r="O43" s="1348">
        <f t="shared" ca="1" si="24"/>
        <v>50.218288407248899</v>
      </c>
      <c r="P43" s="1348">
        <f t="shared" ca="1" si="24"/>
        <v>49.218288407248899</v>
      </c>
      <c r="Q43" s="1348">
        <f t="shared" ca="1" si="24"/>
        <v>48.218288407248899</v>
      </c>
      <c r="R43" s="1348">
        <f t="shared" ca="1" si="24"/>
        <v>47.218288407248899</v>
      </c>
      <c r="S43" s="1348">
        <f t="shared" ca="1" si="24"/>
        <v>46.218288407248899</v>
      </c>
      <c r="T43" s="1348">
        <f t="shared" ca="1" si="24"/>
        <v>45.218288407248899</v>
      </c>
      <c r="U43" s="1348">
        <f t="shared" ca="1" si="24"/>
        <v>44.218288407248899</v>
      </c>
      <c r="V43" s="1348">
        <f t="shared" ca="1" si="24"/>
        <v>43.218288407248899</v>
      </c>
      <c r="W43" s="1348">
        <f t="shared" ca="1" si="24"/>
        <v>42.218288407248899</v>
      </c>
    </row>
    <row r="44" spans="1:26" ht="12.75" hidden="1" customHeight="1" outlineLevel="1">
      <c r="B44" s="212" t="str">
        <f t="shared" ref="B44:B63" ca="1" si="25">"RL Capex "&amp;OFFSET($C$6,0,A20)</f>
        <v>RL Capex 2016-17</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2017-18</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2018-19</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2019-20</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2020-21</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2021-22</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2022-23</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2023-24</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2024-25</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2025-26</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2026-27</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2027-28</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2028-29</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2029-30</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2030-31</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2031-32</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2032-33</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2033-34</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2034-35</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2035-36</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62.218288407248899</v>
      </c>
      <c r="D65" s="1356">
        <f ca="1">(IF(OR($C15&lt;&gt;"n/a",D15&lt;&gt;"n/a"),IF(SUM(D18:D40)=0,0,IF((SUMPRODUCT(D18:D40,D42:D64)/SUM(D18:D40))&lt;0,1,(SUMPRODUCT(D18:D40,D42:D64)/SUM(D18:D40)))),"n/a"))</f>
        <v>61.218288407248899</v>
      </c>
      <c r="E65" s="1356">
        <f t="shared" ref="E65:W65" ca="1" si="44">(IF(OR($C15&lt;&gt;"n/a",E15&lt;&gt;"n/a"),IF(SUM(E18:E40)=0,0,IF((SUMPRODUCT(E18:E40,E42:E64)/SUM(E18:E40))&lt;0,1,(SUMPRODUCT(E18:E40,E42:E64)/SUM(E18:E40)))),"n/a"))</f>
        <v>60.218288407248899</v>
      </c>
      <c r="F65" s="1356">
        <f t="shared" ca="1" si="44"/>
        <v>59.219807674008202</v>
      </c>
      <c r="G65" s="1356">
        <f t="shared" ca="1" si="44"/>
        <v>58.341734547753852</v>
      </c>
      <c r="H65" s="1356">
        <f t="shared" ca="1" si="44"/>
        <v>57.403406345787232</v>
      </c>
      <c r="I65" s="1356">
        <f t="shared" ca="1" si="44"/>
        <v>56.404316159059725</v>
      </c>
      <c r="J65" s="1356">
        <f t="shared" ca="1" si="44"/>
        <v>55.405258845978373</v>
      </c>
      <c r="K65" s="1356">
        <f t="shared" ca="1" si="44"/>
        <v>54.406236221024471</v>
      </c>
      <c r="L65" s="1356">
        <f t="shared" ca="1" si="44"/>
        <v>53.40725023471758</v>
      </c>
      <c r="M65" s="1356">
        <f t="shared" ca="1" si="44"/>
        <v>52.408302986607893</v>
      </c>
      <c r="N65" s="1356">
        <f t="shared" ca="1" si="44"/>
        <v>51.409396739787105</v>
      </c>
      <c r="O65" s="1356">
        <f t="shared" ca="1" si="44"/>
        <v>50.410533937128065</v>
      </c>
      <c r="P65" s="1356">
        <f t="shared" ca="1" si="44"/>
        <v>49.411717219498897</v>
      </c>
      <c r="Q65" s="1356">
        <f t="shared" ca="1" si="44"/>
        <v>48.41294944623737</v>
      </c>
      <c r="R65" s="1356">
        <f t="shared" ca="1" si="44"/>
        <v>47.414233718219499</v>
      </c>
      <c r="S65" s="1356">
        <f t="shared" ca="1" si="44"/>
        <v>46.415573403914166</v>
      </c>
      <c r="T65" s="1356">
        <f t="shared" ca="1" si="44"/>
        <v>45.416972168884953</v>
      </c>
      <c r="U65" s="1356">
        <f t="shared" ca="1" si="44"/>
        <v>44.41843400928267</v>
      </c>
      <c r="V65" s="1356">
        <f t="shared" ca="1" si="44"/>
        <v>43.419963289973708</v>
      </c>
      <c r="W65" s="1356">
        <f t="shared" ca="1" si="44"/>
        <v>42.421564788069574</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43.128644987341033</v>
      </c>
      <c r="D68" s="1344">
        <f>IF(LEFT(D$6,4)&lt;LEFT('RFM input'!$G$60,4),"enter input",IF(LEFT(D$6,4)&gt;LEFT('RFM input'!$Q$60,4),0,
INDEX('RFM input'!$G$223:$Q$272,$A68,MATCH(D$6,'RFM input'!$G$222:$Q$222,0))
-INDEX('RFM input'!$G$277:$Q$326,$A68,MATCH(D$6,'RFM input'!$G$222:$Q$222,0))))</f>
        <v>0.58380155999999994</v>
      </c>
      <c r="E68" s="1344">
        <f>IF(LEFT(E$6,4)&lt;LEFT('RFM input'!$G$60,4),"enter input",IF(LEFT(E$6,4)&gt;LEFT('RFM input'!$Q$60,4),0,
INDEX('RFM input'!$G$223:$Q$272,$A68,MATCH(E$6,'RFM input'!$G$222:$Q$222,0))
-INDEX('RFM input'!$G$277:$Q$326,$A68,MATCH(E$6,'RFM input'!$G$222:$Q$222,0))))</f>
        <v>8.1422299999999951E-3</v>
      </c>
      <c r="F68" s="1344">
        <f>IF(LEFT(F$6,4)&lt;LEFT('RFM input'!$G$60,4),"enter input",IF(LEFT(F$6,4)&gt;LEFT('RFM input'!$Q$60,4),0,
INDEX('RFM input'!$G$223:$Q$272,$A68,MATCH(F$6,'RFM input'!$G$222:$Q$222,0))
-INDEX('RFM input'!$G$277:$Q$326,$A68,MATCH(F$6,'RFM input'!$G$222:$Q$222,0))))</f>
        <v>0.29607051000000001</v>
      </c>
      <c r="G68" s="1344">
        <f>IF(LEFT(G$6,4)&lt;LEFT('RFM input'!$G$60,4),"enter input",IF(LEFT(G$6,4)&gt;LEFT('RFM input'!$Q$60,4),0,
INDEX('RFM input'!$G$223:$Q$272,$A68,MATCH(G$6,'RFM input'!$G$222:$Q$222,0))
-INDEX('RFM input'!$G$277:$Q$326,$A68,MATCH(G$6,'RFM input'!$G$222:$Q$222,0))))</f>
        <v>0.21128007000000001</v>
      </c>
      <c r="H68" s="1344">
        <f>IF(LEFT(H$6,4)&lt;LEFT('RFM input'!$G$60,4),"enter input",IF(LEFT(H$6,4)&gt;LEFT('RFM input'!$Q$60,4),0,
INDEX('RFM input'!$G$223:$Q$272,$A68,MATCH(H$6,'RFM input'!$G$222:$Q$222,0))
-INDEX('RFM input'!$G$277:$Q$326,$A68,MATCH(H$6,'RFM input'!$G$222:$Q$222,0))))</f>
        <v>0.60571891999999994</v>
      </c>
      <c r="I68" s="1344">
        <f>IF(LEFT(I$6,4)&lt;LEFT('RFM input'!$G$60,4),"enter input",IF(LEFT(I$6,4)&gt;LEFT('RFM input'!$Q$60,4),0,
INDEX('RFM input'!$G$223:$Q$272,$A68,MATCH(I$6,'RFM input'!$G$222:$Q$222,0))
-INDEX('RFM input'!$G$277:$Q$326,$A68,MATCH(I$6,'RFM input'!$G$222:$Q$222,0))))</f>
        <v>2.9103830456733702E-17</v>
      </c>
      <c r="J68" s="1344">
        <f>IF(LEFT(J$6,4)&lt;LEFT('RFM input'!$G$60,4),"enter input",IF(LEFT(J$6,4)&gt;LEFT('RFM input'!$Q$60,4),0,
INDEX('RFM input'!$G$223:$Q$272,$A68,MATCH(J$6,'RFM input'!$G$222:$Q$222,0))
-INDEX('RFM input'!$G$277:$Q$326,$A68,MATCH(J$6,'RFM input'!$G$222:$Q$222,0))))</f>
        <v>0</v>
      </c>
      <c r="K68" s="1344">
        <f>IF(LEFT(K$6,4)&lt;LEFT('RFM input'!$G$60,4),"enter input",IF(LEFT(K$6,4)&gt;LEFT('RFM input'!$Q$60,4),0,
INDEX('RFM input'!$G$223:$Q$272,$A68,MATCH(K$6,'RFM input'!$G$222:$Q$222,0))
-INDEX('RFM input'!$G$277:$Q$326,$A68,MATCH(K$6,'RFM input'!$G$222:$Q$222,0))))</f>
        <v>0</v>
      </c>
      <c r="L68" s="1344">
        <f>IF(LEFT(L$6,4)&lt;LEFT('RFM input'!$G$60,4),"enter input",IF(LEFT(L$6,4)&gt;LEFT('RFM input'!$Q$60,4),0,
INDEX('RFM input'!$G$223:$Q$272,$A68,MATCH(L$6,'RFM input'!$G$222:$Q$222,0))
-INDEX('RFM input'!$G$277:$Q$326,$A68,MATCH(L$6,'RFM input'!$G$222:$Q$222,0))))</f>
        <v>0</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f ca="1">IF($C$8='Capital base roll forward'!$H$4,OFFSET('RFM input'!$K$6,'Capital base remaining lives'!A68,0),"enter input")</f>
        <v>26.703125197217258</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43.128644987341033</v>
      </c>
      <c r="D73" s="1348">
        <f ca="1">IF(C97="n/a",C73,IFERROR(IF((OFFSET($C73,0,$A73))&lt;0,
MIN(0,C73-(OFFSET($C73,0,$A73)/(OFFSET($C68,-$A72,$A73)))),
MAX(0,C73-(OFFSET($C73,0,$A73)/(OFFSET($C68,-$A72,$A73))))),0))</f>
        <v>41.513528978678664</v>
      </c>
      <c r="E73" s="1348">
        <f t="shared" ref="E73" ca="1" si="64">IF(D97="n/a",D73,IFERROR(IF((OFFSET($C73,0,$A73))&lt;0,
MIN(0,D73-(OFFSET($C73,0,$A73)/(OFFSET($C68,-$A72,$A73)))),
MAX(0,D73-(OFFSET($C73,0,$A73)/(OFFSET($C68,-$A72,$A73))))),0))</f>
        <v>39.898412970016295</v>
      </c>
      <c r="F73" s="1348">
        <f t="shared" ref="F73:F74" ca="1" si="65">IF(E97="n/a",E73,IFERROR(IF((OFFSET($C73,0,$A73))&lt;0,
MIN(0,E73-(OFFSET($C73,0,$A73)/(OFFSET($C68,-$A72,$A73)))),
MAX(0,E73-(OFFSET($C73,0,$A73)/(OFFSET($C68,-$A72,$A73))))),0))</f>
        <v>38.283296961353926</v>
      </c>
      <c r="G73" s="1348">
        <f t="shared" ref="G73:G75" ca="1" si="66">IF(F97="n/a",F73,IFERROR(IF((OFFSET($C73,0,$A73))&lt;0,
MIN(0,F73-(OFFSET($C73,0,$A73)/(OFFSET($C68,-$A72,$A73)))),
MAX(0,F73-(OFFSET($C73,0,$A73)/(OFFSET($C68,-$A72,$A73))))),0))</f>
        <v>36.668180952691557</v>
      </c>
      <c r="H73" s="1348">
        <f t="shared" ref="H73:H76" ca="1" si="67">IF(G97="n/a",G73,IFERROR(IF((OFFSET($C73,0,$A73))&lt;0,
MIN(0,G73-(OFFSET($C73,0,$A73)/(OFFSET($C68,-$A72,$A73)))),
MAX(0,G73-(OFFSET($C73,0,$A73)/(OFFSET($C68,-$A72,$A73))))),0))</f>
        <v>35.053064944029188</v>
      </c>
      <c r="I73" s="1348">
        <f t="shared" ref="I73:I77" ca="1" si="68">IF(H97="n/a",H73,IFERROR(IF((OFFSET($C73,0,$A73))&lt;0,
MIN(0,H73-(OFFSET($C73,0,$A73)/(OFFSET($C68,-$A72,$A73)))),
MAX(0,H73-(OFFSET($C73,0,$A73)/(OFFSET($C68,-$A72,$A73))))),0))</f>
        <v>33.437948935366819</v>
      </c>
      <c r="J73" s="1348">
        <f t="shared" ref="J73:J78" ca="1" si="69">IF(I97="n/a",I73,IFERROR(IF((OFFSET($C73,0,$A73))&lt;0,
MIN(0,I73-(OFFSET($C73,0,$A73)/(OFFSET($C68,-$A72,$A73)))),
MAX(0,I73-(OFFSET($C73,0,$A73)/(OFFSET($C68,-$A72,$A73))))),0))</f>
        <v>31.82283292670445</v>
      </c>
      <c r="K73" s="1348">
        <f t="shared" ref="K73:K79" ca="1" si="70">IF(J97="n/a",J73,IFERROR(IF((OFFSET($C73,0,$A73))&lt;0,
MIN(0,J73-(OFFSET($C73,0,$A73)/(OFFSET($C68,-$A72,$A73)))),
MAX(0,J73-(OFFSET($C73,0,$A73)/(OFFSET($C68,-$A72,$A73))))),0))</f>
        <v>30.207716918042081</v>
      </c>
      <c r="L73" s="1348">
        <f t="shared" ref="L73:L80" ca="1" si="71">IF(K97="n/a",K73,IFERROR(IF((OFFSET($C73,0,$A73))&lt;0,
MIN(0,K73-(OFFSET($C73,0,$A73)/(OFFSET($C68,-$A72,$A73)))),
MAX(0,K73-(OFFSET($C73,0,$A73)/(OFFSET($C68,-$A72,$A73))))),0))</f>
        <v>28.592600909379712</v>
      </c>
      <c r="M73" s="1348">
        <f t="shared" ref="M73:M81" ca="1" si="72">IF(L97="n/a",L73,IFERROR(IF((OFFSET($C73,0,$A73))&lt;0,
MIN(0,L73-(OFFSET($C73,0,$A73)/(OFFSET($C68,-$A72,$A73)))),
MAX(0,L73-(OFFSET($C73,0,$A73)/(OFFSET($C68,-$A72,$A73))))),0))</f>
        <v>26.977484900717343</v>
      </c>
      <c r="N73" s="1348">
        <f t="shared" ref="N73:N82" ca="1" si="73">IF(M97="n/a",M73,IFERROR(IF((OFFSET($C73,0,$A73))&lt;0,
MIN(0,M73-(OFFSET($C73,0,$A73)/(OFFSET($C68,-$A72,$A73)))),
MAX(0,M73-(OFFSET($C73,0,$A73)/(OFFSET($C68,-$A72,$A73))))),0))</f>
        <v>25.362368892054974</v>
      </c>
      <c r="O73" s="1348">
        <f t="shared" ref="O73:O83" ca="1" si="74">IF(N97="n/a",N73,IFERROR(IF((OFFSET($C73,0,$A73))&lt;0,
MIN(0,N73-(OFFSET($C73,0,$A73)/(OFFSET($C68,-$A72,$A73)))),
MAX(0,N73-(OFFSET($C73,0,$A73)/(OFFSET($C68,-$A72,$A73))))),0))</f>
        <v>23.747252883392605</v>
      </c>
      <c r="P73" s="1348">
        <f t="shared" ref="P73:P84" ca="1" si="75">IF(O97="n/a",O73,IFERROR(IF((OFFSET($C73,0,$A73))&lt;0,
MIN(0,O73-(OFFSET($C73,0,$A73)/(OFFSET($C68,-$A72,$A73)))),
MAX(0,O73-(OFFSET($C73,0,$A73)/(OFFSET($C68,-$A72,$A73))))),0))</f>
        <v>22.132136874730236</v>
      </c>
      <c r="Q73" s="1348">
        <f t="shared" ref="Q73:Q85" ca="1" si="76">IF(P97="n/a",P73,IFERROR(IF((OFFSET($C73,0,$A73))&lt;0,
MIN(0,P73-(OFFSET($C73,0,$A73)/(OFFSET($C68,-$A72,$A73)))),
MAX(0,P73-(OFFSET($C73,0,$A73)/(OFFSET($C68,-$A72,$A73))))),0))</f>
        <v>20.517020866067867</v>
      </c>
      <c r="R73" s="1348">
        <f t="shared" ref="R73:R86" ca="1" si="77">IF(Q97="n/a",Q73,IFERROR(IF((OFFSET($C73,0,$A73))&lt;0,
MIN(0,Q73-(OFFSET($C73,0,$A73)/(OFFSET($C68,-$A72,$A73)))),
MAX(0,Q73-(OFFSET($C73,0,$A73)/(OFFSET($C68,-$A72,$A73))))),0))</f>
        <v>18.901904857405498</v>
      </c>
      <c r="S73" s="1348">
        <f t="shared" ref="S73:S87" ca="1" si="78">IF(R97="n/a",R73,IFERROR(IF((OFFSET($C73,0,$A73))&lt;0,
MIN(0,R73-(OFFSET($C73,0,$A73)/(OFFSET($C68,-$A72,$A73)))),
MAX(0,R73-(OFFSET($C73,0,$A73)/(OFFSET($C68,-$A72,$A73))))),0))</f>
        <v>17.286788848743129</v>
      </c>
      <c r="T73" s="1348">
        <f t="shared" ref="T73:T88" ca="1" si="79">IF(S97="n/a",S73,IFERROR(IF((OFFSET($C73,0,$A73))&lt;0,
MIN(0,S73-(OFFSET($C73,0,$A73)/(OFFSET($C68,-$A72,$A73)))),
MAX(0,S73-(OFFSET($C73,0,$A73)/(OFFSET($C68,-$A72,$A73))))),0))</f>
        <v>15.671672840080761</v>
      </c>
      <c r="U73" s="1348">
        <f t="shared" ref="U73:U89" ca="1" si="80">IF(T97="n/a",T73,IFERROR(IF((OFFSET($C73,0,$A73))&lt;0,
MIN(0,T73-(OFFSET($C73,0,$A73)/(OFFSET($C68,-$A72,$A73)))),
MAX(0,T73-(OFFSET($C73,0,$A73)/(OFFSET($C68,-$A72,$A73))))),0))</f>
        <v>14.056556831418394</v>
      </c>
      <c r="V73" s="1348">
        <f t="shared" ref="V73:V90" ca="1" si="81">IF(U97="n/a",U73,IFERROR(IF((OFFSET($C73,0,$A73))&lt;0,
MIN(0,U73-(OFFSET($C73,0,$A73)/(OFFSET($C68,-$A72,$A73)))),
MAX(0,U73-(OFFSET($C73,0,$A73)/(OFFSET($C68,-$A72,$A73))))),0))</f>
        <v>12.441440822756027</v>
      </c>
      <c r="W73" s="1348">
        <f t="shared" ref="W73:W91" ca="1" si="82">IF(V97="n/a",V73,IFERROR(IF((OFFSET($C73,0,$A73))&lt;0,
MIN(0,V73-(OFFSET($C73,0,$A73)/(OFFSET($C68,-$A72,$A73)))),
MAX(0,V73-(OFFSET($C73,0,$A73)/(OFFSET($C68,-$A72,$A73))))),0))</f>
        <v>10.82632481409366</v>
      </c>
    </row>
    <row r="74" spans="1:26" hidden="1" outlineLevel="1">
      <c r="A74" s="225">
        <v>1</v>
      </c>
      <c r="B74" s="212" t="str">
        <f t="shared" ref="B74:B92" ca="1" si="83">"Depreciated Net Capex "&amp;OFFSET($C$6,0,A74)</f>
        <v>Depreciated Net Capex 2016-17</v>
      </c>
      <c r="C74" s="1349"/>
      <c r="D74" s="1350">
        <f>(D68*((1+D$11)^0.5)/D$10)</f>
        <v>0.59282815241182385</v>
      </c>
      <c r="E74" s="1348">
        <f ca="1">IF(D98="n/a",D74,IFERROR(IF((OFFSET($C74,0,$A74))&lt;0,
MIN(0,D74-(OFFSET($C74,0,$A74)/(OFFSET($C69,-$A73,$A74)))),
MAX(0,D74-(OFFSET($C74,0,$A74)/(OFFSET($C69,-$A73,$A74))))),0))</f>
        <v>0.5758902052000574</v>
      </c>
      <c r="F74" s="1348">
        <f t="shared" ca="1" si="65"/>
        <v>0.55895225798829096</v>
      </c>
      <c r="G74" s="1348">
        <f t="shared" ca="1" si="66"/>
        <v>0.54201431077652451</v>
      </c>
      <c r="H74" s="1348">
        <f t="shared" ca="1" si="67"/>
        <v>0.52507636356475806</v>
      </c>
      <c r="I74" s="1348">
        <f t="shared" ca="1" si="68"/>
        <v>0.50813841635299162</v>
      </c>
      <c r="J74" s="1348">
        <f t="shared" ca="1" si="69"/>
        <v>0.49120046914122523</v>
      </c>
      <c r="K74" s="1348">
        <f t="shared" ca="1" si="70"/>
        <v>0.47426252192945884</v>
      </c>
      <c r="L74" s="1348">
        <f t="shared" ca="1" si="71"/>
        <v>0.45732457471769244</v>
      </c>
      <c r="M74" s="1348">
        <f t="shared" ca="1" si="72"/>
        <v>0.44038662750592605</v>
      </c>
      <c r="N74" s="1348">
        <f t="shared" ca="1" si="73"/>
        <v>0.42344868029415966</v>
      </c>
      <c r="O74" s="1348">
        <f t="shared" ca="1" si="74"/>
        <v>0.40651073308239327</v>
      </c>
      <c r="P74" s="1348">
        <f t="shared" ca="1" si="75"/>
        <v>0.38957278587062688</v>
      </c>
      <c r="Q74" s="1348">
        <f t="shared" ca="1" si="76"/>
        <v>0.37263483865886049</v>
      </c>
      <c r="R74" s="1348">
        <f t="shared" ca="1" si="77"/>
        <v>0.3556968914470941</v>
      </c>
      <c r="S74" s="1348">
        <f t="shared" ca="1" si="78"/>
        <v>0.33875894423532771</v>
      </c>
      <c r="T74" s="1348">
        <f t="shared" ca="1" si="79"/>
        <v>0.32182099702356132</v>
      </c>
      <c r="U74" s="1348">
        <f t="shared" ca="1" si="80"/>
        <v>0.30488304981179493</v>
      </c>
      <c r="V74" s="1348">
        <f t="shared" ca="1" si="81"/>
        <v>0.28794510260002854</v>
      </c>
      <c r="W74" s="1348">
        <f t="shared" ca="1" si="82"/>
        <v>0.27100715538826214</v>
      </c>
    </row>
    <row r="75" spans="1:26" hidden="1" outlineLevel="1">
      <c r="A75" s="225">
        <v>2</v>
      </c>
      <c r="B75" s="212" t="str">
        <f t="shared" ca="1" si="83"/>
        <v>Depreciated Net Capex 2017-18</v>
      </c>
      <c r="C75" s="1351"/>
      <c r="D75" s="1352"/>
      <c r="E75" s="1350">
        <f>(E68*((1+E$11)^0.5)/E$10)</f>
        <v>8.1097077714738092E-3</v>
      </c>
      <c r="F75" s="1348">
        <f ca="1">IF(E99="n/a",E75,IFERROR(IF((OFFSET($C75,0,$A75))&lt;0,
MIN(0,E75-(OFFSET($C75,0,$A75)/(OFFSET($C70,-$A74,$A75)))),
MAX(0,E75-(OFFSET($C75,0,$A75)/(OFFSET($C70,-$A74,$A75))))),0))</f>
        <v>7.8780018351459861E-3</v>
      </c>
      <c r="G75" s="1348">
        <f t="shared" ca="1" si="66"/>
        <v>7.6462958988181631E-3</v>
      </c>
      <c r="H75" s="1348">
        <f t="shared" ca="1" si="67"/>
        <v>7.4145899624903401E-3</v>
      </c>
      <c r="I75" s="1348">
        <f t="shared" ca="1" si="68"/>
        <v>7.1828840261625171E-3</v>
      </c>
      <c r="J75" s="1348">
        <f t="shared" ca="1" si="69"/>
        <v>6.9511780898346941E-3</v>
      </c>
      <c r="K75" s="1348">
        <f t="shared" ca="1" si="70"/>
        <v>6.719472153506871E-3</v>
      </c>
      <c r="L75" s="1348">
        <f t="shared" ca="1" si="71"/>
        <v>6.487766217179048E-3</v>
      </c>
      <c r="M75" s="1348">
        <f t="shared" ca="1" si="72"/>
        <v>6.256060280851225E-3</v>
      </c>
      <c r="N75" s="1348">
        <f t="shared" ca="1" si="73"/>
        <v>6.024354344523402E-3</v>
      </c>
      <c r="O75" s="1348">
        <f t="shared" ca="1" si="74"/>
        <v>5.792648408195579E-3</v>
      </c>
      <c r="P75" s="1348">
        <f t="shared" ca="1" si="75"/>
        <v>5.5609424718677559E-3</v>
      </c>
      <c r="Q75" s="1348">
        <f t="shared" ca="1" si="76"/>
        <v>5.3292365355399329E-3</v>
      </c>
      <c r="R75" s="1348">
        <f t="shared" ca="1" si="77"/>
        <v>5.0975305992121099E-3</v>
      </c>
      <c r="S75" s="1348">
        <f t="shared" ca="1" si="78"/>
        <v>4.8658246628842869E-3</v>
      </c>
      <c r="T75" s="1348">
        <f t="shared" ca="1" si="79"/>
        <v>4.6341187265564639E-3</v>
      </c>
      <c r="U75" s="1348">
        <f t="shared" ca="1" si="80"/>
        <v>4.4024127902286408E-3</v>
      </c>
      <c r="V75" s="1348">
        <f t="shared" ca="1" si="81"/>
        <v>4.1707068539008178E-3</v>
      </c>
      <c r="W75" s="1348">
        <f t="shared" ca="1" si="82"/>
        <v>3.9390009175729948E-3</v>
      </c>
      <c r="X75" s="228"/>
    </row>
    <row r="76" spans="1:26" hidden="1" outlineLevel="1">
      <c r="A76" s="225">
        <v>3</v>
      </c>
      <c r="B76" s="212" t="str">
        <f t="shared" ca="1" si="83"/>
        <v>Depreciated Net Capex 2018-19</v>
      </c>
      <c r="C76" s="1351"/>
      <c r="D76" s="1351"/>
      <c r="E76" s="1352"/>
      <c r="F76" s="1353">
        <f>($F68*((1+F$11)^0.5)/F$10)</f>
        <v>0.28838550103752725</v>
      </c>
      <c r="G76" s="1348">
        <f ca="1">IF(F100="n/a",F76,IFERROR(IF((OFFSET($C76,0,$A76))&lt;0,
MIN(0,F76-(OFFSET($C76,0,$A76)/(OFFSET($C71,-$A75,$A76)))),
MAX(0,F76-(OFFSET($C76,0,$A76)/(OFFSET($C71,-$A75,$A76))))),0))</f>
        <v>0.28014591529359789</v>
      </c>
      <c r="H76" s="1348">
        <f t="shared" ca="1" si="67"/>
        <v>0.27190632954966854</v>
      </c>
      <c r="I76" s="1348">
        <f t="shared" ca="1" si="68"/>
        <v>0.26366674380573918</v>
      </c>
      <c r="J76" s="1348">
        <f t="shared" ca="1" si="69"/>
        <v>0.25542715806180982</v>
      </c>
      <c r="K76" s="1348">
        <f t="shared" ca="1" si="70"/>
        <v>0.24718757231788047</v>
      </c>
      <c r="L76" s="1348">
        <f t="shared" ca="1" si="71"/>
        <v>0.23894798657395111</v>
      </c>
      <c r="M76" s="1348">
        <f t="shared" ca="1" si="72"/>
        <v>0.23070840083002175</v>
      </c>
      <c r="N76" s="1348">
        <f t="shared" ca="1" si="73"/>
        <v>0.2224688150860924</v>
      </c>
      <c r="O76" s="1348">
        <f t="shared" ca="1" si="74"/>
        <v>0.21422922934216304</v>
      </c>
      <c r="P76" s="1348">
        <f t="shared" ca="1" si="75"/>
        <v>0.20598964359823368</v>
      </c>
      <c r="Q76" s="1348">
        <f t="shared" ca="1" si="76"/>
        <v>0.19775005785430433</v>
      </c>
      <c r="R76" s="1348">
        <f t="shared" ca="1" si="77"/>
        <v>0.18951047211037497</v>
      </c>
      <c r="S76" s="1348">
        <f t="shared" ca="1" si="78"/>
        <v>0.18127088636644562</v>
      </c>
      <c r="T76" s="1348">
        <f t="shared" ca="1" si="79"/>
        <v>0.17303130062251626</v>
      </c>
      <c r="U76" s="1348">
        <f t="shared" ca="1" si="80"/>
        <v>0.1647917148785869</v>
      </c>
      <c r="V76" s="1348">
        <f t="shared" ca="1" si="81"/>
        <v>0.15655212913465755</v>
      </c>
      <c r="W76" s="1348">
        <f t="shared" ca="1" si="82"/>
        <v>0.14831254339072819</v>
      </c>
      <c r="X76" s="228"/>
      <c r="Y76" s="228"/>
    </row>
    <row r="77" spans="1:26" hidden="1" outlineLevel="1">
      <c r="A77" s="225">
        <v>4</v>
      </c>
      <c r="B77" s="212" t="str">
        <f t="shared" ca="1" si="83"/>
        <v>Depreciated Net Capex 2019-20</v>
      </c>
      <c r="C77" s="1351"/>
      <c r="D77" s="1351"/>
      <c r="E77" s="1351"/>
      <c r="F77" s="1352"/>
      <c r="G77" s="1353">
        <f>($G68*((1+G$11)^0.5)/G$10)</f>
        <v>0.19971131263167746</v>
      </c>
      <c r="H77" s="1348">
        <f ca="1">IF(G101="n/a",G77,IFERROR(IF((OFFSET($C77,0,$A77))&lt;0,
MIN(0,G77-(OFFSET($C77,0,$A77)/(OFFSET($C72,-$A76,$A77)))),
MAX(0,G77-(OFFSET($C77,0,$A77)/(OFFSET($C72,-$A76,$A77))))),0))</f>
        <v>0.19400527512791524</v>
      </c>
      <c r="I77" s="1348">
        <f t="shared" ca="1" si="68"/>
        <v>0.18829923762415302</v>
      </c>
      <c r="J77" s="1348">
        <f t="shared" ca="1" si="69"/>
        <v>0.18259320012039079</v>
      </c>
      <c r="K77" s="1348">
        <f t="shared" ca="1" si="70"/>
        <v>0.17688716261662857</v>
      </c>
      <c r="L77" s="1348">
        <f t="shared" ca="1" si="71"/>
        <v>0.17118112511286634</v>
      </c>
      <c r="M77" s="1348">
        <f t="shared" ca="1" si="72"/>
        <v>0.16547508760910412</v>
      </c>
      <c r="N77" s="1348">
        <f t="shared" ca="1" si="73"/>
        <v>0.1597690501053419</v>
      </c>
      <c r="O77" s="1348">
        <f t="shared" ca="1" si="74"/>
        <v>0.15406301260157967</v>
      </c>
      <c r="P77" s="1348">
        <f t="shared" ca="1" si="75"/>
        <v>0.14835697509781745</v>
      </c>
      <c r="Q77" s="1348">
        <f t="shared" ca="1" si="76"/>
        <v>0.14265093759405523</v>
      </c>
      <c r="R77" s="1348">
        <f t="shared" ca="1" si="77"/>
        <v>0.136944900090293</v>
      </c>
      <c r="S77" s="1348">
        <f t="shared" ca="1" si="78"/>
        <v>0.13123886258653078</v>
      </c>
      <c r="T77" s="1348">
        <f t="shared" ca="1" si="79"/>
        <v>0.12553282508276856</v>
      </c>
      <c r="U77" s="1348">
        <f t="shared" ca="1" si="80"/>
        <v>0.11982678757900635</v>
      </c>
      <c r="V77" s="1348">
        <f t="shared" ca="1" si="81"/>
        <v>0.11412075007524414</v>
      </c>
      <c r="W77" s="1348">
        <f t="shared" ca="1" si="82"/>
        <v>0.10841471257148193</v>
      </c>
      <c r="X77" s="228"/>
      <c r="Y77" s="228"/>
      <c r="Z77" s="228"/>
    </row>
    <row r="78" spans="1:26" hidden="1" outlineLevel="1">
      <c r="A78" s="225">
        <v>5</v>
      </c>
      <c r="B78" s="212" t="str">
        <f t="shared" ca="1" si="83"/>
        <v>Depreciated Net Capex 2020-21</v>
      </c>
      <c r="C78" s="1351"/>
      <c r="D78" s="1351"/>
      <c r="E78" s="1351"/>
      <c r="F78" s="1351"/>
      <c r="G78" s="1352"/>
      <c r="H78" s="1353">
        <f>(H68*((1+H$11)^0.5)/H$10)</f>
        <v>0.58440242485123362</v>
      </c>
      <c r="I78" s="1348">
        <f ca="1">IF(H102="n/a",H78,IFERROR(IF((OFFSET($C78,0,$A78))&lt;0,
MIN(0,H78-(OFFSET($C78,0,$A78)/(OFFSET($C73,-$A77,$A78)))),
MAX(0,H78-(OFFSET($C78,0,$A78)/(OFFSET($C73,-$A77,$A78))))),0))</f>
        <v>0.56770521271262697</v>
      </c>
      <c r="J78" s="1348">
        <f t="shared" ca="1" si="69"/>
        <v>0.55100800057402033</v>
      </c>
      <c r="K78" s="1348">
        <f t="shared" ca="1" si="70"/>
        <v>0.53431078843541369</v>
      </c>
      <c r="L78" s="1348">
        <f t="shared" ca="1" si="71"/>
        <v>0.51761357629680704</v>
      </c>
      <c r="M78" s="1348">
        <f t="shared" ca="1" si="72"/>
        <v>0.5009163641582004</v>
      </c>
      <c r="N78" s="1348">
        <f t="shared" ca="1" si="73"/>
        <v>0.4842191520195937</v>
      </c>
      <c r="O78" s="1348">
        <f t="shared" ca="1" si="74"/>
        <v>0.467521939880987</v>
      </c>
      <c r="P78" s="1348">
        <f t="shared" ca="1" si="75"/>
        <v>0.4508247277423803</v>
      </c>
      <c r="Q78" s="1348">
        <f t="shared" ca="1" si="76"/>
        <v>0.43412751560377361</v>
      </c>
      <c r="R78" s="1348">
        <f t="shared" ca="1" si="77"/>
        <v>0.41743030346516691</v>
      </c>
      <c r="S78" s="1348">
        <f t="shared" ca="1" si="78"/>
        <v>0.40073309132656021</v>
      </c>
      <c r="T78" s="1348">
        <f t="shared" ca="1" si="79"/>
        <v>0.38403587918795351</v>
      </c>
      <c r="U78" s="1348">
        <f t="shared" ca="1" si="80"/>
        <v>0.36733866704934681</v>
      </c>
      <c r="V78" s="1348">
        <f t="shared" ca="1" si="81"/>
        <v>0.35064145491074011</v>
      </c>
      <c r="W78" s="1348">
        <f t="shared" ca="1" si="82"/>
        <v>0.33394424277213342</v>
      </c>
      <c r="X78" s="228"/>
      <c r="Y78" s="228"/>
      <c r="Z78" s="228"/>
    </row>
    <row r="79" spans="1:26" hidden="1" outlineLevel="1">
      <c r="A79" s="225">
        <v>6</v>
      </c>
      <c r="B79" s="212" t="str">
        <f t="shared" ca="1" si="83"/>
        <v>Depreciated Net Capex 2021-22</v>
      </c>
      <c r="C79" s="1351"/>
      <c r="D79" s="1351"/>
      <c r="E79" s="1351"/>
      <c r="F79" s="1351"/>
      <c r="G79" s="1351"/>
      <c r="H79" s="1352"/>
      <c r="I79" s="1353">
        <f>(I68*((1+I$11)^0.5)/I$10)</f>
        <v>2.7493447315228823E-17</v>
      </c>
      <c r="J79" s="1348">
        <f ca="1">IF(I103="n/a",I79,IFERROR(IF((OFFSET($C79,0,$A79))&lt;0,
MIN(0,I79-(OFFSET($C79,0,$A79)/(OFFSET($C74,-$A78,$A79)))),
MAX(0,I79-(OFFSET($C79,0,$A79)/(OFFSET($C74,-$A78,$A79))))),0))</f>
        <v>2.6707920249079428E-17</v>
      </c>
      <c r="K79" s="1348">
        <f t="shared" ca="1" si="70"/>
        <v>2.5922393182930033E-17</v>
      </c>
      <c r="L79" s="1348">
        <f t="shared" ca="1" si="71"/>
        <v>2.5136866116780638E-17</v>
      </c>
      <c r="M79" s="1348">
        <f t="shared" ca="1" si="72"/>
        <v>2.4351339050631242E-17</v>
      </c>
      <c r="N79" s="1348">
        <f t="shared" ca="1" si="73"/>
        <v>2.3565811984481847E-17</v>
      </c>
      <c r="O79" s="1348">
        <f t="shared" ca="1" si="74"/>
        <v>2.2780284918332452E-17</v>
      </c>
      <c r="P79" s="1348">
        <f t="shared" ca="1" si="75"/>
        <v>2.1994757852183057E-17</v>
      </c>
      <c r="Q79" s="1348">
        <f t="shared" ca="1" si="76"/>
        <v>2.1209230786033662E-17</v>
      </c>
      <c r="R79" s="1348">
        <f t="shared" ca="1" si="77"/>
        <v>2.0423703719884267E-17</v>
      </c>
      <c r="S79" s="1348">
        <f t="shared" ca="1" si="78"/>
        <v>1.9638176653734872E-17</v>
      </c>
      <c r="T79" s="1348">
        <f t="shared" ca="1" si="79"/>
        <v>1.8852649587585477E-17</v>
      </c>
      <c r="U79" s="1348">
        <f t="shared" ca="1" si="80"/>
        <v>1.8067122521436082E-17</v>
      </c>
      <c r="V79" s="1348">
        <f t="shared" ca="1" si="81"/>
        <v>1.7281595455286686E-17</v>
      </c>
      <c r="W79" s="1348">
        <f t="shared" ca="1" si="82"/>
        <v>1.6496068389137291E-17</v>
      </c>
      <c r="X79" s="228"/>
      <c r="Y79" s="228"/>
      <c r="Z79" s="228"/>
    </row>
    <row r="80" spans="1:26" hidden="1" outlineLevel="1">
      <c r="A80" s="225">
        <v>7</v>
      </c>
      <c r="B80" s="212" t="str">
        <f t="shared" ca="1" si="83"/>
        <v>Depreciated Net Capex 2022-23</v>
      </c>
      <c r="C80" s="1351"/>
      <c r="D80" s="1351"/>
      <c r="E80" s="1351"/>
      <c r="F80" s="1351"/>
      <c r="G80" s="1351"/>
      <c r="H80" s="1351"/>
      <c r="I80" s="1352"/>
      <c r="J80" s="1353">
        <f>(J68*((1+J$11)^0.5)/J$10)</f>
        <v>0</v>
      </c>
      <c r="K80" s="1348">
        <f ca="1">IF(J104="n/a",J80,IFERROR(IF((OFFSET($C80,0,$A80))&lt;0,
MIN(0,J80-(OFFSET($C80,0,$A80)/(OFFSET($C75,-$A79,$A80)))),
MAX(0,J80-(OFFSET($C80,0,$A80)/(OFFSET($C75,-$A79,$A80))))),0))</f>
        <v>0</v>
      </c>
      <c r="L80" s="1348">
        <f t="shared" ca="1" si="71"/>
        <v>0</v>
      </c>
      <c r="M80" s="1348">
        <f t="shared" ca="1" si="72"/>
        <v>0</v>
      </c>
      <c r="N80" s="1348">
        <f t="shared" ca="1" si="73"/>
        <v>0</v>
      </c>
      <c r="O80" s="1348">
        <f t="shared" ca="1" si="74"/>
        <v>0</v>
      </c>
      <c r="P80" s="1348">
        <f t="shared" ca="1" si="75"/>
        <v>0</v>
      </c>
      <c r="Q80" s="1348">
        <f t="shared" ca="1" si="76"/>
        <v>0</v>
      </c>
      <c r="R80" s="1348">
        <f t="shared" ca="1" si="77"/>
        <v>0</v>
      </c>
      <c r="S80" s="1348">
        <f t="shared" ca="1" si="78"/>
        <v>0</v>
      </c>
      <c r="T80" s="1348">
        <f t="shared" ca="1" si="79"/>
        <v>0</v>
      </c>
      <c r="U80" s="1348">
        <f t="shared" ca="1" si="80"/>
        <v>0</v>
      </c>
      <c r="V80" s="1348">
        <f t="shared" ca="1" si="81"/>
        <v>0</v>
      </c>
      <c r="W80" s="1348">
        <f t="shared" ca="1" si="82"/>
        <v>0</v>
      </c>
      <c r="X80" s="228"/>
      <c r="Y80" s="228"/>
      <c r="Z80" s="228"/>
    </row>
    <row r="81" spans="1:26" hidden="1" outlineLevel="1">
      <c r="A81" s="225">
        <v>8</v>
      </c>
      <c r="B81" s="212" t="str">
        <f t="shared" ca="1" si="83"/>
        <v>Depreciated Net Capex 2023-24</v>
      </c>
      <c r="C81" s="1351"/>
      <c r="D81" s="1351"/>
      <c r="E81" s="1351"/>
      <c r="F81" s="1351"/>
      <c r="G81" s="1351"/>
      <c r="H81" s="1351"/>
      <c r="I81" s="1351"/>
      <c r="J81" s="1352"/>
      <c r="K81" s="1353">
        <f>(K68*((1+K$11)^0.5)/K$10)</f>
        <v>0</v>
      </c>
      <c r="L81" s="1348">
        <f ca="1">IF(K105="n/a",K81,IFERROR(IF((OFFSET($C81,0,$A81))&lt;0,
MIN(0,K81-(OFFSET($C81,0,$A81)/(OFFSET($C76,-$A80,$A81)))),
MAX(0,K81-(OFFSET($C81,0,$A81)/(OFFSET($C76,-$A80,$A81))))),0))</f>
        <v>0</v>
      </c>
      <c r="M81" s="1348">
        <f t="shared" ca="1" si="72"/>
        <v>0</v>
      </c>
      <c r="N81" s="1348">
        <f t="shared" ca="1" si="73"/>
        <v>0</v>
      </c>
      <c r="O81" s="1348">
        <f t="shared" ca="1" si="74"/>
        <v>0</v>
      </c>
      <c r="P81" s="1348">
        <f t="shared" ca="1" si="75"/>
        <v>0</v>
      </c>
      <c r="Q81" s="1348">
        <f t="shared" ca="1" si="76"/>
        <v>0</v>
      </c>
      <c r="R81" s="1348">
        <f t="shared" ca="1" si="77"/>
        <v>0</v>
      </c>
      <c r="S81" s="1348">
        <f t="shared" ca="1" si="78"/>
        <v>0</v>
      </c>
      <c r="T81" s="1348">
        <f t="shared" ca="1" si="79"/>
        <v>0</v>
      </c>
      <c r="U81" s="1348">
        <f t="shared" ca="1" si="80"/>
        <v>0</v>
      </c>
      <c r="V81" s="1348">
        <f t="shared" ca="1" si="81"/>
        <v>0</v>
      </c>
      <c r="W81" s="1348">
        <f t="shared" ca="1" si="82"/>
        <v>0</v>
      </c>
      <c r="X81" s="228"/>
      <c r="Y81" s="228"/>
      <c r="Z81" s="228"/>
    </row>
    <row r="82" spans="1:26" hidden="1" outlineLevel="1">
      <c r="A82" s="225">
        <v>9</v>
      </c>
      <c r="B82" s="212" t="str">
        <f t="shared" ca="1" si="83"/>
        <v>Depreciated Net Capex 2024-25</v>
      </c>
      <c r="C82" s="1351"/>
      <c r="D82" s="1351"/>
      <c r="E82" s="1351"/>
      <c r="F82" s="1351"/>
      <c r="G82" s="1351"/>
      <c r="H82" s="1351"/>
      <c r="I82" s="1351"/>
      <c r="J82" s="1351"/>
      <c r="K82" s="1352"/>
      <c r="L82" s="1353">
        <f>(L68*((1+L$11)^0.5)/L$10)</f>
        <v>0</v>
      </c>
      <c r="M82" s="1348">
        <f ca="1">IF(L106="n/a",L82,IFERROR(IF((OFFSET($C82,0,$A82))&lt;0,
MIN(0,L82-(OFFSET($C82,0,$A82)/(OFFSET($C77,-$A81,$A82)))),
MAX(0,L82-(OFFSET($C82,0,$A82)/(OFFSET($C77,-$A81,$A82))))),0))</f>
        <v>0</v>
      </c>
      <c r="N82" s="1348">
        <f t="shared" ca="1" si="73"/>
        <v>0</v>
      </c>
      <c r="O82" s="1348">
        <f t="shared" ca="1" si="74"/>
        <v>0</v>
      </c>
      <c r="P82" s="1348">
        <f t="shared" ca="1" si="75"/>
        <v>0</v>
      </c>
      <c r="Q82" s="1348">
        <f t="shared" ca="1" si="76"/>
        <v>0</v>
      </c>
      <c r="R82" s="1348">
        <f t="shared" ca="1" si="77"/>
        <v>0</v>
      </c>
      <c r="S82" s="1348">
        <f t="shared" ca="1" si="78"/>
        <v>0</v>
      </c>
      <c r="T82" s="1348">
        <f t="shared" ca="1" si="79"/>
        <v>0</v>
      </c>
      <c r="U82" s="1348">
        <f t="shared" ca="1" si="80"/>
        <v>0</v>
      </c>
      <c r="V82" s="1348">
        <f t="shared" ca="1" si="81"/>
        <v>0</v>
      </c>
      <c r="W82" s="1348">
        <f t="shared" ca="1" si="82"/>
        <v>0</v>
      </c>
      <c r="X82" s="228"/>
      <c r="Y82" s="228"/>
      <c r="Z82" s="228"/>
    </row>
    <row r="83" spans="1:26" hidden="1" outlineLevel="1">
      <c r="A83" s="225">
        <v>10</v>
      </c>
      <c r="B83" s="212" t="str">
        <f t="shared" ca="1" si="83"/>
        <v>Depreciated Net Capex 2025-26</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2026-27</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2027-28</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2028-29</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2029-30</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2030-31</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2031-32</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2032-33</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2033-34</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2034-35</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2035-36</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f ca="1">C69</f>
        <v>26.703125197217258</v>
      </c>
      <c r="D97" s="1348">
        <f t="shared" ref="D97" ca="1" si="103">IF(C97="n/a","n/a",MAX(0,C97-1))</f>
        <v>25.703125197217258</v>
      </c>
      <c r="E97" s="1348">
        <f t="shared" ref="E97:E98" ca="1" si="104">IF(D97="n/a","n/a",MAX(0,D97-1))</f>
        <v>24.703125197217258</v>
      </c>
      <c r="F97" s="1348">
        <f t="shared" ref="F97:F99" ca="1" si="105">IF(E97="n/a","n/a",MAX(0,E97-1))</f>
        <v>23.703125197217258</v>
      </c>
      <c r="G97" s="1348">
        <f t="shared" ref="G97:G100" ca="1" si="106">IF(F97="n/a","n/a",MAX(0,F97-1))</f>
        <v>22.703125197217258</v>
      </c>
      <c r="H97" s="1348">
        <f t="shared" ref="H97:H101" ca="1" si="107">IF(G97="n/a","n/a",MAX(0,G97-1))</f>
        <v>21.703125197217258</v>
      </c>
      <c r="I97" s="1348">
        <f t="shared" ref="I97:I102" ca="1" si="108">IF(H97="n/a","n/a",MAX(0,H97-1))</f>
        <v>20.703125197217258</v>
      </c>
      <c r="J97" s="1348">
        <f t="shared" ref="J97:J103" ca="1" si="109">IF(I97="n/a","n/a",MAX(0,I97-1))</f>
        <v>19.703125197217258</v>
      </c>
      <c r="K97" s="1348">
        <f t="shared" ref="K97:K104" ca="1" si="110">IF(J97="n/a","n/a",MAX(0,J97-1))</f>
        <v>18.703125197217258</v>
      </c>
      <c r="L97" s="1348">
        <f t="shared" ref="L97:L105" ca="1" si="111">IF(K97="n/a","n/a",MAX(0,K97-1))</f>
        <v>17.703125197217258</v>
      </c>
      <c r="M97" s="1348">
        <f t="shared" ref="M97:M106" ca="1" si="112">IF(L97="n/a","n/a",MAX(0,L97-1))</f>
        <v>16.703125197217258</v>
      </c>
      <c r="N97" s="1348">
        <f t="shared" ref="N97:N107" ca="1" si="113">IF(M97="n/a","n/a",MAX(0,M97-1))</f>
        <v>15.703125197217258</v>
      </c>
      <c r="O97" s="1348">
        <f t="shared" ref="O97:O108" ca="1" si="114">IF(N97="n/a","n/a",MAX(0,N97-1))</f>
        <v>14.703125197217258</v>
      </c>
      <c r="P97" s="1348">
        <f t="shared" ref="P97:P109" ca="1" si="115">IF(O97="n/a","n/a",MAX(0,O97-1))</f>
        <v>13.703125197217258</v>
      </c>
      <c r="Q97" s="1348">
        <f t="shared" ref="Q97:Q110" ca="1" si="116">IF(P97="n/a","n/a",MAX(0,P97-1))</f>
        <v>12.703125197217258</v>
      </c>
      <c r="R97" s="1348">
        <f t="shared" ref="R97:R111" ca="1" si="117">IF(Q97="n/a","n/a",MAX(0,Q97-1))</f>
        <v>11.703125197217258</v>
      </c>
      <c r="S97" s="1348">
        <f t="shared" ref="S97:S112" ca="1" si="118">IF(R97="n/a","n/a",MAX(0,R97-1))</f>
        <v>10.703125197217258</v>
      </c>
      <c r="T97" s="1348">
        <f t="shared" ref="T97:T113" ca="1" si="119">IF(S97="n/a","n/a",MAX(0,S97-1))</f>
        <v>9.7031251972172576</v>
      </c>
      <c r="U97" s="1348">
        <f t="shared" ref="U97:U114" ca="1" si="120">IF(T97="n/a","n/a",MAX(0,T97-1))</f>
        <v>8.7031251972172576</v>
      </c>
      <c r="V97" s="1348">
        <f t="shared" ref="V97:V115" ca="1" si="121">IF(U97="n/a","n/a",MAX(0,U97-1))</f>
        <v>7.7031251972172576</v>
      </c>
      <c r="W97" s="1348">
        <f t="shared" ref="W97:W115" ca="1" si="122">IF(V97="n/a","n/a",MAX(0,V97-1))</f>
        <v>6.7031251972172576</v>
      </c>
    </row>
    <row r="98" spans="2:23" hidden="1" outlineLevel="1">
      <c r="B98" s="212" t="str">
        <f t="shared" ref="B98:B117" ca="1" si="123">"RL Capex "&amp;OFFSET($C$6,0,A74)</f>
        <v>RL Capex 2016-17</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2017-18</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2018-19</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2019-20</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2020-21</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2021-22</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2022-23</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2023-24</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2024-25</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2025-26</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2026-27</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2027-28</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2028-29</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2029-30</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2030-31</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2031-32</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2032-33</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2033-34</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2034-35</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2035-36</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f ca="1">(IF(OR($C69&lt;&gt;"n/a",C69&lt;&gt;"n/a"),IF(SUM(C72:C94)=0,0,IF((SUMPRODUCT(C72:C94,C96:C118)/SUM(C72:C94))&lt;0,1,(SUMPRODUCT(C72:C94,C96:C118)/SUM(C72:C94)))),"n/a"))</f>
        <v>26.703125197217261</v>
      </c>
      <c r="D119" s="1356">
        <f ca="1">(IF(OR($C69&lt;&gt;"n/a",D69&lt;&gt;"n/a"),IF(SUM(D72:D94)=0,0,IF((SUMPRODUCT(D72:D94,D96:D118)/SUM(D72:D94))&lt;0,1,(SUMPRODUCT(D72:D94,D96:D118)/SUM(D72:D94)))),"n/a"))</f>
        <v>25.834018712782587</v>
      </c>
      <c r="E119" s="1356">
        <f t="shared" ref="E119:W119" ca="1" si="124">(IF(OR($C69&lt;&gt;"n/a",E69&lt;&gt;"n/a"),IF(SUM(E72:E94)=0,0,IF((SUMPRODUCT(E72:E94,E96:E118)/SUM(E72:E94))&lt;0,1,(SUMPRODUCT(E72:E94,E96:E118)/SUM(E72:E94)))),"n/a"))</f>
        <v>24.837442383280756</v>
      </c>
      <c r="F119" s="1356">
        <f t="shared" ca="1" si="124"/>
        <v>23.921209183253769</v>
      </c>
      <c r="G119" s="1356">
        <f t="shared" ca="1" si="124"/>
        <v>22.987979998049688</v>
      </c>
      <c r="H119" s="1356">
        <f t="shared" ca="1" si="124"/>
        <v>22.199523742542869</v>
      </c>
      <c r="I119" s="1356">
        <f t="shared" ca="1" si="124"/>
        <v>21.207539960713923</v>
      </c>
      <c r="J119" s="1356">
        <f t="shared" ca="1" si="124"/>
        <v>20.216356562701286</v>
      </c>
      <c r="K119" s="1356">
        <f t="shared" ca="1" si="124"/>
        <v>19.226099719469595</v>
      </c>
      <c r="L119" s="1356">
        <f t="shared" ca="1" si="124"/>
        <v>18.236923591871598</v>
      </c>
      <c r="M119" s="1356">
        <f t="shared" ca="1" si="124"/>
        <v>17.249018548014909</v>
      </c>
      <c r="N119" s="1356">
        <f t="shared" ca="1" si="124"/>
        <v>16.262622456194912</v>
      </c>
      <c r="O119" s="1356">
        <f t="shared" ca="1" si="124"/>
        <v>15.278036485703909</v>
      </c>
      <c r="P119" s="1356">
        <f t="shared" ca="1" si="124"/>
        <v>14.295647664485369</v>
      </c>
      <c r="Q119" s="1356">
        <f t="shared" ca="1" si="124"/>
        <v>13.31596182329722</v>
      </c>
      <c r="R119" s="1356">
        <f t="shared" ca="1" si="124"/>
        <v>12.339652969601996</v>
      </c>
      <c r="S119" s="1356">
        <f t="shared" ca="1" si="124"/>
        <v>11.367639517143912</v>
      </c>
      <c r="T119" s="1356">
        <f t="shared" ca="1" si="124"/>
        <v>10.401206112217945</v>
      </c>
      <c r="U119" s="1356">
        <f t="shared" ca="1" si="124"/>
        <v>9.4422063992437195</v>
      </c>
      <c r="V119" s="1356">
        <f t="shared" ca="1" si="124"/>
        <v>8.4934172747297421</v>
      </c>
      <c r="W119" s="1356">
        <f t="shared" ca="1" si="124"/>
        <v>7.559195451489594</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0.11871236856194015</v>
      </c>
      <c r="D122" s="1344">
        <f>IF(LEFT(D$6,4)&lt;LEFT('RFM input'!$G$60,4),"enter input",IF(LEFT(D$6,4)&gt;LEFT('RFM input'!$Q$60,4),0,
INDEX('RFM input'!$G$223:$Q$272,$A122,MATCH(D$6,'RFM input'!$G$222:$Q$222,0))
-INDEX('RFM input'!$G$277:$Q$326,$A122,MATCH(D$6,'RFM input'!$G$222:$Q$222,0))))</f>
        <v>0</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0</v>
      </c>
      <c r="H122" s="1344">
        <f>IF(LEFT(H$6,4)&lt;LEFT('RFM input'!$G$60,4),"enter input",IF(LEFT(H$6,4)&gt;LEFT('RFM input'!$Q$60,4),0,
INDEX('RFM input'!$G$223:$Q$272,$A122,MATCH(H$6,'RFM input'!$G$222:$Q$222,0))
-INDEX('RFM input'!$G$277:$Q$326,$A122,MATCH(H$6,'RFM input'!$G$222:$Q$222,0))))</f>
        <v>0</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0</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0</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f ca="1">IF($C$8='Capital base roll forward'!$H$4,OFFSET('RFM input'!$K$6,'Capital base remaining lives'!A122,0),"enter input")</f>
        <v>43.760581082428011</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0.11871236856194015</v>
      </c>
      <c r="D127" s="1348">
        <f ca="1">IF(C151="n/a",C127,IFERROR(IF((OFFSET($C127,0,$A127))&lt;0,
MIN(0,C127-(OFFSET($C127,0,$A127)/(OFFSET($C122,-$A126,$A127)))),
MAX(0,C127-(OFFSET($C127,0,$A127)/(OFFSET($C122,-$A126,$A127))))),0))</f>
        <v>0.11599959908709401</v>
      </c>
      <c r="E127" s="1348">
        <f t="shared" ref="E127" ca="1" si="144">IF(D151="n/a",D127,IFERROR(IF((OFFSET($C127,0,$A127))&lt;0,
MIN(0,D127-(OFFSET($C127,0,$A127)/(OFFSET($C122,-$A126,$A127)))),
MAX(0,D127-(OFFSET($C127,0,$A127)/(OFFSET($C122,-$A126,$A127))))),0))</f>
        <v>0.11328682961224787</v>
      </c>
      <c r="F127" s="1348">
        <f t="shared" ref="F127:F128" ca="1" si="145">IF(E151="n/a",E127,IFERROR(IF((OFFSET($C127,0,$A127))&lt;0,
MIN(0,E127-(OFFSET($C127,0,$A127)/(OFFSET($C122,-$A126,$A127)))),
MAX(0,E127-(OFFSET($C127,0,$A127)/(OFFSET($C122,-$A126,$A127))))),0))</f>
        <v>0.11057406013740173</v>
      </c>
      <c r="G127" s="1348">
        <f t="shared" ref="G127:G129" ca="1" si="146">IF(F151="n/a",F127,IFERROR(IF((OFFSET($C127,0,$A127))&lt;0,
MIN(0,F127-(OFFSET($C127,0,$A127)/(OFFSET($C122,-$A126,$A127)))),
MAX(0,F127-(OFFSET($C127,0,$A127)/(OFFSET($C122,-$A126,$A127))))),0))</f>
        <v>0.10786129066255559</v>
      </c>
      <c r="H127" s="1348">
        <f t="shared" ref="H127:H130" ca="1" si="147">IF(G151="n/a",G127,IFERROR(IF((OFFSET($C127,0,$A127))&lt;0,
MIN(0,G127-(OFFSET($C127,0,$A127)/(OFFSET($C122,-$A126,$A127)))),
MAX(0,G127-(OFFSET($C127,0,$A127)/(OFFSET($C122,-$A126,$A127))))),0))</f>
        <v>0.10514852118770945</v>
      </c>
      <c r="I127" s="1348">
        <f t="shared" ref="I127:I131" ca="1" si="148">IF(H151="n/a",H127,IFERROR(IF((OFFSET($C127,0,$A127))&lt;0,
MIN(0,H127-(OFFSET($C127,0,$A127)/(OFFSET($C122,-$A126,$A127)))),
MAX(0,H127-(OFFSET($C127,0,$A127)/(OFFSET($C122,-$A126,$A127))))),0))</f>
        <v>0.10243575171286332</v>
      </c>
      <c r="J127" s="1348">
        <f t="shared" ref="J127:J132" ca="1" si="149">IF(I151="n/a",I127,IFERROR(IF((OFFSET($C127,0,$A127))&lt;0,
MIN(0,I127-(OFFSET($C127,0,$A127)/(OFFSET($C122,-$A126,$A127)))),
MAX(0,I127-(OFFSET($C127,0,$A127)/(OFFSET($C122,-$A126,$A127))))),0))</f>
        <v>9.9722982238017177E-2</v>
      </c>
      <c r="K127" s="1348">
        <f t="shared" ref="K127:K133" ca="1" si="150">IF(J151="n/a",J127,IFERROR(IF((OFFSET($C127,0,$A127))&lt;0,
MIN(0,J127-(OFFSET($C127,0,$A127)/(OFFSET($C122,-$A126,$A127)))),
MAX(0,J127-(OFFSET($C127,0,$A127)/(OFFSET($C122,-$A126,$A127))))),0))</f>
        <v>9.7010212763171039E-2</v>
      </c>
      <c r="L127" s="1348">
        <f t="shared" ref="L127:L134" ca="1" si="151">IF(K151="n/a",K127,IFERROR(IF((OFFSET($C127,0,$A127))&lt;0,
MIN(0,K127-(OFFSET($C127,0,$A127)/(OFFSET($C122,-$A126,$A127)))),
MAX(0,K127-(OFFSET($C127,0,$A127)/(OFFSET($C122,-$A126,$A127))))),0))</f>
        <v>9.42974432883249E-2</v>
      </c>
      <c r="M127" s="1348">
        <f t="shared" ref="M127:M135" ca="1" si="152">IF(L151="n/a",L127,IFERROR(IF((OFFSET($C127,0,$A127))&lt;0,
MIN(0,L127-(OFFSET($C127,0,$A127)/(OFFSET($C122,-$A126,$A127)))),
MAX(0,L127-(OFFSET($C127,0,$A127)/(OFFSET($C122,-$A126,$A127))))),0))</f>
        <v>9.1584673813478762E-2</v>
      </c>
      <c r="N127" s="1348">
        <f t="shared" ref="N127:N136" ca="1" si="153">IF(M151="n/a",M127,IFERROR(IF((OFFSET($C127,0,$A127))&lt;0,
MIN(0,M127-(OFFSET($C127,0,$A127)/(OFFSET($C122,-$A126,$A127)))),
MAX(0,M127-(OFFSET($C127,0,$A127)/(OFFSET($C122,-$A126,$A127))))),0))</f>
        <v>8.8871904338632624E-2</v>
      </c>
      <c r="O127" s="1348">
        <f t="shared" ref="O127:O137" ca="1" si="154">IF(N151="n/a",N127,IFERROR(IF((OFFSET($C127,0,$A127))&lt;0,
MIN(0,N127-(OFFSET($C127,0,$A127)/(OFFSET($C122,-$A126,$A127)))),
MAX(0,N127-(OFFSET($C127,0,$A127)/(OFFSET($C122,-$A126,$A127))))),0))</f>
        <v>8.6159134863786485E-2</v>
      </c>
      <c r="P127" s="1348">
        <f t="shared" ref="P127:P138" ca="1" si="155">IF(O151="n/a",O127,IFERROR(IF((OFFSET($C127,0,$A127))&lt;0,
MIN(0,O127-(OFFSET($C127,0,$A127)/(OFFSET($C122,-$A126,$A127)))),
MAX(0,O127-(OFFSET($C127,0,$A127)/(OFFSET($C122,-$A126,$A127))))),0))</f>
        <v>8.3446365388940347E-2</v>
      </c>
      <c r="Q127" s="1348">
        <f t="shared" ref="Q127:Q139" ca="1" si="156">IF(P151="n/a",P127,IFERROR(IF((OFFSET($C127,0,$A127))&lt;0,
MIN(0,P127-(OFFSET($C127,0,$A127)/(OFFSET($C122,-$A126,$A127)))),
MAX(0,P127-(OFFSET($C127,0,$A127)/(OFFSET($C122,-$A126,$A127))))),0))</f>
        <v>8.0733595914094208E-2</v>
      </c>
      <c r="R127" s="1348">
        <f t="shared" ref="R127:R140" ca="1" si="157">IF(Q151="n/a",Q127,IFERROR(IF((OFFSET($C127,0,$A127))&lt;0,
MIN(0,Q127-(OFFSET($C127,0,$A127)/(OFFSET($C122,-$A126,$A127)))),
MAX(0,Q127-(OFFSET($C127,0,$A127)/(OFFSET($C122,-$A126,$A127))))),0))</f>
        <v>7.802082643924807E-2</v>
      </c>
      <c r="S127" s="1348">
        <f t="shared" ref="S127:S141" ca="1" si="158">IF(R151="n/a",R127,IFERROR(IF((OFFSET($C127,0,$A127))&lt;0,
MIN(0,R127-(OFFSET($C127,0,$A127)/(OFFSET($C122,-$A126,$A127)))),
MAX(0,R127-(OFFSET($C127,0,$A127)/(OFFSET($C122,-$A126,$A127))))),0))</f>
        <v>7.5308056964401932E-2</v>
      </c>
      <c r="T127" s="1348">
        <f t="shared" ref="T127:T142" ca="1" si="159">IF(S151="n/a",S127,IFERROR(IF((OFFSET($C127,0,$A127))&lt;0,
MIN(0,S127-(OFFSET($C127,0,$A127)/(OFFSET($C122,-$A126,$A127)))),
MAX(0,S127-(OFFSET($C127,0,$A127)/(OFFSET($C122,-$A126,$A127))))),0))</f>
        <v>7.2595287489555793E-2</v>
      </c>
      <c r="U127" s="1348">
        <f t="shared" ref="U127:U143" ca="1" si="160">IF(T151="n/a",T127,IFERROR(IF((OFFSET($C127,0,$A127))&lt;0,
MIN(0,T127-(OFFSET($C127,0,$A127)/(OFFSET($C122,-$A126,$A127)))),
MAX(0,T127-(OFFSET($C127,0,$A127)/(OFFSET($C122,-$A126,$A127))))),0))</f>
        <v>6.9882518014709655E-2</v>
      </c>
      <c r="V127" s="1348">
        <f t="shared" ref="V127:V144" ca="1" si="161">IF(U151="n/a",U127,IFERROR(IF((OFFSET($C127,0,$A127))&lt;0,
MIN(0,U127-(OFFSET($C127,0,$A127)/(OFFSET($C122,-$A126,$A127)))),
MAX(0,U127-(OFFSET($C127,0,$A127)/(OFFSET($C122,-$A126,$A127))))),0))</f>
        <v>6.7169748539863516E-2</v>
      </c>
      <c r="W127" s="1348">
        <f t="shared" ref="W127:W145" ca="1" si="162">IF(V151="n/a",V127,IFERROR(IF((OFFSET($C127,0,$A127))&lt;0,
MIN(0,V127-(OFFSET($C127,0,$A127)/(OFFSET($C122,-$A126,$A127)))),
MAX(0,V127-(OFFSET($C127,0,$A127)/(OFFSET($C122,-$A126,$A127))))),0))</f>
        <v>6.4456979065017378E-2</v>
      </c>
    </row>
    <row r="128" spans="1:26" hidden="1" outlineLevel="1">
      <c r="A128" s="225">
        <v>1</v>
      </c>
      <c r="B128" s="212" t="str">
        <f t="shared" ref="B128:B146" ca="1" si="163">"Depreciated Net Capex "&amp;OFFSET($C$6,0,A128)</f>
        <v>Depreciated Net Capex 2016-17</v>
      </c>
      <c r="C128" s="1349"/>
      <c r="D128" s="1350">
        <f>(D122*((1+D$11)^0.5)/D$10)</f>
        <v>0</v>
      </c>
      <c r="E128" s="1348">
        <f ca="1">IF(D152="n/a",D128,IFERROR(IF((OFFSET($C128,0,$A128))&lt;0,
MIN(0,D128-(OFFSET($C128,0,$A128)/(OFFSET($C123,-$A127,$A128)))),
MAX(0,D128-(OFFSET($C128,0,$A128)/(OFFSET($C123,-$A127,$A128))))),0))</f>
        <v>0</v>
      </c>
      <c r="F128" s="1348">
        <f t="shared" ca="1" si="145"/>
        <v>0</v>
      </c>
      <c r="G128" s="1348">
        <f t="shared" ca="1" si="146"/>
        <v>0</v>
      </c>
      <c r="H128" s="1348">
        <f t="shared" ca="1" si="147"/>
        <v>0</v>
      </c>
      <c r="I128" s="1348">
        <f t="shared" ca="1" si="148"/>
        <v>0</v>
      </c>
      <c r="J128" s="1348">
        <f t="shared" ca="1" si="149"/>
        <v>0</v>
      </c>
      <c r="K128" s="1348">
        <f t="shared" ca="1" si="150"/>
        <v>0</v>
      </c>
      <c r="L128" s="1348">
        <f t="shared" ca="1" si="151"/>
        <v>0</v>
      </c>
      <c r="M128" s="1348">
        <f t="shared" ca="1" si="152"/>
        <v>0</v>
      </c>
      <c r="N128" s="1348">
        <f t="shared" ca="1" si="153"/>
        <v>0</v>
      </c>
      <c r="O128" s="1348">
        <f t="shared" ca="1" si="154"/>
        <v>0</v>
      </c>
      <c r="P128" s="1348">
        <f t="shared" ca="1" si="155"/>
        <v>0</v>
      </c>
      <c r="Q128" s="1348">
        <f t="shared" ca="1" si="156"/>
        <v>0</v>
      </c>
      <c r="R128" s="1348">
        <f t="shared" ca="1" si="157"/>
        <v>0</v>
      </c>
      <c r="S128" s="1348">
        <f t="shared" ca="1" si="158"/>
        <v>0</v>
      </c>
      <c r="T128" s="1348">
        <f t="shared" ca="1" si="159"/>
        <v>0</v>
      </c>
      <c r="U128" s="1348">
        <f t="shared" ca="1" si="160"/>
        <v>0</v>
      </c>
      <c r="V128" s="1348">
        <f t="shared" ca="1" si="161"/>
        <v>0</v>
      </c>
      <c r="W128" s="1348">
        <f t="shared" ca="1" si="162"/>
        <v>0</v>
      </c>
    </row>
    <row r="129" spans="1:26" hidden="1" outlineLevel="1">
      <c r="A129" s="225">
        <v>2</v>
      </c>
      <c r="B129" s="212" t="str">
        <f t="shared" ca="1" si="163"/>
        <v>Depreciated Net Capex 2017-18</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2018-19</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2019-20</v>
      </c>
      <c r="C131" s="1351"/>
      <c r="D131" s="1351"/>
      <c r="E131" s="1351"/>
      <c r="F131" s="1352"/>
      <c r="G131" s="1353">
        <f>($G122*((1+G$11)^0.5)/G$10)</f>
        <v>0</v>
      </c>
      <c r="H131" s="1348">
        <f ca="1">IF(G155="n/a",G131,IFERROR(IF((OFFSET($C131,0,$A131))&lt;0,
MIN(0,G131-(OFFSET($C131,0,$A131)/(OFFSET($C126,-$A130,$A131)))),
MAX(0,G131-(OFFSET($C131,0,$A131)/(OFFSET($C126,-$A130,$A131))))),0))</f>
        <v>0</v>
      </c>
      <c r="I131" s="1348">
        <f t="shared" ca="1" si="148"/>
        <v>0</v>
      </c>
      <c r="J131" s="1348">
        <f t="shared" ca="1" si="149"/>
        <v>0</v>
      </c>
      <c r="K131" s="1348">
        <f t="shared" ca="1" si="150"/>
        <v>0</v>
      </c>
      <c r="L131" s="1348">
        <f t="shared" ca="1" si="151"/>
        <v>0</v>
      </c>
      <c r="M131" s="1348">
        <f t="shared" ca="1" si="152"/>
        <v>0</v>
      </c>
      <c r="N131" s="1348">
        <f t="shared" ca="1" si="153"/>
        <v>0</v>
      </c>
      <c r="O131" s="1348">
        <f t="shared" ca="1" si="154"/>
        <v>0</v>
      </c>
      <c r="P131" s="1348">
        <f t="shared" ca="1" si="155"/>
        <v>0</v>
      </c>
      <c r="Q131" s="1348">
        <f t="shared" ca="1" si="156"/>
        <v>0</v>
      </c>
      <c r="R131" s="1348">
        <f t="shared" ca="1" si="157"/>
        <v>0</v>
      </c>
      <c r="S131" s="1348">
        <f t="shared" ca="1" si="158"/>
        <v>0</v>
      </c>
      <c r="T131" s="1348">
        <f t="shared" ca="1" si="159"/>
        <v>0</v>
      </c>
      <c r="U131" s="1348">
        <f t="shared" ca="1" si="160"/>
        <v>0</v>
      </c>
      <c r="V131" s="1348">
        <f t="shared" ca="1" si="161"/>
        <v>0</v>
      </c>
      <c r="W131" s="1348">
        <f t="shared" ca="1" si="162"/>
        <v>0</v>
      </c>
      <c r="X131" s="228"/>
      <c r="Y131" s="228"/>
      <c r="Z131" s="228"/>
    </row>
    <row r="132" spans="1:26" hidden="1" outlineLevel="1">
      <c r="A132" s="225">
        <v>5</v>
      </c>
      <c r="B132" s="212" t="str">
        <f t="shared" ca="1" si="163"/>
        <v>Depreciated Net Capex 2020-21</v>
      </c>
      <c r="C132" s="1351"/>
      <c r="D132" s="1351"/>
      <c r="E132" s="1351"/>
      <c r="F132" s="1351"/>
      <c r="G132" s="1352"/>
      <c r="H132" s="1353">
        <f>(H122*((1+H$11)^0.5)/H$10)</f>
        <v>0</v>
      </c>
      <c r="I132" s="1348">
        <f ca="1">IF(H156="n/a",H132,IFERROR(IF((OFFSET($C132,0,$A132))&lt;0,
MIN(0,H132-(OFFSET($C132,0,$A132)/(OFFSET($C127,-$A131,$A132)))),
MAX(0,H132-(OFFSET($C132,0,$A132)/(OFFSET($C127,-$A131,$A132))))),0))</f>
        <v>0</v>
      </c>
      <c r="J132" s="1348">
        <f t="shared" ca="1" si="149"/>
        <v>0</v>
      </c>
      <c r="K132" s="1348">
        <f t="shared" ca="1" si="150"/>
        <v>0</v>
      </c>
      <c r="L132" s="1348">
        <f t="shared" ca="1" si="151"/>
        <v>0</v>
      </c>
      <c r="M132" s="1348">
        <f t="shared" ca="1" si="152"/>
        <v>0</v>
      </c>
      <c r="N132" s="1348">
        <f t="shared" ca="1" si="153"/>
        <v>0</v>
      </c>
      <c r="O132" s="1348">
        <f t="shared" ca="1" si="154"/>
        <v>0</v>
      </c>
      <c r="P132" s="1348">
        <f t="shared" ca="1" si="155"/>
        <v>0</v>
      </c>
      <c r="Q132" s="1348">
        <f t="shared" ca="1" si="156"/>
        <v>0</v>
      </c>
      <c r="R132" s="1348">
        <f t="shared" ca="1" si="157"/>
        <v>0</v>
      </c>
      <c r="S132" s="1348">
        <f t="shared" ca="1" si="158"/>
        <v>0</v>
      </c>
      <c r="T132" s="1348">
        <f t="shared" ca="1" si="159"/>
        <v>0</v>
      </c>
      <c r="U132" s="1348">
        <f t="shared" ca="1" si="160"/>
        <v>0</v>
      </c>
      <c r="V132" s="1348">
        <f t="shared" ca="1" si="161"/>
        <v>0</v>
      </c>
      <c r="W132" s="1348">
        <f t="shared" ca="1" si="162"/>
        <v>0</v>
      </c>
      <c r="X132" s="228"/>
      <c r="Y132" s="228"/>
      <c r="Z132" s="228"/>
    </row>
    <row r="133" spans="1:26" hidden="1" outlineLevel="1">
      <c r="A133" s="225">
        <v>6</v>
      </c>
      <c r="B133" s="212" t="str">
        <f t="shared" ca="1" si="163"/>
        <v>Depreciated Net Capex 2021-22</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2022-23</v>
      </c>
      <c r="C134" s="1351"/>
      <c r="D134" s="1351"/>
      <c r="E134" s="1351"/>
      <c r="F134" s="1351"/>
      <c r="G134" s="1351"/>
      <c r="H134" s="1351"/>
      <c r="I134" s="1352"/>
      <c r="J134" s="1353">
        <f>(J122*((1+J$11)^0.5)/J$10)</f>
        <v>0</v>
      </c>
      <c r="K134" s="1348">
        <f ca="1">IF(J158="n/a",J134,IFERROR(IF((OFFSET($C134,0,$A134))&lt;0,
MIN(0,J134-(OFFSET($C134,0,$A134)/(OFFSET($C129,-$A133,$A134)))),
MAX(0,J134-(OFFSET($C134,0,$A134)/(OFFSET($C129,-$A133,$A134))))),0))</f>
        <v>0</v>
      </c>
      <c r="L134" s="1348">
        <f t="shared" ca="1" si="151"/>
        <v>0</v>
      </c>
      <c r="M134" s="1348">
        <f t="shared" ca="1" si="152"/>
        <v>0</v>
      </c>
      <c r="N134" s="1348">
        <f t="shared" ca="1" si="153"/>
        <v>0</v>
      </c>
      <c r="O134" s="1348">
        <f t="shared" ca="1" si="154"/>
        <v>0</v>
      </c>
      <c r="P134" s="1348">
        <f t="shared" ca="1" si="155"/>
        <v>0</v>
      </c>
      <c r="Q134" s="1348">
        <f t="shared" ca="1" si="156"/>
        <v>0</v>
      </c>
      <c r="R134" s="1348">
        <f t="shared" ca="1" si="157"/>
        <v>0</v>
      </c>
      <c r="S134" s="1348">
        <f t="shared" ca="1" si="158"/>
        <v>0</v>
      </c>
      <c r="T134" s="1348">
        <f t="shared" ca="1" si="159"/>
        <v>0</v>
      </c>
      <c r="U134" s="1348">
        <f t="shared" ca="1" si="160"/>
        <v>0</v>
      </c>
      <c r="V134" s="1348">
        <f t="shared" ca="1" si="161"/>
        <v>0</v>
      </c>
      <c r="W134" s="1348">
        <f t="shared" ca="1" si="162"/>
        <v>0</v>
      </c>
      <c r="X134" s="228"/>
      <c r="Y134" s="228"/>
      <c r="Z134" s="228"/>
    </row>
    <row r="135" spans="1:26" hidden="1" outlineLevel="1">
      <c r="A135" s="225">
        <v>8</v>
      </c>
      <c r="B135" s="212" t="str">
        <f t="shared" ca="1" si="163"/>
        <v>Depreciated Net Capex 2023-24</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2024-25</v>
      </c>
      <c r="C136" s="1351"/>
      <c r="D136" s="1351"/>
      <c r="E136" s="1351"/>
      <c r="F136" s="1351"/>
      <c r="G136" s="1351"/>
      <c r="H136" s="1351"/>
      <c r="I136" s="1351"/>
      <c r="J136" s="1351"/>
      <c r="K136" s="1352"/>
      <c r="L136" s="1353">
        <f>(L122*((1+L$11)^0.5)/L$10)</f>
        <v>0</v>
      </c>
      <c r="M136" s="1348">
        <f ca="1">IF(L160="n/a",L136,IFERROR(IF((OFFSET($C136,0,$A136))&lt;0,
MIN(0,L136-(OFFSET($C136,0,$A136)/(OFFSET($C131,-$A135,$A136)))),
MAX(0,L136-(OFFSET($C136,0,$A136)/(OFFSET($C131,-$A135,$A136))))),0))</f>
        <v>0</v>
      </c>
      <c r="N136" s="1348">
        <f t="shared" ca="1" si="153"/>
        <v>0</v>
      </c>
      <c r="O136" s="1348">
        <f t="shared" ca="1" si="154"/>
        <v>0</v>
      </c>
      <c r="P136" s="1348">
        <f t="shared" ca="1" si="155"/>
        <v>0</v>
      </c>
      <c r="Q136" s="1348">
        <f t="shared" ca="1" si="156"/>
        <v>0</v>
      </c>
      <c r="R136" s="1348">
        <f t="shared" ca="1" si="157"/>
        <v>0</v>
      </c>
      <c r="S136" s="1348">
        <f t="shared" ca="1" si="158"/>
        <v>0</v>
      </c>
      <c r="T136" s="1348">
        <f t="shared" ca="1" si="159"/>
        <v>0</v>
      </c>
      <c r="U136" s="1348">
        <f t="shared" ca="1" si="160"/>
        <v>0</v>
      </c>
      <c r="V136" s="1348">
        <f t="shared" ca="1" si="161"/>
        <v>0</v>
      </c>
      <c r="W136" s="1348">
        <f t="shared" ca="1" si="162"/>
        <v>0</v>
      </c>
      <c r="X136" s="228"/>
      <c r="Y136" s="228"/>
      <c r="Z136" s="228"/>
    </row>
    <row r="137" spans="1:26" hidden="1" outlineLevel="1">
      <c r="A137" s="225">
        <v>10</v>
      </c>
      <c r="B137" s="212" t="str">
        <f t="shared" ca="1" si="163"/>
        <v>Depreciated Net Capex 2025-26</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2026-27</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2027-28</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2028-29</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2029-30</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2030-31</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2031-32</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2032-33</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2033-34</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2034-35</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2035-36</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f ca="1">C123</f>
        <v>43.760581082428011</v>
      </c>
      <c r="D151" s="1348">
        <f t="shared" ref="D151" ca="1" si="183">IF(C151="n/a","n/a",MAX(0,C151-1))</f>
        <v>42.760581082428011</v>
      </c>
      <c r="E151" s="1348">
        <f t="shared" ref="E151:E152" ca="1" si="184">IF(D151="n/a","n/a",MAX(0,D151-1))</f>
        <v>41.760581082428011</v>
      </c>
      <c r="F151" s="1348">
        <f t="shared" ref="F151:F153" ca="1" si="185">IF(E151="n/a","n/a",MAX(0,E151-1))</f>
        <v>40.760581082428011</v>
      </c>
      <c r="G151" s="1348">
        <f t="shared" ref="G151:G154" ca="1" si="186">IF(F151="n/a","n/a",MAX(0,F151-1))</f>
        <v>39.760581082428011</v>
      </c>
      <c r="H151" s="1348">
        <f t="shared" ref="H151:H155" ca="1" si="187">IF(G151="n/a","n/a",MAX(0,G151-1))</f>
        <v>38.760581082428011</v>
      </c>
      <c r="I151" s="1348">
        <f t="shared" ref="I151:I156" ca="1" si="188">IF(H151="n/a","n/a",MAX(0,H151-1))</f>
        <v>37.760581082428011</v>
      </c>
      <c r="J151" s="1348">
        <f t="shared" ref="J151:J157" ca="1" si="189">IF(I151="n/a","n/a",MAX(0,I151-1))</f>
        <v>36.760581082428011</v>
      </c>
      <c r="K151" s="1348">
        <f t="shared" ref="K151:K158" ca="1" si="190">IF(J151="n/a","n/a",MAX(0,J151-1))</f>
        <v>35.760581082428011</v>
      </c>
      <c r="L151" s="1348">
        <f t="shared" ref="L151:L159" ca="1" si="191">IF(K151="n/a","n/a",MAX(0,K151-1))</f>
        <v>34.760581082428011</v>
      </c>
      <c r="M151" s="1348">
        <f t="shared" ref="M151:M160" ca="1" si="192">IF(L151="n/a","n/a",MAX(0,L151-1))</f>
        <v>33.760581082428011</v>
      </c>
      <c r="N151" s="1348">
        <f t="shared" ref="N151:N161" ca="1" si="193">IF(M151="n/a","n/a",MAX(0,M151-1))</f>
        <v>32.760581082428011</v>
      </c>
      <c r="O151" s="1348">
        <f t="shared" ref="O151:O162" ca="1" si="194">IF(N151="n/a","n/a",MAX(0,N151-1))</f>
        <v>31.760581082428011</v>
      </c>
      <c r="P151" s="1348">
        <f t="shared" ref="P151:P163" ca="1" si="195">IF(O151="n/a","n/a",MAX(0,O151-1))</f>
        <v>30.760581082428011</v>
      </c>
      <c r="Q151" s="1348">
        <f t="shared" ref="Q151:Q164" ca="1" si="196">IF(P151="n/a","n/a",MAX(0,P151-1))</f>
        <v>29.760581082428011</v>
      </c>
      <c r="R151" s="1348">
        <f t="shared" ref="R151:R165" ca="1" si="197">IF(Q151="n/a","n/a",MAX(0,Q151-1))</f>
        <v>28.760581082428011</v>
      </c>
      <c r="S151" s="1348">
        <f t="shared" ref="S151:S166" ca="1" si="198">IF(R151="n/a","n/a",MAX(0,R151-1))</f>
        <v>27.760581082428011</v>
      </c>
      <c r="T151" s="1348">
        <f t="shared" ref="T151:T167" ca="1" si="199">IF(S151="n/a","n/a",MAX(0,S151-1))</f>
        <v>26.760581082428011</v>
      </c>
      <c r="U151" s="1348">
        <f t="shared" ref="U151:U168" ca="1" si="200">IF(T151="n/a","n/a",MAX(0,T151-1))</f>
        <v>25.760581082428011</v>
      </c>
      <c r="V151" s="1348">
        <f t="shared" ref="V151:V169" ca="1" si="201">IF(U151="n/a","n/a",MAX(0,U151-1))</f>
        <v>24.760581082428011</v>
      </c>
      <c r="W151" s="1348">
        <f t="shared" ref="W151:W169" ca="1" si="202">IF(V151="n/a","n/a",MAX(0,V151-1))</f>
        <v>23.760581082428011</v>
      </c>
    </row>
    <row r="152" spans="1:26" hidden="1" outlineLevel="1">
      <c r="B152" s="212" t="str">
        <f t="shared" ref="B152:B171" ca="1" si="203">"RL Capex "&amp;OFFSET($C$6,0,A128)</f>
        <v>RL Capex 2016-17</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2017-18</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2018-19</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2019-20</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2020-21</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2021-22</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2022-23</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2023-24</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2024-25</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2025-26</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2026-27</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2027-28</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2028-29</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2029-30</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2030-31</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2031-32</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2032-33</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2033-34</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2034-35</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2035-36</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f ca="1">(IF(OR($C123&lt;&gt;"n/a",C123&lt;&gt;"n/a"),IF(SUM(C126:C148)=0,0,IF((SUMPRODUCT(C126:C148,C150:C172)/SUM(C126:C148))&lt;0,1,(SUMPRODUCT(C126:C148,C150:C172)/SUM(C126:C148)))),"n/a"))</f>
        <v>43.760581082428011</v>
      </c>
      <c r="D173" s="1356">
        <f ca="1">(IF(OR($C123&lt;&gt;"n/a",D123&lt;&gt;"n/a"),IF(SUM(D126:D148)=0,0,IF((SUMPRODUCT(D126:D148,D150:D172)/SUM(D126:D148))&lt;0,1,(SUMPRODUCT(D126:D148,D150:D172)/SUM(D126:D148)))),"n/a"))</f>
        <v>42.760581082428011</v>
      </c>
      <c r="E173" s="1356">
        <f t="shared" ref="E173:W173" ca="1" si="204">(IF(OR($C123&lt;&gt;"n/a",E123&lt;&gt;"n/a"),IF(SUM(E126:E148)=0,0,IF((SUMPRODUCT(E126:E148,E150:E172)/SUM(E126:E148))&lt;0,1,(SUMPRODUCT(E126:E148,E150:E172)/SUM(E126:E148)))),"n/a"))</f>
        <v>41.760581082428011</v>
      </c>
      <c r="F173" s="1356">
        <f t="shared" ca="1" si="204"/>
        <v>40.760581082428011</v>
      </c>
      <c r="G173" s="1356">
        <f t="shared" ca="1" si="204"/>
        <v>39.760581082428011</v>
      </c>
      <c r="H173" s="1356">
        <f t="shared" ca="1" si="204"/>
        <v>38.760581082428011</v>
      </c>
      <c r="I173" s="1356">
        <f t="shared" ca="1" si="204"/>
        <v>37.760581082428011</v>
      </c>
      <c r="J173" s="1356">
        <f t="shared" ca="1" si="204"/>
        <v>36.760581082428011</v>
      </c>
      <c r="K173" s="1356">
        <f t="shared" ca="1" si="204"/>
        <v>35.760581082428011</v>
      </c>
      <c r="L173" s="1356">
        <f t="shared" ca="1" si="204"/>
        <v>34.760581082428011</v>
      </c>
      <c r="M173" s="1356">
        <f t="shared" ca="1" si="204"/>
        <v>33.760581082428011</v>
      </c>
      <c r="N173" s="1356">
        <f t="shared" ca="1" si="204"/>
        <v>32.760581082428011</v>
      </c>
      <c r="O173" s="1356">
        <f t="shared" ca="1" si="204"/>
        <v>31.760581082428011</v>
      </c>
      <c r="P173" s="1356">
        <f t="shared" ca="1" si="204"/>
        <v>30.760581082428011</v>
      </c>
      <c r="Q173" s="1356">
        <f t="shared" ca="1" si="204"/>
        <v>29.760581082428011</v>
      </c>
      <c r="R173" s="1356">
        <f t="shared" ca="1" si="204"/>
        <v>28.760581082428011</v>
      </c>
      <c r="S173" s="1356">
        <f t="shared" ca="1" si="204"/>
        <v>27.760581082428015</v>
      </c>
      <c r="T173" s="1356">
        <f t="shared" ca="1" si="204"/>
        <v>26.760581082428011</v>
      </c>
      <c r="U173" s="1356">
        <f t="shared" ca="1" si="204"/>
        <v>25.760581082428011</v>
      </c>
      <c r="V173" s="1356">
        <f t="shared" ca="1" si="204"/>
        <v>24.760581082428011</v>
      </c>
      <c r="W173" s="1356">
        <f t="shared" ca="1" si="204"/>
        <v>23.760581082428011</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7.9377255785502125</v>
      </c>
      <c r="D176" s="1344">
        <f>IF(LEFT(D$6,4)&lt;LEFT('RFM input'!$G$60,4),"enter input",IF(LEFT(D$6,4)&gt;LEFT('RFM input'!$Q$60,4),0,
INDEX('RFM input'!$G$223:$Q$272,$A176,MATCH(D$6,'RFM input'!$G$222:$Q$222,0))
-INDEX('RFM input'!$G$277:$Q$326,$A176,MATCH(D$6,'RFM input'!$G$222:$Q$222,0))))</f>
        <v>0</v>
      </c>
      <c r="E176" s="1344">
        <f>IF(LEFT(E$6,4)&lt;LEFT('RFM input'!$G$60,4),"enter input",IF(LEFT(E$6,4)&gt;LEFT('RFM input'!$Q$60,4),0,
INDEX('RFM input'!$G$223:$Q$272,$A176,MATCH(E$6,'RFM input'!$G$222:$Q$222,0))
-INDEX('RFM input'!$G$277:$Q$326,$A176,MATCH(E$6,'RFM input'!$G$222:$Q$222,0))))</f>
        <v>0</v>
      </c>
      <c r="F176" s="1344">
        <f>IF(LEFT(F$6,4)&lt;LEFT('RFM input'!$G$60,4),"enter input",IF(LEFT(F$6,4)&gt;LEFT('RFM input'!$Q$60,4),0,
INDEX('RFM input'!$G$223:$Q$272,$A176,MATCH(F$6,'RFM input'!$G$222:$Q$222,0))
-INDEX('RFM input'!$G$277:$Q$326,$A176,MATCH(F$6,'RFM input'!$G$222:$Q$222,0))))</f>
        <v>0</v>
      </c>
      <c r="G176" s="1344">
        <f>IF(LEFT(G$6,4)&lt;LEFT('RFM input'!$G$60,4),"enter input",IF(LEFT(G$6,4)&gt;LEFT('RFM input'!$Q$60,4),0,
INDEX('RFM input'!$G$223:$Q$272,$A176,MATCH(G$6,'RFM input'!$G$222:$Q$222,0))
-INDEX('RFM input'!$G$277:$Q$326,$A176,MATCH(G$6,'RFM input'!$G$222:$Q$222,0))))</f>
        <v>0</v>
      </c>
      <c r="H176" s="1344">
        <f>IF(LEFT(H$6,4)&lt;LEFT('RFM input'!$G$60,4),"enter input",IF(LEFT(H$6,4)&gt;LEFT('RFM input'!$Q$60,4),0,
INDEX('RFM input'!$G$223:$Q$272,$A176,MATCH(H$6,'RFM input'!$G$222:$Q$222,0))
-INDEX('RFM input'!$G$277:$Q$326,$A176,MATCH(H$6,'RFM input'!$G$222:$Q$222,0))))</f>
        <v>0</v>
      </c>
      <c r="I176" s="1344">
        <f>IF(LEFT(I$6,4)&lt;LEFT('RFM input'!$G$60,4),"enter input",IF(LEFT(I$6,4)&gt;LEFT('RFM input'!$Q$60,4),0,
INDEX('RFM input'!$G$223:$Q$272,$A176,MATCH(I$6,'RFM input'!$G$222:$Q$222,0))
-INDEX('RFM input'!$G$277:$Q$326,$A176,MATCH(I$6,'RFM input'!$G$222:$Q$222,0))))</f>
        <v>0.41405203000000002</v>
      </c>
      <c r="J176" s="1344">
        <f>IF(LEFT(J$6,4)&lt;LEFT('RFM input'!$G$60,4),"enter input",IF(LEFT(J$6,4)&gt;LEFT('RFM input'!$Q$60,4),0,
INDEX('RFM input'!$G$223:$Q$272,$A176,MATCH(J$6,'RFM input'!$G$222:$Q$222,0))
-INDEX('RFM input'!$G$277:$Q$326,$A176,MATCH(J$6,'RFM input'!$G$222:$Q$222,0))))</f>
        <v>0</v>
      </c>
      <c r="K176" s="1344">
        <f>IF(LEFT(K$6,4)&lt;LEFT('RFM input'!$G$60,4),"enter input",IF(LEFT(K$6,4)&gt;LEFT('RFM input'!$Q$60,4),0,
INDEX('RFM input'!$G$223:$Q$272,$A176,MATCH(K$6,'RFM input'!$G$222:$Q$222,0))
-INDEX('RFM input'!$G$277:$Q$326,$A176,MATCH(K$6,'RFM input'!$G$222:$Q$222,0))))</f>
        <v>0</v>
      </c>
      <c r="L176" s="1344">
        <f>IF(LEFT(L$6,4)&lt;LEFT('RFM input'!$G$60,4),"enter input",IF(LEFT(L$6,4)&gt;LEFT('RFM input'!$Q$60,4),0,
INDEX('RFM input'!$G$223:$Q$272,$A176,MATCH(L$6,'RFM input'!$G$222:$Q$222,0))
-INDEX('RFM input'!$G$277:$Q$326,$A176,MATCH(L$6,'RFM input'!$G$222:$Q$222,0))))</f>
        <v>0</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35.459356522049674</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7.9377255785502125</v>
      </c>
      <c r="D181" s="1348">
        <f ca="1">IF(C205="n/a",C181,IFERROR(IF((OFFSET($C181,0,$A181))&lt;0,
MIN(0,C181-(OFFSET($C181,0,$A181)/(OFFSET($C176,-$A180,$A181)))),
MAX(0,C181-(OFFSET($C181,0,$A181)/(OFFSET($C176,-$A180,$A181))))),0))</f>
        <v>7.7138713872420794</v>
      </c>
      <c r="E181" s="1348">
        <f t="shared" ref="E181" ca="1" si="224">IF(D205="n/a",D181,IFERROR(IF((OFFSET($C181,0,$A181))&lt;0,
MIN(0,D181-(OFFSET($C181,0,$A181)/(OFFSET($C176,-$A180,$A181)))),
MAX(0,D181-(OFFSET($C181,0,$A181)/(OFFSET($C176,-$A180,$A181))))),0))</f>
        <v>7.4900171959339463</v>
      </c>
      <c r="F181" s="1348">
        <f t="shared" ref="F181:F182" ca="1" si="225">IF(E205="n/a",E181,IFERROR(IF((OFFSET($C181,0,$A181))&lt;0,
MIN(0,E181-(OFFSET($C181,0,$A181)/(OFFSET($C176,-$A180,$A181)))),
MAX(0,E181-(OFFSET($C181,0,$A181)/(OFFSET($C176,-$A180,$A181))))),0))</f>
        <v>7.2661630046258132</v>
      </c>
      <c r="G181" s="1348">
        <f t="shared" ref="G181:G183" ca="1" si="226">IF(F205="n/a",F181,IFERROR(IF((OFFSET($C181,0,$A181))&lt;0,
MIN(0,F181-(OFFSET($C181,0,$A181)/(OFFSET($C176,-$A180,$A181)))),
MAX(0,F181-(OFFSET($C181,0,$A181)/(OFFSET($C176,-$A180,$A181))))),0))</f>
        <v>7.0423088133176801</v>
      </c>
      <c r="H181" s="1348">
        <f t="shared" ref="H181:H184" ca="1" si="227">IF(G205="n/a",G181,IFERROR(IF((OFFSET($C181,0,$A181))&lt;0,
MIN(0,G181-(OFFSET($C181,0,$A181)/(OFFSET($C176,-$A180,$A181)))),
MAX(0,G181-(OFFSET($C181,0,$A181)/(OFFSET($C176,-$A180,$A181))))),0))</f>
        <v>6.818454622009547</v>
      </c>
      <c r="I181" s="1348">
        <f t="shared" ref="I181:I185" ca="1" si="228">IF(H205="n/a",H181,IFERROR(IF((OFFSET($C181,0,$A181))&lt;0,
MIN(0,H181-(OFFSET($C181,0,$A181)/(OFFSET($C176,-$A180,$A181)))),
MAX(0,H181-(OFFSET($C181,0,$A181)/(OFFSET($C176,-$A180,$A181))))),0))</f>
        <v>6.5946004307014139</v>
      </c>
      <c r="J181" s="1348">
        <f t="shared" ref="J181:J186" ca="1" si="229">IF(I205="n/a",I181,IFERROR(IF((OFFSET($C181,0,$A181))&lt;0,
MIN(0,I181-(OFFSET($C181,0,$A181)/(OFFSET($C176,-$A180,$A181)))),
MAX(0,I181-(OFFSET($C181,0,$A181)/(OFFSET($C176,-$A180,$A181))))),0))</f>
        <v>6.3707462393932808</v>
      </c>
      <c r="K181" s="1348">
        <f t="shared" ref="K181:K187" ca="1" si="230">IF(J205="n/a",J181,IFERROR(IF((OFFSET($C181,0,$A181))&lt;0,
MIN(0,J181-(OFFSET($C181,0,$A181)/(OFFSET($C176,-$A180,$A181)))),
MAX(0,J181-(OFFSET($C181,0,$A181)/(OFFSET($C176,-$A180,$A181))))),0))</f>
        <v>6.1468920480851477</v>
      </c>
      <c r="L181" s="1348">
        <f t="shared" ref="L181:L188" ca="1" si="231">IF(K205="n/a",K181,IFERROR(IF((OFFSET($C181,0,$A181))&lt;0,
MIN(0,K181-(OFFSET($C181,0,$A181)/(OFFSET($C176,-$A180,$A181)))),
MAX(0,K181-(OFFSET($C181,0,$A181)/(OFFSET($C176,-$A180,$A181))))),0))</f>
        <v>5.9230378567770146</v>
      </c>
      <c r="M181" s="1348">
        <f t="shared" ref="M181:M189" ca="1" si="232">IF(L205="n/a",L181,IFERROR(IF((OFFSET($C181,0,$A181))&lt;0,
MIN(0,L181-(OFFSET($C181,0,$A181)/(OFFSET($C176,-$A180,$A181)))),
MAX(0,L181-(OFFSET($C181,0,$A181)/(OFFSET($C176,-$A180,$A181))))),0))</f>
        <v>5.6991836654688814</v>
      </c>
      <c r="N181" s="1348">
        <f t="shared" ref="N181:N190" ca="1" si="233">IF(M205="n/a",M181,IFERROR(IF((OFFSET($C181,0,$A181))&lt;0,
MIN(0,M181-(OFFSET($C181,0,$A181)/(OFFSET($C176,-$A180,$A181)))),
MAX(0,M181-(OFFSET($C181,0,$A181)/(OFFSET($C176,-$A180,$A181))))),0))</f>
        <v>5.4753294741607483</v>
      </c>
      <c r="O181" s="1348">
        <f t="shared" ref="O181:O191" ca="1" si="234">IF(N205="n/a",N181,IFERROR(IF((OFFSET($C181,0,$A181))&lt;0,
MIN(0,N181-(OFFSET($C181,0,$A181)/(OFFSET($C176,-$A180,$A181)))),
MAX(0,N181-(OFFSET($C181,0,$A181)/(OFFSET($C176,-$A180,$A181))))),0))</f>
        <v>5.2514752828526152</v>
      </c>
      <c r="P181" s="1348">
        <f t="shared" ref="P181:P192" ca="1" si="235">IF(O205="n/a",O181,IFERROR(IF((OFFSET($C181,0,$A181))&lt;0,
MIN(0,O181-(OFFSET($C181,0,$A181)/(OFFSET($C176,-$A180,$A181)))),
MAX(0,O181-(OFFSET($C181,0,$A181)/(OFFSET($C176,-$A180,$A181))))),0))</f>
        <v>5.0276210915444821</v>
      </c>
      <c r="Q181" s="1348">
        <f t="shared" ref="Q181:Q193" ca="1" si="236">IF(P205="n/a",P181,IFERROR(IF((OFFSET($C181,0,$A181))&lt;0,
MIN(0,P181-(OFFSET($C181,0,$A181)/(OFFSET($C176,-$A180,$A181)))),
MAX(0,P181-(OFFSET($C181,0,$A181)/(OFFSET($C176,-$A180,$A181))))),0))</f>
        <v>4.803766900236349</v>
      </c>
      <c r="R181" s="1348">
        <f t="shared" ref="R181:R194" ca="1" si="237">IF(Q205="n/a",Q181,IFERROR(IF((OFFSET($C181,0,$A181))&lt;0,
MIN(0,Q181-(OFFSET($C181,0,$A181)/(OFFSET($C176,-$A180,$A181)))),
MAX(0,Q181-(OFFSET($C181,0,$A181)/(OFFSET($C176,-$A180,$A181))))),0))</f>
        <v>4.5799127089282159</v>
      </c>
      <c r="S181" s="1348">
        <f t="shared" ref="S181:S195" ca="1" si="238">IF(R205="n/a",R181,IFERROR(IF((OFFSET($C181,0,$A181))&lt;0,
MIN(0,R181-(OFFSET($C181,0,$A181)/(OFFSET($C176,-$A180,$A181)))),
MAX(0,R181-(OFFSET($C181,0,$A181)/(OFFSET($C176,-$A180,$A181))))),0))</f>
        <v>4.3560585176200828</v>
      </c>
      <c r="T181" s="1348">
        <f t="shared" ref="T181:T196" ca="1" si="239">IF(S205="n/a",S181,IFERROR(IF((OFFSET($C181,0,$A181))&lt;0,
MIN(0,S181-(OFFSET($C181,0,$A181)/(OFFSET($C176,-$A180,$A181)))),
MAX(0,S181-(OFFSET($C181,0,$A181)/(OFFSET($C176,-$A180,$A181))))),0))</f>
        <v>4.1322043263119497</v>
      </c>
      <c r="U181" s="1348">
        <f t="shared" ref="U181:U197" ca="1" si="240">IF(T205="n/a",T181,IFERROR(IF((OFFSET($C181,0,$A181))&lt;0,
MIN(0,T181-(OFFSET($C181,0,$A181)/(OFFSET($C176,-$A180,$A181)))),
MAX(0,T181-(OFFSET($C181,0,$A181)/(OFFSET($C176,-$A180,$A181))))),0))</f>
        <v>3.9083501350038166</v>
      </c>
      <c r="V181" s="1348">
        <f t="shared" ref="V181:V198" ca="1" si="241">IF(U205="n/a",U181,IFERROR(IF((OFFSET($C181,0,$A181))&lt;0,
MIN(0,U181-(OFFSET($C181,0,$A181)/(OFFSET($C176,-$A180,$A181)))),
MAX(0,U181-(OFFSET($C181,0,$A181)/(OFFSET($C176,-$A180,$A181))))),0))</f>
        <v>3.6844959436956835</v>
      </c>
      <c r="W181" s="1348">
        <f t="shared" ref="W181:W199" ca="1" si="242">IF(V205="n/a",V181,IFERROR(IF((OFFSET($C181,0,$A181))&lt;0,
MIN(0,V181-(OFFSET($C181,0,$A181)/(OFFSET($C176,-$A180,$A181)))),
MAX(0,V181-(OFFSET($C181,0,$A181)/(OFFSET($C176,-$A180,$A181))))),0))</f>
        <v>3.4606417523875503</v>
      </c>
    </row>
    <row r="182" spans="1:26" hidden="1" outlineLevel="1">
      <c r="A182" s="225">
        <v>1</v>
      </c>
      <c r="B182" s="212" t="str">
        <f t="shared" ref="B182:B200" ca="1" si="243">"Depreciated Net Capex "&amp;OFFSET($C$6,0,A182)</f>
        <v>Depreciated Net Capex 2016-17</v>
      </c>
      <c r="C182" s="1349"/>
      <c r="D182" s="1350">
        <f>(D176*((1+D$11)^0.5)/D$10)</f>
        <v>0</v>
      </c>
      <c r="E182" s="1348">
        <f ca="1">IF(D206="n/a",D182,IFERROR(IF((OFFSET($C182,0,$A182))&lt;0,
MIN(0,D182-(OFFSET($C182,0,$A182)/(OFFSET($C177,-$A181,$A182)))),
MAX(0,D182-(OFFSET($C182,0,$A182)/(OFFSET($C177,-$A181,$A182))))),0))</f>
        <v>0</v>
      </c>
      <c r="F182" s="1348">
        <f t="shared" ca="1" si="225"/>
        <v>0</v>
      </c>
      <c r="G182" s="1348">
        <f t="shared" ca="1" si="226"/>
        <v>0</v>
      </c>
      <c r="H182" s="1348">
        <f t="shared" ca="1" si="227"/>
        <v>0</v>
      </c>
      <c r="I182" s="1348">
        <f t="shared" ca="1" si="228"/>
        <v>0</v>
      </c>
      <c r="J182" s="1348">
        <f t="shared" ca="1" si="229"/>
        <v>0</v>
      </c>
      <c r="K182" s="1348">
        <f t="shared" ca="1" si="230"/>
        <v>0</v>
      </c>
      <c r="L182" s="1348">
        <f t="shared" ca="1" si="231"/>
        <v>0</v>
      </c>
      <c r="M182" s="1348">
        <f t="shared" ca="1" si="232"/>
        <v>0</v>
      </c>
      <c r="N182" s="1348">
        <f t="shared" ca="1" si="233"/>
        <v>0</v>
      </c>
      <c r="O182" s="1348">
        <f t="shared" ca="1" si="234"/>
        <v>0</v>
      </c>
      <c r="P182" s="1348">
        <f t="shared" ca="1" si="235"/>
        <v>0</v>
      </c>
      <c r="Q182" s="1348">
        <f t="shared" ca="1" si="236"/>
        <v>0</v>
      </c>
      <c r="R182" s="1348">
        <f t="shared" ca="1" si="237"/>
        <v>0</v>
      </c>
      <c r="S182" s="1348">
        <f t="shared" ca="1" si="238"/>
        <v>0</v>
      </c>
      <c r="T182" s="1348">
        <f t="shared" ca="1" si="239"/>
        <v>0</v>
      </c>
      <c r="U182" s="1348">
        <f t="shared" ca="1" si="240"/>
        <v>0</v>
      </c>
      <c r="V182" s="1348">
        <f t="shared" ca="1" si="241"/>
        <v>0</v>
      </c>
      <c r="W182" s="1348">
        <f t="shared" ca="1" si="242"/>
        <v>0</v>
      </c>
    </row>
    <row r="183" spans="1:26" hidden="1" outlineLevel="1">
      <c r="A183" s="225">
        <v>2</v>
      </c>
      <c r="B183" s="212" t="str">
        <f t="shared" ca="1" si="243"/>
        <v>Depreciated Net Capex 2017-18</v>
      </c>
      <c r="C183" s="1351"/>
      <c r="D183" s="1352"/>
      <c r="E183" s="1350">
        <f>(E176*((1+E$11)^0.5)/E$10)</f>
        <v>0</v>
      </c>
      <c r="F183" s="1348">
        <f ca="1">IF(E207="n/a",E183,IFERROR(IF((OFFSET($C183,0,$A183))&lt;0,
MIN(0,E183-(OFFSET($C183,0,$A183)/(OFFSET($C178,-$A182,$A183)))),
MAX(0,E183-(OFFSET($C183,0,$A183)/(OFFSET($C178,-$A182,$A183))))),0))</f>
        <v>0</v>
      </c>
      <c r="G183" s="1348">
        <f t="shared" ca="1" si="226"/>
        <v>0</v>
      </c>
      <c r="H183" s="1348">
        <f t="shared" ca="1" si="227"/>
        <v>0</v>
      </c>
      <c r="I183" s="1348">
        <f t="shared" ca="1" si="228"/>
        <v>0</v>
      </c>
      <c r="J183" s="1348">
        <f t="shared" ca="1" si="229"/>
        <v>0</v>
      </c>
      <c r="K183" s="1348">
        <f t="shared" ca="1" si="230"/>
        <v>0</v>
      </c>
      <c r="L183" s="1348">
        <f t="shared" ca="1" si="231"/>
        <v>0</v>
      </c>
      <c r="M183" s="1348">
        <f t="shared" ca="1" si="232"/>
        <v>0</v>
      </c>
      <c r="N183" s="1348">
        <f t="shared" ca="1" si="233"/>
        <v>0</v>
      </c>
      <c r="O183" s="1348">
        <f t="shared" ca="1" si="234"/>
        <v>0</v>
      </c>
      <c r="P183" s="1348">
        <f t="shared" ca="1" si="235"/>
        <v>0</v>
      </c>
      <c r="Q183" s="1348">
        <f t="shared" ca="1" si="236"/>
        <v>0</v>
      </c>
      <c r="R183" s="1348">
        <f t="shared" ca="1" si="237"/>
        <v>0</v>
      </c>
      <c r="S183" s="1348">
        <f t="shared" ca="1" si="238"/>
        <v>0</v>
      </c>
      <c r="T183" s="1348">
        <f t="shared" ca="1" si="239"/>
        <v>0</v>
      </c>
      <c r="U183" s="1348">
        <f t="shared" ca="1" si="240"/>
        <v>0</v>
      </c>
      <c r="V183" s="1348">
        <f t="shared" ca="1" si="241"/>
        <v>0</v>
      </c>
      <c r="W183" s="1348">
        <f t="shared" ca="1" si="242"/>
        <v>0</v>
      </c>
      <c r="X183" s="228"/>
    </row>
    <row r="184" spans="1:26" hidden="1" outlineLevel="1">
      <c r="A184" s="225">
        <v>3</v>
      </c>
      <c r="B184" s="212" t="str">
        <f t="shared" ca="1" si="243"/>
        <v>Depreciated Net Capex 2018-19</v>
      </c>
      <c r="C184" s="1351"/>
      <c r="D184" s="1351"/>
      <c r="E184" s="1352"/>
      <c r="F184" s="1353">
        <f>($F176*((1+F$11)^0.5)/F$10)</f>
        <v>0</v>
      </c>
      <c r="G184" s="1348">
        <f ca="1">IF(F208="n/a",F184,IFERROR(IF((OFFSET($C184,0,$A184))&lt;0,
MIN(0,F184-(OFFSET($C184,0,$A184)/(OFFSET($C179,-$A183,$A184)))),
MAX(0,F184-(OFFSET($C184,0,$A184)/(OFFSET($C179,-$A183,$A184))))),0))</f>
        <v>0</v>
      </c>
      <c r="H184" s="1348">
        <f t="shared" ca="1" si="227"/>
        <v>0</v>
      </c>
      <c r="I184" s="1348">
        <f t="shared" ca="1" si="228"/>
        <v>0</v>
      </c>
      <c r="J184" s="1348">
        <f t="shared" ca="1" si="229"/>
        <v>0</v>
      </c>
      <c r="K184" s="1348">
        <f t="shared" ca="1" si="230"/>
        <v>0</v>
      </c>
      <c r="L184" s="1348">
        <f t="shared" ca="1" si="231"/>
        <v>0</v>
      </c>
      <c r="M184" s="1348">
        <f t="shared" ca="1" si="232"/>
        <v>0</v>
      </c>
      <c r="N184" s="1348">
        <f t="shared" ca="1" si="233"/>
        <v>0</v>
      </c>
      <c r="O184" s="1348">
        <f t="shared" ca="1" si="234"/>
        <v>0</v>
      </c>
      <c r="P184" s="1348">
        <f t="shared" ca="1" si="235"/>
        <v>0</v>
      </c>
      <c r="Q184" s="1348">
        <f t="shared" ca="1" si="236"/>
        <v>0</v>
      </c>
      <c r="R184" s="1348">
        <f t="shared" ca="1" si="237"/>
        <v>0</v>
      </c>
      <c r="S184" s="1348">
        <f t="shared" ca="1" si="238"/>
        <v>0</v>
      </c>
      <c r="T184" s="1348">
        <f t="shared" ca="1" si="239"/>
        <v>0</v>
      </c>
      <c r="U184" s="1348">
        <f t="shared" ca="1" si="240"/>
        <v>0</v>
      </c>
      <c r="V184" s="1348">
        <f t="shared" ca="1" si="241"/>
        <v>0</v>
      </c>
      <c r="W184" s="1348">
        <f t="shared" ca="1" si="242"/>
        <v>0</v>
      </c>
      <c r="X184" s="228"/>
      <c r="Y184" s="228"/>
    </row>
    <row r="185" spans="1:26" hidden="1" outlineLevel="1">
      <c r="A185" s="225">
        <v>4</v>
      </c>
      <c r="B185" s="212" t="str">
        <f t="shared" ca="1" si="243"/>
        <v>Depreciated Net Capex 2019-20</v>
      </c>
      <c r="C185" s="1351"/>
      <c r="D185" s="1351"/>
      <c r="E185" s="1351"/>
      <c r="F185" s="1352"/>
      <c r="G185" s="1353">
        <f>($G176*((1+G$11)^0.5)/G$10)</f>
        <v>0</v>
      </c>
      <c r="H185" s="1348">
        <f ca="1">IF(G209="n/a",G185,IFERROR(IF((OFFSET($C185,0,$A185))&lt;0,
MIN(0,G185-(OFFSET($C185,0,$A185)/(OFFSET($C180,-$A184,$A185)))),
MAX(0,G185-(OFFSET($C185,0,$A185)/(OFFSET($C180,-$A184,$A185))))),0))</f>
        <v>0</v>
      </c>
      <c r="I185" s="1348">
        <f t="shared" ca="1" si="228"/>
        <v>0</v>
      </c>
      <c r="J185" s="1348">
        <f t="shared" ca="1" si="229"/>
        <v>0</v>
      </c>
      <c r="K185" s="1348">
        <f t="shared" ca="1" si="230"/>
        <v>0</v>
      </c>
      <c r="L185" s="1348">
        <f t="shared" ca="1" si="231"/>
        <v>0</v>
      </c>
      <c r="M185" s="1348">
        <f t="shared" ca="1" si="232"/>
        <v>0</v>
      </c>
      <c r="N185" s="1348">
        <f t="shared" ca="1" si="233"/>
        <v>0</v>
      </c>
      <c r="O185" s="1348">
        <f t="shared" ca="1" si="234"/>
        <v>0</v>
      </c>
      <c r="P185" s="1348">
        <f t="shared" ca="1" si="235"/>
        <v>0</v>
      </c>
      <c r="Q185" s="1348">
        <f t="shared" ca="1" si="236"/>
        <v>0</v>
      </c>
      <c r="R185" s="1348">
        <f t="shared" ca="1" si="237"/>
        <v>0</v>
      </c>
      <c r="S185" s="1348">
        <f t="shared" ca="1" si="238"/>
        <v>0</v>
      </c>
      <c r="T185" s="1348">
        <f t="shared" ca="1" si="239"/>
        <v>0</v>
      </c>
      <c r="U185" s="1348">
        <f t="shared" ca="1" si="240"/>
        <v>0</v>
      </c>
      <c r="V185" s="1348">
        <f t="shared" ca="1" si="241"/>
        <v>0</v>
      </c>
      <c r="W185" s="1348">
        <f t="shared" ca="1" si="242"/>
        <v>0</v>
      </c>
      <c r="X185" s="228"/>
      <c r="Y185" s="228"/>
      <c r="Z185" s="228"/>
    </row>
    <row r="186" spans="1:26" hidden="1" outlineLevel="1">
      <c r="A186" s="225">
        <v>5</v>
      </c>
      <c r="B186" s="212" t="str">
        <f t="shared" ca="1" si="243"/>
        <v>Depreciated Net Capex 2020-21</v>
      </c>
      <c r="C186" s="1351"/>
      <c r="D186" s="1351"/>
      <c r="E186" s="1351"/>
      <c r="F186" s="1351"/>
      <c r="G186" s="1352"/>
      <c r="H186" s="1353">
        <f>(H176*((1+H$11)^0.5)/H$10)</f>
        <v>0</v>
      </c>
      <c r="I186" s="1348">
        <f ca="1">IF(H210="n/a",H186,IFERROR(IF((OFFSET($C186,0,$A186))&lt;0,
MIN(0,H186-(OFFSET($C186,0,$A186)/(OFFSET($C181,-$A185,$A186)))),
MAX(0,H186-(OFFSET($C186,0,$A186)/(OFFSET($C181,-$A185,$A186))))),0))</f>
        <v>0</v>
      </c>
      <c r="J186" s="1348">
        <f t="shared" ca="1" si="229"/>
        <v>0</v>
      </c>
      <c r="K186" s="1348">
        <f t="shared" ca="1" si="230"/>
        <v>0</v>
      </c>
      <c r="L186" s="1348">
        <f t="shared" ca="1" si="231"/>
        <v>0</v>
      </c>
      <c r="M186" s="1348">
        <f t="shared" ca="1" si="232"/>
        <v>0</v>
      </c>
      <c r="N186" s="1348">
        <f t="shared" ca="1" si="233"/>
        <v>0</v>
      </c>
      <c r="O186" s="1348">
        <f t="shared" ca="1" si="234"/>
        <v>0</v>
      </c>
      <c r="P186" s="1348">
        <f t="shared" ca="1" si="235"/>
        <v>0</v>
      </c>
      <c r="Q186" s="1348">
        <f t="shared" ca="1" si="236"/>
        <v>0</v>
      </c>
      <c r="R186" s="1348">
        <f t="shared" ca="1" si="237"/>
        <v>0</v>
      </c>
      <c r="S186" s="1348">
        <f t="shared" ca="1" si="238"/>
        <v>0</v>
      </c>
      <c r="T186" s="1348">
        <f t="shared" ca="1" si="239"/>
        <v>0</v>
      </c>
      <c r="U186" s="1348">
        <f t="shared" ca="1" si="240"/>
        <v>0</v>
      </c>
      <c r="V186" s="1348">
        <f t="shared" ca="1" si="241"/>
        <v>0</v>
      </c>
      <c r="W186" s="1348">
        <f t="shared" ca="1" si="242"/>
        <v>0</v>
      </c>
      <c r="X186" s="228"/>
      <c r="Y186" s="228"/>
      <c r="Z186" s="228"/>
    </row>
    <row r="187" spans="1:26" hidden="1" outlineLevel="1">
      <c r="A187" s="225">
        <v>6</v>
      </c>
      <c r="B187" s="212" t="str">
        <f t="shared" ca="1" si="243"/>
        <v>Depreciated Net Capex 2021-22</v>
      </c>
      <c r="C187" s="1351"/>
      <c r="D187" s="1351"/>
      <c r="E187" s="1351"/>
      <c r="F187" s="1351"/>
      <c r="G187" s="1351"/>
      <c r="H187" s="1352"/>
      <c r="I187" s="1353">
        <f>(I176*((1+I$11)^0.5)/I$10)</f>
        <v>0.39114156088463314</v>
      </c>
      <c r="J187" s="1348">
        <f ca="1">IF(I211="n/a",I187,IFERROR(IF((OFFSET($C187,0,$A187))&lt;0,
MIN(0,I187-(OFFSET($C187,0,$A187)/(OFFSET($C182,-$A186,$A187)))),
MAX(0,I187-(OFFSET($C187,0,$A187)/(OFFSET($C182,-$A186,$A187))))),0))</f>
        <v>0.38331872966694047</v>
      </c>
      <c r="K187" s="1348">
        <f t="shared" ca="1" si="230"/>
        <v>0.3754958984492478</v>
      </c>
      <c r="L187" s="1348">
        <f t="shared" ca="1" si="231"/>
        <v>0.36767306723155513</v>
      </c>
      <c r="M187" s="1348">
        <f t="shared" ca="1" si="232"/>
        <v>0.35985023601386246</v>
      </c>
      <c r="N187" s="1348">
        <f t="shared" ca="1" si="233"/>
        <v>0.35202740479616978</v>
      </c>
      <c r="O187" s="1348">
        <f t="shared" ca="1" si="234"/>
        <v>0.34420457357847711</v>
      </c>
      <c r="P187" s="1348">
        <f t="shared" ca="1" si="235"/>
        <v>0.33638174236078444</v>
      </c>
      <c r="Q187" s="1348">
        <f t="shared" ca="1" si="236"/>
        <v>0.32855891114309177</v>
      </c>
      <c r="R187" s="1348">
        <f t="shared" ca="1" si="237"/>
        <v>0.3207360799253991</v>
      </c>
      <c r="S187" s="1348">
        <f t="shared" ca="1" si="238"/>
        <v>0.31291324870770643</v>
      </c>
      <c r="T187" s="1348">
        <f t="shared" ca="1" si="239"/>
        <v>0.30509041749001375</v>
      </c>
      <c r="U187" s="1348">
        <f t="shared" ca="1" si="240"/>
        <v>0.29726758627232108</v>
      </c>
      <c r="V187" s="1348">
        <f t="shared" ca="1" si="241"/>
        <v>0.28944475505462841</v>
      </c>
      <c r="W187" s="1348">
        <f t="shared" ca="1" si="242"/>
        <v>0.28162192383693574</v>
      </c>
      <c r="X187" s="228"/>
      <c r="Y187" s="228"/>
      <c r="Z187" s="228"/>
    </row>
    <row r="188" spans="1:26" hidden="1" outlineLevel="1">
      <c r="A188" s="225">
        <v>7</v>
      </c>
      <c r="B188" s="212" t="str">
        <f t="shared" ca="1" si="243"/>
        <v>Depreciated Net Capex 2022-23</v>
      </c>
      <c r="C188" s="1351"/>
      <c r="D188" s="1351"/>
      <c r="E188" s="1351"/>
      <c r="F188" s="1351"/>
      <c r="G188" s="1351"/>
      <c r="H188" s="1351"/>
      <c r="I188" s="1352"/>
      <c r="J188" s="1353">
        <f>(J176*((1+J$11)^0.5)/J$10)</f>
        <v>0</v>
      </c>
      <c r="K188" s="1348">
        <f ca="1">IF(J212="n/a",J188,IFERROR(IF((OFFSET($C188,0,$A188))&lt;0,
MIN(0,J188-(OFFSET($C188,0,$A188)/(OFFSET($C183,-$A187,$A188)))),
MAX(0,J188-(OFFSET($C188,0,$A188)/(OFFSET($C183,-$A187,$A188))))),0))</f>
        <v>0</v>
      </c>
      <c r="L188" s="1348">
        <f t="shared" ca="1" si="231"/>
        <v>0</v>
      </c>
      <c r="M188" s="1348">
        <f t="shared" ca="1" si="232"/>
        <v>0</v>
      </c>
      <c r="N188" s="1348">
        <f t="shared" ca="1" si="233"/>
        <v>0</v>
      </c>
      <c r="O188" s="1348">
        <f t="shared" ca="1" si="234"/>
        <v>0</v>
      </c>
      <c r="P188" s="1348">
        <f t="shared" ca="1" si="235"/>
        <v>0</v>
      </c>
      <c r="Q188" s="1348">
        <f t="shared" ca="1" si="236"/>
        <v>0</v>
      </c>
      <c r="R188" s="1348">
        <f t="shared" ca="1" si="237"/>
        <v>0</v>
      </c>
      <c r="S188" s="1348">
        <f t="shared" ca="1" si="238"/>
        <v>0</v>
      </c>
      <c r="T188" s="1348">
        <f t="shared" ca="1" si="239"/>
        <v>0</v>
      </c>
      <c r="U188" s="1348">
        <f t="shared" ca="1" si="240"/>
        <v>0</v>
      </c>
      <c r="V188" s="1348">
        <f t="shared" ca="1" si="241"/>
        <v>0</v>
      </c>
      <c r="W188" s="1348">
        <f t="shared" ca="1" si="242"/>
        <v>0</v>
      </c>
      <c r="X188" s="228"/>
      <c r="Y188" s="228"/>
      <c r="Z188" s="228"/>
    </row>
    <row r="189" spans="1:26" hidden="1" outlineLevel="1">
      <c r="A189" s="225">
        <v>8</v>
      </c>
      <c r="B189" s="212" t="str">
        <f t="shared" ca="1" si="243"/>
        <v>Depreciated Net Capex 2023-24</v>
      </c>
      <c r="C189" s="1351"/>
      <c r="D189" s="1351"/>
      <c r="E189" s="1351"/>
      <c r="F189" s="1351"/>
      <c r="G189" s="1351"/>
      <c r="H189" s="1351"/>
      <c r="I189" s="1351"/>
      <c r="J189" s="1352"/>
      <c r="K189" s="1353">
        <f>(K176*((1+K$11)^0.5)/K$10)</f>
        <v>0</v>
      </c>
      <c r="L189" s="1348">
        <f ca="1">IF(K213="n/a",K189,IFERROR(IF((OFFSET($C189,0,$A189))&lt;0,
MIN(0,K189-(OFFSET($C189,0,$A189)/(OFFSET($C184,-$A188,$A189)))),
MAX(0,K189-(OFFSET($C189,0,$A189)/(OFFSET($C184,-$A188,$A189))))),0))</f>
        <v>0</v>
      </c>
      <c r="M189" s="1348">
        <f t="shared" ca="1" si="232"/>
        <v>0</v>
      </c>
      <c r="N189" s="1348">
        <f t="shared" ca="1" si="233"/>
        <v>0</v>
      </c>
      <c r="O189" s="1348">
        <f t="shared" ca="1" si="234"/>
        <v>0</v>
      </c>
      <c r="P189" s="1348">
        <f t="shared" ca="1" si="235"/>
        <v>0</v>
      </c>
      <c r="Q189" s="1348">
        <f t="shared" ca="1" si="236"/>
        <v>0</v>
      </c>
      <c r="R189" s="1348">
        <f t="shared" ca="1" si="237"/>
        <v>0</v>
      </c>
      <c r="S189" s="1348">
        <f t="shared" ca="1" si="238"/>
        <v>0</v>
      </c>
      <c r="T189" s="1348">
        <f t="shared" ca="1" si="239"/>
        <v>0</v>
      </c>
      <c r="U189" s="1348">
        <f t="shared" ca="1" si="240"/>
        <v>0</v>
      </c>
      <c r="V189" s="1348">
        <f t="shared" ca="1" si="241"/>
        <v>0</v>
      </c>
      <c r="W189" s="1348">
        <f t="shared" ca="1" si="242"/>
        <v>0</v>
      </c>
      <c r="X189" s="228"/>
      <c r="Y189" s="228"/>
      <c r="Z189" s="228"/>
    </row>
    <row r="190" spans="1:26" hidden="1" outlineLevel="1">
      <c r="A190" s="225">
        <v>9</v>
      </c>
      <c r="B190" s="212" t="str">
        <f t="shared" ca="1" si="243"/>
        <v>Depreciated Net Capex 2024-25</v>
      </c>
      <c r="C190" s="1351"/>
      <c r="D190" s="1351"/>
      <c r="E190" s="1351"/>
      <c r="F190" s="1351"/>
      <c r="G190" s="1351"/>
      <c r="H190" s="1351"/>
      <c r="I190" s="1351"/>
      <c r="J190" s="1351"/>
      <c r="K190" s="1352"/>
      <c r="L190" s="1353">
        <f>(L176*((1+L$11)^0.5)/L$10)</f>
        <v>0</v>
      </c>
      <c r="M190" s="1348">
        <f ca="1">IF(L214="n/a",L190,IFERROR(IF((OFFSET($C190,0,$A190))&lt;0,
MIN(0,L190-(OFFSET($C190,0,$A190)/(OFFSET($C185,-$A189,$A190)))),
MAX(0,L190-(OFFSET($C190,0,$A190)/(OFFSET($C185,-$A189,$A190))))),0))</f>
        <v>0</v>
      </c>
      <c r="N190" s="1348">
        <f t="shared" ca="1" si="233"/>
        <v>0</v>
      </c>
      <c r="O190" s="1348">
        <f t="shared" ca="1" si="234"/>
        <v>0</v>
      </c>
      <c r="P190" s="1348">
        <f t="shared" ca="1" si="235"/>
        <v>0</v>
      </c>
      <c r="Q190" s="1348">
        <f t="shared" ca="1" si="236"/>
        <v>0</v>
      </c>
      <c r="R190" s="1348">
        <f t="shared" ca="1" si="237"/>
        <v>0</v>
      </c>
      <c r="S190" s="1348">
        <f t="shared" ca="1" si="238"/>
        <v>0</v>
      </c>
      <c r="T190" s="1348">
        <f t="shared" ca="1" si="239"/>
        <v>0</v>
      </c>
      <c r="U190" s="1348">
        <f t="shared" ca="1" si="240"/>
        <v>0</v>
      </c>
      <c r="V190" s="1348">
        <f t="shared" ca="1" si="241"/>
        <v>0</v>
      </c>
      <c r="W190" s="1348">
        <f t="shared" ca="1" si="242"/>
        <v>0</v>
      </c>
      <c r="X190" s="228"/>
      <c r="Y190" s="228"/>
      <c r="Z190" s="228"/>
    </row>
    <row r="191" spans="1:26" hidden="1" outlineLevel="1">
      <c r="A191" s="225">
        <v>10</v>
      </c>
      <c r="B191" s="212" t="str">
        <f t="shared" ca="1" si="243"/>
        <v>Depreciated Net Capex 2025-26</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2026-27</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2027-28</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2028-29</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2029-30</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2030-31</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2031-32</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2032-33</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2033-34</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2034-35</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2035-36</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35.459356522049674</v>
      </c>
      <c r="D205" s="1348">
        <f t="shared" ref="D205" ca="1" si="263">IF(C205="n/a","n/a",MAX(0,C205-1))</f>
        <v>34.459356522049674</v>
      </c>
      <c r="E205" s="1348">
        <f t="shared" ref="E205:E206" ca="1" si="264">IF(D205="n/a","n/a",MAX(0,D205-1))</f>
        <v>33.459356522049674</v>
      </c>
      <c r="F205" s="1348">
        <f t="shared" ref="F205:F207" ca="1" si="265">IF(E205="n/a","n/a",MAX(0,E205-1))</f>
        <v>32.459356522049674</v>
      </c>
      <c r="G205" s="1348">
        <f t="shared" ref="G205:G208" ca="1" si="266">IF(F205="n/a","n/a",MAX(0,F205-1))</f>
        <v>31.459356522049674</v>
      </c>
      <c r="H205" s="1348">
        <f t="shared" ref="H205:H209" ca="1" si="267">IF(G205="n/a","n/a",MAX(0,G205-1))</f>
        <v>30.459356522049674</v>
      </c>
      <c r="I205" s="1348">
        <f t="shared" ref="I205:I210" ca="1" si="268">IF(H205="n/a","n/a",MAX(0,H205-1))</f>
        <v>29.459356522049674</v>
      </c>
      <c r="J205" s="1348">
        <f t="shared" ref="J205:J211" ca="1" si="269">IF(I205="n/a","n/a",MAX(0,I205-1))</f>
        <v>28.459356522049674</v>
      </c>
      <c r="K205" s="1348">
        <f t="shared" ref="K205:K212" ca="1" si="270">IF(J205="n/a","n/a",MAX(0,J205-1))</f>
        <v>27.459356522049674</v>
      </c>
      <c r="L205" s="1348">
        <f t="shared" ref="L205:L213" ca="1" si="271">IF(K205="n/a","n/a",MAX(0,K205-1))</f>
        <v>26.459356522049674</v>
      </c>
      <c r="M205" s="1348">
        <f t="shared" ref="M205:M214" ca="1" si="272">IF(L205="n/a","n/a",MAX(0,L205-1))</f>
        <v>25.459356522049674</v>
      </c>
      <c r="N205" s="1348">
        <f t="shared" ref="N205:N215" ca="1" si="273">IF(M205="n/a","n/a",MAX(0,M205-1))</f>
        <v>24.459356522049674</v>
      </c>
      <c r="O205" s="1348">
        <f t="shared" ref="O205:O216" ca="1" si="274">IF(N205="n/a","n/a",MAX(0,N205-1))</f>
        <v>23.459356522049674</v>
      </c>
      <c r="P205" s="1348">
        <f t="shared" ref="P205:P217" ca="1" si="275">IF(O205="n/a","n/a",MAX(0,O205-1))</f>
        <v>22.459356522049674</v>
      </c>
      <c r="Q205" s="1348">
        <f t="shared" ref="Q205:Q218" ca="1" si="276">IF(P205="n/a","n/a",MAX(0,P205-1))</f>
        <v>21.459356522049674</v>
      </c>
      <c r="R205" s="1348">
        <f t="shared" ref="R205:R219" ca="1" si="277">IF(Q205="n/a","n/a",MAX(0,Q205-1))</f>
        <v>20.459356522049674</v>
      </c>
      <c r="S205" s="1348">
        <f t="shared" ref="S205:S220" ca="1" si="278">IF(R205="n/a","n/a",MAX(0,R205-1))</f>
        <v>19.459356522049674</v>
      </c>
      <c r="T205" s="1348">
        <f t="shared" ref="T205:T221" ca="1" si="279">IF(S205="n/a","n/a",MAX(0,S205-1))</f>
        <v>18.459356522049674</v>
      </c>
      <c r="U205" s="1348">
        <f t="shared" ref="U205:U222" ca="1" si="280">IF(T205="n/a","n/a",MAX(0,T205-1))</f>
        <v>17.459356522049674</v>
      </c>
      <c r="V205" s="1348">
        <f t="shared" ref="V205:V223" ca="1" si="281">IF(U205="n/a","n/a",MAX(0,U205-1))</f>
        <v>16.459356522049674</v>
      </c>
      <c r="W205" s="1348">
        <f t="shared" ref="W205:W223" ca="1" si="282">IF(V205="n/a","n/a",MAX(0,V205-1))</f>
        <v>15.459356522049674</v>
      </c>
    </row>
    <row r="206" spans="1:26" hidden="1" outlineLevel="1">
      <c r="B206" s="212" t="str">
        <f t="shared" ref="B206:B225" ca="1" si="283">"RL Capex "&amp;OFFSET($C$6,0,A182)</f>
        <v>RL Capex 2016-17</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2017-18</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2018-19</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2019-20</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2020-21</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2021-22</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2022-23</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2023-24</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2024-25</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2025-26</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2026-27</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2027-28</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2028-29</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2029-30</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2030-31</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2031-32</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2032-33</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2033-34</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2034-35</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2035-36</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35.459356522049674</v>
      </c>
      <c r="D227" s="1356">
        <f ca="1">(IF(OR($C177&lt;&gt;"n/a",D177&lt;&gt;"n/a"),IF(SUM(D180:D202)=0,0,IF((SUMPRODUCT(D180:D202,D204:D226)/SUM(D180:D202))&lt;0,1,(SUMPRODUCT(D180:D202,D204:D226)/SUM(D180:D202)))),"n/a"))</f>
        <v>34.459356522049674</v>
      </c>
      <c r="E227" s="1356">
        <f t="shared" ref="E227:W227" ca="1" si="284">(IF(OR($C177&lt;&gt;"n/a",E177&lt;&gt;"n/a"),IF(SUM(E180:E202)=0,0,IF((SUMPRODUCT(E180:E202,E204:E226)/SUM(E180:E202))&lt;0,1,(SUMPRODUCT(E180:E202,E204:E226)/SUM(E180:E202)))),"n/a"))</f>
        <v>33.459356522049674</v>
      </c>
      <c r="F227" s="1356">
        <f t="shared" ca="1" si="284"/>
        <v>32.459356522049674</v>
      </c>
      <c r="G227" s="1356">
        <f t="shared" ca="1" si="284"/>
        <v>31.459356522049674</v>
      </c>
      <c r="H227" s="1356">
        <f t="shared" ca="1" si="284"/>
        <v>30.459356522049674</v>
      </c>
      <c r="I227" s="1356">
        <f t="shared" ca="1" si="284"/>
        <v>30.6094561623194</v>
      </c>
      <c r="J227" s="1356">
        <f t="shared" ca="1" si="284"/>
        <v>29.625115720484661</v>
      </c>
      <c r="K227" s="1356">
        <f t="shared" ca="1" si="284"/>
        <v>28.641887742317984</v>
      </c>
      <c r="L227" s="1356">
        <f t="shared" ca="1" si="284"/>
        <v>27.659895138698644</v>
      </c>
      <c r="M227" s="1356">
        <f t="shared" ca="1" si="284"/>
        <v>26.679279619295947</v>
      </c>
      <c r="N227" s="1356">
        <f t="shared" ca="1" si="284"/>
        <v>25.700205429467292</v>
      </c>
      <c r="O227" s="1356">
        <f t="shared" ca="1" si="284"/>
        <v>24.72286401546528</v>
      </c>
      <c r="P227" s="1356">
        <f t="shared" ca="1" si="284"/>
        <v>23.7474798986166</v>
      </c>
      <c r="Q227" s="1356">
        <f t="shared" ca="1" si="284"/>
        <v>22.774318140489854</v>
      </c>
      <c r="R227" s="1356">
        <f t="shared" ca="1" si="284"/>
        <v>21.803693925547655</v>
      </c>
      <c r="S227" s="1356">
        <f t="shared" ca="1" si="284"/>
        <v>20.835984996778588</v>
      </c>
      <c r="T227" s="1356">
        <f t="shared" ca="1" si="284"/>
        <v>19.871647987013734</v>
      </c>
      <c r="U227" s="1356">
        <f t="shared" ca="1" si="284"/>
        <v>18.911240148152949</v>
      </c>
      <c r="V227" s="1356">
        <f t="shared" ca="1" si="284"/>
        <v>17.955448681152458</v>
      </c>
      <c r="W227" s="1356">
        <f t="shared" ca="1" si="284"/>
        <v>17.005130960622925</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0.1049274748379232</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0</v>
      </c>
      <c r="G230" s="1344">
        <f>IF(LEFT(G$6,4)&lt;LEFT('RFM input'!$G$60,4),"enter input",IF(LEFT(G$6,4)&gt;LEFT('RFM input'!$Q$60,4),0,
INDEX('RFM input'!$G$223:$Q$272,$A230,MATCH(G$6,'RFM input'!$G$222:$Q$222,0))
-INDEX('RFM input'!$G$277:$Q$326,$A230,MATCH(G$6,'RFM input'!$G$222:$Q$222,0))))</f>
        <v>0</v>
      </c>
      <c r="H230" s="1344">
        <f>IF(LEFT(H$6,4)&lt;LEFT('RFM input'!$G$60,4),"enter input",IF(LEFT(H$6,4)&gt;LEFT('RFM input'!$Q$60,4),0,
INDEX('RFM input'!$G$223:$Q$272,$A230,MATCH(H$6,'RFM input'!$G$222:$Q$222,0))
-INDEX('RFM input'!$G$277:$Q$326,$A230,MATCH(H$6,'RFM input'!$G$222:$Q$222,0))))</f>
        <v>0</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78</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0.1049274748379232</v>
      </c>
      <c r="D235" s="1348">
        <f ca="1">IF(C259="n/a",C235,IFERROR(IF((OFFSET($C235,0,$A235))&lt;0,
MIN(0,C235-(OFFSET($C235,0,$A235)/(OFFSET($C230,-$A234,$A235)))),
MAX(0,C235-(OFFSET($C235,0,$A235)/(OFFSET($C230,-$A234,$A235))))),0))</f>
        <v>0.10358225080153957</v>
      </c>
      <c r="E235" s="1348">
        <f t="shared" ref="E235" ca="1" si="304">IF(D259="n/a",D235,IFERROR(IF((OFFSET($C235,0,$A235))&lt;0,
MIN(0,D235-(OFFSET($C235,0,$A235)/(OFFSET($C230,-$A234,$A235)))),
MAX(0,D235-(OFFSET($C235,0,$A235)/(OFFSET($C230,-$A234,$A235))))),0))</f>
        <v>0.10223702676515595</v>
      </c>
      <c r="F235" s="1348">
        <f t="shared" ref="F235:F236" ca="1" si="305">IF(E259="n/a",E235,IFERROR(IF((OFFSET($C235,0,$A235))&lt;0,
MIN(0,E235-(OFFSET($C235,0,$A235)/(OFFSET($C230,-$A234,$A235)))),
MAX(0,E235-(OFFSET($C235,0,$A235)/(OFFSET($C230,-$A234,$A235))))),0))</f>
        <v>0.10089180272877232</v>
      </c>
      <c r="G235" s="1348">
        <f t="shared" ref="G235:G237" ca="1" si="306">IF(F259="n/a",F235,IFERROR(IF((OFFSET($C235,0,$A235))&lt;0,
MIN(0,F235-(OFFSET($C235,0,$A235)/(OFFSET($C230,-$A234,$A235)))),
MAX(0,F235-(OFFSET($C235,0,$A235)/(OFFSET($C230,-$A234,$A235))))),0))</f>
        <v>9.9546578692388699E-2</v>
      </c>
      <c r="H235" s="1348">
        <f t="shared" ref="H235:H238" ca="1" si="307">IF(G259="n/a",G235,IFERROR(IF((OFFSET($C235,0,$A235))&lt;0,
MIN(0,G235-(OFFSET($C235,0,$A235)/(OFFSET($C230,-$A234,$A235)))),
MAX(0,G235-(OFFSET($C235,0,$A235)/(OFFSET($C230,-$A234,$A235))))),0))</f>
        <v>9.8201354656005074E-2</v>
      </c>
      <c r="I235" s="1348">
        <f t="shared" ref="I235:I239" ca="1" si="308">IF(H259="n/a",H235,IFERROR(IF((OFFSET($C235,0,$A235))&lt;0,
MIN(0,H235-(OFFSET($C235,0,$A235)/(OFFSET($C230,-$A234,$A235)))),
MAX(0,H235-(OFFSET($C235,0,$A235)/(OFFSET($C230,-$A234,$A235))))),0))</f>
        <v>9.685613061962145E-2</v>
      </c>
      <c r="J235" s="1348">
        <f t="shared" ref="J235:J240" ca="1" si="309">IF(I259="n/a",I235,IFERROR(IF((OFFSET($C235,0,$A235))&lt;0,
MIN(0,I235-(OFFSET($C235,0,$A235)/(OFFSET($C230,-$A234,$A235)))),
MAX(0,I235-(OFFSET($C235,0,$A235)/(OFFSET($C230,-$A234,$A235))))),0))</f>
        <v>9.5510906583237826E-2</v>
      </c>
      <c r="K235" s="1348">
        <f t="shared" ref="K235:K241" ca="1" si="310">IF(J259="n/a",J235,IFERROR(IF((OFFSET($C235,0,$A235))&lt;0,
MIN(0,J235-(OFFSET($C235,0,$A235)/(OFFSET($C230,-$A234,$A235)))),
MAX(0,J235-(OFFSET($C235,0,$A235)/(OFFSET($C230,-$A234,$A235))))),0))</f>
        <v>9.4165682546854201E-2</v>
      </c>
      <c r="L235" s="1348">
        <f t="shared" ref="L235:L242" ca="1" si="311">IF(K259="n/a",K235,IFERROR(IF((OFFSET($C235,0,$A235))&lt;0,
MIN(0,K235-(OFFSET($C235,0,$A235)/(OFFSET($C230,-$A234,$A235)))),
MAX(0,K235-(OFFSET($C235,0,$A235)/(OFFSET($C230,-$A234,$A235))))),0))</f>
        <v>9.2820458510470577E-2</v>
      </c>
      <c r="M235" s="1348">
        <f t="shared" ref="M235:M243" ca="1" si="312">IF(L259="n/a",L235,IFERROR(IF((OFFSET($C235,0,$A235))&lt;0,
MIN(0,L235-(OFFSET($C235,0,$A235)/(OFFSET($C230,-$A234,$A235)))),
MAX(0,L235-(OFFSET($C235,0,$A235)/(OFFSET($C230,-$A234,$A235))))),0))</f>
        <v>9.1475234474086953E-2</v>
      </c>
      <c r="N235" s="1348">
        <f t="shared" ref="N235:N244" ca="1" si="313">IF(M259="n/a",M235,IFERROR(IF((OFFSET($C235,0,$A235))&lt;0,
MIN(0,M235-(OFFSET($C235,0,$A235)/(OFFSET($C230,-$A234,$A235)))),
MAX(0,M235-(OFFSET($C235,0,$A235)/(OFFSET($C230,-$A234,$A235))))),0))</f>
        <v>9.0130010437703328E-2</v>
      </c>
      <c r="O235" s="1348">
        <f t="shared" ref="O235:O245" ca="1" si="314">IF(N259="n/a",N235,IFERROR(IF((OFFSET($C235,0,$A235))&lt;0,
MIN(0,N235-(OFFSET($C235,0,$A235)/(OFFSET($C230,-$A234,$A235)))),
MAX(0,N235-(OFFSET($C235,0,$A235)/(OFFSET($C230,-$A234,$A235))))),0))</f>
        <v>8.8784786401319704E-2</v>
      </c>
      <c r="P235" s="1348">
        <f t="shared" ref="P235:P246" ca="1" si="315">IF(O259="n/a",O235,IFERROR(IF((OFFSET($C235,0,$A235))&lt;0,
MIN(0,O235-(OFFSET($C235,0,$A235)/(OFFSET($C230,-$A234,$A235)))),
MAX(0,O235-(OFFSET($C235,0,$A235)/(OFFSET($C230,-$A234,$A235))))),0))</f>
        <v>8.743956236493608E-2</v>
      </c>
      <c r="Q235" s="1348">
        <f t="shared" ref="Q235:Q247" ca="1" si="316">IF(P259="n/a",P235,IFERROR(IF((OFFSET($C235,0,$A235))&lt;0,
MIN(0,P235-(OFFSET($C235,0,$A235)/(OFFSET($C230,-$A234,$A235)))),
MAX(0,P235-(OFFSET($C235,0,$A235)/(OFFSET($C230,-$A234,$A235))))),0))</f>
        <v>8.6094338328552455E-2</v>
      </c>
      <c r="R235" s="1348">
        <f t="shared" ref="R235:R248" ca="1" si="317">IF(Q259="n/a",Q235,IFERROR(IF((OFFSET($C235,0,$A235))&lt;0,
MIN(0,Q235-(OFFSET($C235,0,$A235)/(OFFSET($C230,-$A234,$A235)))),
MAX(0,Q235-(OFFSET($C235,0,$A235)/(OFFSET($C230,-$A234,$A235))))),0))</f>
        <v>8.4749114292168831E-2</v>
      </c>
      <c r="S235" s="1348">
        <f t="shared" ref="S235:S249" ca="1" si="318">IF(R259="n/a",R235,IFERROR(IF((OFFSET($C235,0,$A235))&lt;0,
MIN(0,R235-(OFFSET($C235,0,$A235)/(OFFSET($C230,-$A234,$A235)))),
MAX(0,R235-(OFFSET($C235,0,$A235)/(OFFSET($C230,-$A234,$A235))))),0))</f>
        <v>8.3403890255785207E-2</v>
      </c>
      <c r="T235" s="1348">
        <f t="shared" ref="T235:T250" ca="1" si="319">IF(S259="n/a",S235,IFERROR(IF((OFFSET($C235,0,$A235))&lt;0,
MIN(0,S235-(OFFSET($C235,0,$A235)/(OFFSET($C230,-$A234,$A235)))),
MAX(0,S235-(OFFSET($C235,0,$A235)/(OFFSET($C230,-$A234,$A235))))),0))</f>
        <v>8.2058666219401583E-2</v>
      </c>
      <c r="U235" s="1348">
        <f t="shared" ref="U235:U251" ca="1" si="320">IF(T259="n/a",T235,IFERROR(IF((OFFSET($C235,0,$A235))&lt;0,
MIN(0,T235-(OFFSET($C235,0,$A235)/(OFFSET($C230,-$A234,$A235)))),
MAX(0,T235-(OFFSET($C235,0,$A235)/(OFFSET($C230,-$A234,$A235))))),0))</f>
        <v>8.0713442183017958E-2</v>
      </c>
      <c r="V235" s="1348">
        <f t="shared" ref="V235:V252" ca="1" si="321">IF(U259="n/a",U235,IFERROR(IF((OFFSET($C235,0,$A235))&lt;0,
MIN(0,U235-(OFFSET($C235,0,$A235)/(OFFSET($C230,-$A234,$A235)))),
MAX(0,U235-(OFFSET($C235,0,$A235)/(OFFSET($C230,-$A234,$A235))))),0))</f>
        <v>7.9368218146634334E-2</v>
      </c>
      <c r="W235" s="1348">
        <f t="shared" ref="W235:W253" ca="1" si="322">IF(V259="n/a",V235,IFERROR(IF((OFFSET($C235,0,$A235))&lt;0,
MIN(0,V235-(OFFSET($C235,0,$A235)/(OFFSET($C230,-$A234,$A235)))),
MAX(0,V235-(OFFSET($C235,0,$A235)/(OFFSET($C230,-$A234,$A235))))),0))</f>
        <v>7.802299411025071E-2</v>
      </c>
    </row>
    <row r="236" spans="1:26" hidden="1" outlineLevel="1">
      <c r="A236" s="225">
        <v>1</v>
      </c>
      <c r="B236" s="212" t="str">
        <f t="shared" ref="B236:B254" ca="1" si="323">"Depreciated Net Capex "&amp;OFFSET($C$6,0,A236)</f>
        <v>Depreciated Net Capex 2016-17</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2017-18</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2018-19</v>
      </c>
      <c r="C238" s="1351"/>
      <c r="D238" s="1351"/>
      <c r="E238" s="1352"/>
      <c r="F238" s="1353">
        <f>($F230*((1+F$11)^0.5)/F$10)</f>
        <v>0</v>
      </c>
      <c r="G238" s="1348">
        <f ca="1">IF(F262="n/a",F238,IFERROR(IF((OFFSET($C238,0,$A238))&lt;0,
MIN(0,F238-(OFFSET($C238,0,$A238)/(OFFSET($C233,-$A237,$A238)))),
MAX(0,F238-(OFFSET($C238,0,$A238)/(OFFSET($C233,-$A237,$A238))))),0))</f>
        <v>0</v>
      </c>
      <c r="H238" s="1348">
        <f t="shared" ca="1" si="307"/>
        <v>0</v>
      </c>
      <c r="I238" s="1348">
        <f t="shared" ca="1" si="308"/>
        <v>0</v>
      </c>
      <c r="J238" s="1348">
        <f t="shared" ca="1" si="309"/>
        <v>0</v>
      </c>
      <c r="K238" s="1348">
        <f t="shared" ca="1" si="310"/>
        <v>0</v>
      </c>
      <c r="L238" s="1348">
        <f t="shared" ca="1" si="311"/>
        <v>0</v>
      </c>
      <c r="M238" s="1348">
        <f t="shared" ca="1" si="312"/>
        <v>0</v>
      </c>
      <c r="N238" s="1348">
        <f t="shared" ca="1" si="313"/>
        <v>0</v>
      </c>
      <c r="O238" s="1348">
        <f t="shared" ca="1" si="314"/>
        <v>0</v>
      </c>
      <c r="P238" s="1348">
        <f t="shared" ca="1" si="315"/>
        <v>0</v>
      </c>
      <c r="Q238" s="1348">
        <f t="shared" ca="1" si="316"/>
        <v>0</v>
      </c>
      <c r="R238" s="1348">
        <f t="shared" ca="1" si="317"/>
        <v>0</v>
      </c>
      <c r="S238" s="1348">
        <f t="shared" ca="1" si="318"/>
        <v>0</v>
      </c>
      <c r="T238" s="1348">
        <f t="shared" ca="1" si="319"/>
        <v>0</v>
      </c>
      <c r="U238" s="1348">
        <f t="shared" ca="1" si="320"/>
        <v>0</v>
      </c>
      <c r="V238" s="1348">
        <f t="shared" ca="1" si="321"/>
        <v>0</v>
      </c>
      <c r="W238" s="1348">
        <f t="shared" ca="1" si="322"/>
        <v>0</v>
      </c>
      <c r="X238" s="228"/>
      <c r="Y238" s="228"/>
    </row>
    <row r="239" spans="1:26" hidden="1" outlineLevel="1">
      <c r="A239" s="225">
        <v>4</v>
      </c>
      <c r="B239" s="212" t="str">
        <f t="shared" ca="1" si="323"/>
        <v>Depreciated Net Capex 2019-20</v>
      </c>
      <c r="C239" s="1351"/>
      <c r="D239" s="1351"/>
      <c r="E239" s="1351"/>
      <c r="F239" s="1352"/>
      <c r="G239" s="1353">
        <f>($G230*((1+G$11)^0.5)/G$10)</f>
        <v>0</v>
      </c>
      <c r="H239" s="1348">
        <f ca="1">IF(G263="n/a",G239,IFERROR(IF((OFFSET($C239,0,$A239))&lt;0,
MIN(0,G239-(OFFSET($C239,0,$A239)/(OFFSET($C234,-$A238,$A239)))),
MAX(0,G239-(OFFSET($C239,0,$A239)/(OFFSET($C234,-$A238,$A239))))),0))</f>
        <v>0</v>
      </c>
      <c r="I239" s="1348">
        <f t="shared" ca="1" si="308"/>
        <v>0</v>
      </c>
      <c r="J239" s="1348">
        <f t="shared" ca="1" si="309"/>
        <v>0</v>
      </c>
      <c r="K239" s="1348">
        <f t="shared" ca="1" si="310"/>
        <v>0</v>
      </c>
      <c r="L239" s="1348">
        <f t="shared" ca="1" si="311"/>
        <v>0</v>
      </c>
      <c r="M239" s="1348">
        <f t="shared" ca="1" si="312"/>
        <v>0</v>
      </c>
      <c r="N239" s="1348">
        <f t="shared" ca="1" si="313"/>
        <v>0</v>
      </c>
      <c r="O239" s="1348">
        <f t="shared" ca="1" si="314"/>
        <v>0</v>
      </c>
      <c r="P239" s="1348">
        <f t="shared" ca="1" si="315"/>
        <v>0</v>
      </c>
      <c r="Q239" s="1348">
        <f t="shared" ca="1" si="316"/>
        <v>0</v>
      </c>
      <c r="R239" s="1348">
        <f t="shared" ca="1" si="317"/>
        <v>0</v>
      </c>
      <c r="S239" s="1348">
        <f t="shared" ca="1" si="318"/>
        <v>0</v>
      </c>
      <c r="T239" s="1348">
        <f t="shared" ca="1" si="319"/>
        <v>0</v>
      </c>
      <c r="U239" s="1348">
        <f t="shared" ca="1" si="320"/>
        <v>0</v>
      </c>
      <c r="V239" s="1348">
        <f t="shared" ca="1" si="321"/>
        <v>0</v>
      </c>
      <c r="W239" s="1348">
        <f t="shared" ca="1" si="322"/>
        <v>0</v>
      </c>
      <c r="X239" s="228"/>
      <c r="Y239" s="228"/>
      <c r="Z239" s="228"/>
    </row>
    <row r="240" spans="1:26" hidden="1" outlineLevel="1">
      <c r="A240" s="225">
        <v>5</v>
      </c>
      <c r="B240" s="212" t="str">
        <f t="shared" ca="1" si="323"/>
        <v>Depreciated Net Capex 2020-21</v>
      </c>
      <c r="C240" s="1351"/>
      <c r="D240" s="1351"/>
      <c r="E240" s="1351"/>
      <c r="F240" s="1351"/>
      <c r="G240" s="1352"/>
      <c r="H240" s="1353">
        <f>(H230*((1+H$11)^0.5)/H$10)</f>
        <v>0</v>
      </c>
      <c r="I240" s="1348">
        <f ca="1">IF(H264="n/a",H240,IFERROR(IF((OFFSET($C240,0,$A240))&lt;0,
MIN(0,H240-(OFFSET($C240,0,$A240)/(OFFSET($C235,-$A239,$A240)))),
MAX(0,H240-(OFFSET($C240,0,$A240)/(OFFSET($C235,-$A239,$A240))))),0))</f>
        <v>0</v>
      </c>
      <c r="J240" s="1348">
        <f t="shared" ca="1" si="309"/>
        <v>0</v>
      </c>
      <c r="K240" s="1348">
        <f t="shared" ca="1" si="310"/>
        <v>0</v>
      </c>
      <c r="L240" s="1348">
        <f t="shared" ca="1" si="311"/>
        <v>0</v>
      </c>
      <c r="M240" s="1348">
        <f t="shared" ca="1" si="312"/>
        <v>0</v>
      </c>
      <c r="N240" s="1348">
        <f t="shared" ca="1" si="313"/>
        <v>0</v>
      </c>
      <c r="O240" s="1348">
        <f t="shared" ca="1" si="314"/>
        <v>0</v>
      </c>
      <c r="P240" s="1348">
        <f t="shared" ca="1" si="315"/>
        <v>0</v>
      </c>
      <c r="Q240" s="1348">
        <f t="shared" ca="1" si="316"/>
        <v>0</v>
      </c>
      <c r="R240" s="1348">
        <f t="shared" ca="1" si="317"/>
        <v>0</v>
      </c>
      <c r="S240" s="1348">
        <f t="shared" ca="1" si="318"/>
        <v>0</v>
      </c>
      <c r="T240" s="1348">
        <f t="shared" ca="1" si="319"/>
        <v>0</v>
      </c>
      <c r="U240" s="1348">
        <f t="shared" ca="1" si="320"/>
        <v>0</v>
      </c>
      <c r="V240" s="1348">
        <f t="shared" ca="1" si="321"/>
        <v>0</v>
      </c>
      <c r="W240" s="1348">
        <f t="shared" ca="1" si="322"/>
        <v>0</v>
      </c>
      <c r="X240" s="228"/>
      <c r="Y240" s="228"/>
      <c r="Z240" s="228"/>
    </row>
    <row r="241" spans="1:26" hidden="1" outlineLevel="1">
      <c r="A241" s="225">
        <v>6</v>
      </c>
      <c r="B241" s="212" t="str">
        <f t="shared" ca="1" si="323"/>
        <v>Depreciated Net Capex 2021-22</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2022-23</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2023-24</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2024-25</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2025-26</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2026-27</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2027-28</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2028-29</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2029-30</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2030-31</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2031-32</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2032-33</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2033-34</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2034-35</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2035-36</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78</v>
      </c>
      <c r="D259" s="1348">
        <f t="shared" ref="D259" ca="1" si="343">IF(C259="n/a","n/a",MAX(0,C259-1))</f>
        <v>77</v>
      </c>
      <c r="E259" s="1348">
        <f t="shared" ref="E259:E260" ca="1" si="344">IF(D259="n/a","n/a",MAX(0,D259-1))</f>
        <v>76</v>
      </c>
      <c r="F259" s="1348">
        <f t="shared" ref="F259:F261" ca="1" si="345">IF(E259="n/a","n/a",MAX(0,E259-1))</f>
        <v>75</v>
      </c>
      <c r="G259" s="1348">
        <f t="shared" ref="G259:G262" ca="1" si="346">IF(F259="n/a","n/a",MAX(0,F259-1))</f>
        <v>74</v>
      </c>
      <c r="H259" s="1348">
        <f t="shared" ref="H259:H263" ca="1" si="347">IF(G259="n/a","n/a",MAX(0,G259-1))</f>
        <v>73</v>
      </c>
      <c r="I259" s="1348">
        <f t="shared" ref="I259:I264" ca="1" si="348">IF(H259="n/a","n/a",MAX(0,H259-1))</f>
        <v>72</v>
      </c>
      <c r="J259" s="1348">
        <f t="shared" ref="J259:J265" ca="1" si="349">IF(I259="n/a","n/a",MAX(0,I259-1))</f>
        <v>71</v>
      </c>
      <c r="K259" s="1348">
        <f t="shared" ref="K259:K266" ca="1" si="350">IF(J259="n/a","n/a",MAX(0,J259-1))</f>
        <v>70</v>
      </c>
      <c r="L259" s="1348">
        <f t="shared" ref="L259:L267" ca="1" si="351">IF(K259="n/a","n/a",MAX(0,K259-1))</f>
        <v>69</v>
      </c>
      <c r="M259" s="1348">
        <f t="shared" ref="M259:M268" ca="1" si="352">IF(L259="n/a","n/a",MAX(0,L259-1))</f>
        <v>68</v>
      </c>
      <c r="N259" s="1348">
        <f t="shared" ref="N259:N269" ca="1" si="353">IF(M259="n/a","n/a",MAX(0,M259-1))</f>
        <v>67</v>
      </c>
      <c r="O259" s="1348">
        <f t="shared" ref="O259:O270" ca="1" si="354">IF(N259="n/a","n/a",MAX(0,N259-1))</f>
        <v>66</v>
      </c>
      <c r="P259" s="1348">
        <f t="shared" ref="P259:P271" ca="1" si="355">IF(O259="n/a","n/a",MAX(0,O259-1))</f>
        <v>65</v>
      </c>
      <c r="Q259" s="1348">
        <f t="shared" ref="Q259:Q272" ca="1" si="356">IF(P259="n/a","n/a",MAX(0,P259-1))</f>
        <v>64</v>
      </c>
      <c r="R259" s="1348">
        <f t="shared" ref="R259:R273" ca="1" si="357">IF(Q259="n/a","n/a",MAX(0,Q259-1))</f>
        <v>63</v>
      </c>
      <c r="S259" s="1348">
        <f t="shared" ref="S259:S274" ca="1" si="358">IF(R259="n/a","n/a",MAX(0,R259-1))</f>
        <v>62</v>
      </c>
      <c r="T259" s="1348">
        <f t="shared" ref="T259:T275" ca="1" si="359">IF(S259="n/a","n/a",MAX(0,S259-1))</f>
        <v>61</v>
      </c>
      <c r="U259" s="1348">
        <f t="shared" ref="U259:U276" ca="1" si="360">IF(T259="n/a","n/a",MAX(0,T259-1))</f>
        <v>60</v>
      </c>
      <c r="V259" s="1348">
        <f t="shared" ref="V259:V277" ca="1" si="361">IF(U259="n/a","n/a",MAX(0,U259-1))</f>
        <v>59</v>
      </c>
      <c r="W259" s="1348">
        <f t="shared" ref="W259:W277" ca="1" si="362">IF(V259="n/a","n/a",MAX(0,V259-1))</f>
        <v>58</v>
      </c>
    </row>
    <row r="260" spans="2:23" hidden="1" outlineLevel="1">
      <c r="B260" s="212" t="str">
        <f t="shared" ref="B260:B279" ca="1" si="363">"RL Capex "&amp;OFFSET($C$6,0,A236)</f>
        <v>RL Capex 2016-17</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2017-18</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2018-19</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2019-20</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2020-21</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2021-22</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2022-23</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2023-24</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2024-25</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2025-26</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2026-27</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2027-28</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2028-29</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2029-30</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2030-31</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2031-32</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2032-33</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2033-34</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2034-35</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2035-36</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77.999999999999986</v>
      </c>
      <c r="D281" s="1356">
        <f ca="1">(IF(OR($C231&lt;&gt;"n/a",D231&lt;&gt;"n/a"),IF(SUM(D234:D256)=0,0,IF((SUMPRODUCT(D234:D256,D258:D280)/SUM(D234:D256))&lt;0,1,(SUMPRODUCT(D234:D256,D258:D280)/SUM(D234:D256)))),"n/a"))</f>
        <v>77</v>
      </c>
      <c r="E281" s="1356">
        <f t="shared" ref="E281:W281" ca="1" si="364">(IF(OR($C231&lt;&gt;"n/a",E231&lt;&gt;"n/a"),IF(SUM(E234:E256)=0,0,IF((SUMPRODUCT(E234:E256,E258:E280)/SUM(E234:E256))&lt;0,1,(SUMPRODUCT(E234:E256,E258:E280)/SUM(E234:E256)))),"n/a"))</f>
        <v>76</v>
      </c>
      <c r="F281" s="1356">
        <f t="shared" ca="1" si="364"/>
        <v>75</v>
      </c>
      <c r="G281" s="1356">
        <f t="shared" ca="1" si="364"/>
        <v>74</v>
      </c>
      <c r="H281" s="1356">
        <f t="shared" ca="1" si="364"/>
        <v>73</v>
      </c>
      <c r="I281" s="1356">
        <f t="shared" ca="1" si="364"/>
        <v>72</v>
      </c>
      <c r="J281" s="1356">
        <f t="shared" ca="1" si="364"/>
        <v>71</v>
      </c>
      <c r="K281" s="1356">
        <f t="shared" ca="1" si="364"/>
        <v>70</v>
      </c>
      <c r="L281" s="1356">
        <f t="shared" ca="1" si="364"/>
        <v>69</v>
      </c>
      <c r="M281" s="1356">
        <f t="shared" ca="1" si="364"/>
        <v>68</v>
      </c>
      <c r="N281" s="1356">
        <f t="shared" ca="1" si="364"/>
        <v>67</v>
      </c>
      <c r="O281" s="1356">
        <f t="shared" ca="1" si="364"/>
        <v>66</v>
      </c>
      <c r="P281" s="1356">
        <f t="shared" ca="1" si="364"/>
        <v>65</v>
      </c>
      <c r="Q281" s="1356">
        <f t="shared" ca="1" si="364"/>
        <v>64</v>
      </c>
      <c r="R281" s="1356">
        <f t="shared" ca="1" si="364"/>
        <v>63</v>
      </c>
      <c r="S281" s="1356">
        <f t="shared" ca="1" si="364"/>
        <v>62</v>
      </c>
      <c r="T281" s="1356">
        <f t="shared" ca="1" si="364"/>
        <v>60.999999999999993</v>
      </c>
      <c r="U281" s="1356">
        <f t="shared" ca="1" si="364"/>
        <v>60</v>
      </c>
      <c r="V281" s="1356">
        <f t="shared" ca="1" si="364"/>
        <v>59</v>
      </c>
      <c r="W281" s="1356">
        <f t="shared" ca="1" si="364"/>
        <v>58</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1.8625275471170539</v>
      </c>
      <c r="D284" s="1344">
        <f>IF(LEFT(D$6,4)&lt;LEFT('RFM input'!$G$60,4),"enter input",IF(LEFT(D$6,4)&gt;LEFT('RFM input'!$Q$60,4),0,
INDEX('RFM input'!$G$223:$Q$272,$A284,MATCH(D$6,'RFM input'!$G$222:$Q$222,0))
-INDEX('RFM input'!$G$277:$Q$326,$A284,MATCH(D$6,'RFM input'!$G$222:$Q$222,0))))</f>
        <v>3.9570500000000002E-3</v>
      </c>
      <c r="E284" s="1344">
        <f>IF(LEFT(E$6,4)&lt;LEFT('RFM input'!$G$60,4),"enter input",IF(LEFT(E$6,4)&gt;LEFT('RFM input'!$Q$60,4),0,
INDEX('RFM input'!$G$223:$Q$272,$A284,MATCH(E$6,'RFM input'!$G$222:$Q$222,0))
-INDEX('RFM input'!$G$277:$Q$326,$A284,MATCH(E$6,'RFM input'!$G$222:$Q$222,0))))</f>
        <v>7.9947080000000004E-2</v>
      </c>
      <c r="F284" s="1344">
        <f>IF(LEFT(F$6,4)&lt;LEFT('RFM input'!$G$60,4),"enter input",IF(LEFT(F$6,4)&gt;LEFT('RFM input'!$Q$60,4),0,
INDEX('RFM input'!$G$223:$Q$272,$A284,MATCH(F$6,'RFM input'!$G$222:$Q$222,0))
-INDEX('RFM input'!$G$277:$Q$326,$A284,MATCH(F$6,'RFM input'!$G$222:$Q$222,0))))</f>
        <v>0.35065796000000005</v>
      </c>
      <c r="G284" s="1344">
        <f>IF(LEFT(G$6,4)&lt;LEFT('RFM input'!$G$60,4),"enter input",IF(LEFT(G$6,4)&gt;LEFT('RFM input'!$Q$60,4),0,
INDEX('RFM input'!$G$223:$Q$272,$A284,MATCH(G$6,'RFM input'!$G$222:$Q$222,0))
-INDEX('RFM input'!$G$277:$Q$326,$A284,MATCH(G$6,'RFM input'!$G$222:$Q$222,0))))</f>
        <v>0.23417114999999999</v>
      </c>
      <c r="H284" s="1344">
        <f>IF(LEFT(H$6,4)&lt;LEFT('RFM input'!$G$60,4),"enter input",IF(LEFT(H$6,4)&gt;LEFT('RFM input'!$Q$60,4),0,
INDEX('RFM input'!$G$223:$Q$272,$A284,MATCH(H$6,'RFM input'!$G$222:$Q$222,0))
-INDEX('RFM input'!$G$277:$Q$326,$A284,MATCH(H$6,'RFM input'!$G$222:$Q$222,0))))</f>
        <v>0</v>
      </c>
      <c r="I284" s="1344">
        <f>IF(LEFT(I$6,4)&lt;LEFT('RFM input'!$G$60,4),"enter input",IF(LEFT(I$6,4)&gt;LEFT('RFM input'!$Q$60,4),0,
INDEX('RFM input'!$G$223:$Q$272,$A284,MATCH(I$6,'RFM input'!$G$222:$Q$222,0))
-INDEX('RFM input'!$G$277:$Q$326,$A284,MATCH(I$6,'RFM input'!$G$222:$Q$222,0))))</f>
        <v>0</v>
      </c>
      <c r="J284" s="1344">
        <f>IF(LEFT(J$6,4)&lt;LEFT('RFM input'!$G$60,4),"enter input",IF(LEFT(J$6,4)&gt;LEFT('RFM input'!$Q$60,4),0,
INDEX('RFM input'!$G$223:$Q$272,$A284,MATCH(J$6,'RFM input'!$G$222:$Q$222,0))
-INDEX('RFM input'!$G$277:$Q$326,$A284,MATCH(J$6,'RFM input'!$G$222:$Q$222,0))))</f>
        <v>0</v>
      </c>
      <c r="K284" s="1344">
        <f>IF(LEFT(K$6,4)&lt;LEFT('RFM input'!$G$60,4),"enter input",IF(LEFT(K$6,4)&gt;LEFT('RFM input'!$Q$60,4),0,
INDEX('RFM input'!$G$223:$Q$272,$A284,MATCH(K$6,'RFM input'!$G$222:$Q$222,0))
-INDEX('RFM input'!$G$277:$Q$326,$A284,MATCH(K$6,'RFM input'!$G$222:$Q$222,0))))</f>
        <v>0</v>
      </c>
      <c r="L284" s="1344">
        <f>IF(LEFT(L$6,4)&lt;LEFT('RFM input'!$G$60,4),"enter input",IF(LEFT(L$6,4)&gt;LEFT('RFM input'!$Q$60,4),0,
INDEX('RFM input'!$G$223:$Q$272,$A284,MATCH(L$6,'RFM input'!$G$222:$Q$222,0))
-INDEX('RFM input'!$G$277:$Q$326,$A284,MATCH(L$6,'RFM input'!$G$222:$Q$222,0))))</f>
        <v>0</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13.618428242144818</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1.8625275471170539</v>
      </c>
      <c r="D289" s="1348">
        <f ca="1">IF(C313="n/a",C289,IFERROR(IF((OFFSET($C289,0,$A289))&lt;0,
MIN(0,C289-(OFFSET($C289,0,$A289)/(OFFSET($C284,-$A288,$A289)))),
MAX(0,C289-(OFFSET($C289,0,$A289)/(OFFSET($C284,-$A288,$A289))))),0))</f>
        <v>1.7257623115112952</v>
      </c>
      <c r="E289" s="1348">
        <f t="shared" ref="E289" ca="1" si="384">IF(D313="n/a",D289,IFERROR(IF((OFFSET($C289,0,$A289))&lt;0,
MIN(0,D289-(OFFSET($C289,0,$A289)/(OFFSET($C284,-$A288,$A289)))),
MAX(0,D289-(OFFSET($C289,0,$A289)/(OFFSET($C284,-$A288,$A289))))),0))</f>
        <v>1.5889970759055365</v>
      </c>
      <c r="F289" s="1348">
        <f t="shared" ref="F289:F290" ca="1" si="385">IF(E313="n/a",E289,IFERROR(IF((OFFSET($C289,0,$A289))&lt;0,
MIN(0,E289-(OFFSET($C289,0,$A289)/(OFFSET($C284,-$A288,$A289)))),
MAX(0,E289-(OFFSET($C289,0,$A289)/(OFFSET($C284,-$A288,$A289))))),0))</f>
        <v>1.4522318402997778</v>
      </c>
      <c r="G289" s="1348">
        <f t="shared" ref="G289:G291" ca="1" si="386">IF(F313="n/a",F289,IFERROR(IF((OFFSET($C289,0,$A289))&lt;0,
MIN(0,F289-(OFFSET($C289,0,$A289)/(OFFSET($C284,-$A288,$A289)))),
MAX(0,F289-(OFFSET($C289,0,$A289)/(OFFSET($C284,-$A288,$A289))))),0))</f>
        <v>1.3154666046940191</v>
      </c>
      <c r="H289" s="1348">
        <f t="shared" ref="H289:H292" ca="1" si="387">IF(G313="n/a",G289,IFERROR(IF((OFFSET($C289,0,$A289))&lt;0,
MIN(0,G289-(OFFSET($C289,0,$A289)/(OFFSET($C284,-$A288,$A289)))),
MAX(0,G289-(OFFSET($C289,0,$A289)/(OFFSET($C284,-$A288,$A289))))),0))</f>
        <v>1.1787013690882604</v>
      </c>
      <c r="I289" s="1348">
        <f t="shared" ref="I289:I293" ca="1" si="388">IF(H313="n/a",H289,IFERROR(IF((OFFSET($C289,0,$A289))&lt;0,
MIN(0,H289-(OFFSET($C289,0,$A289)/(OFFSET($C284,-$A288,$A289)))),
MAX(0,H289-(OFFSET($C289,0,$A289)/(OFFSET($C284,-$A288,$A289))))),0))</f>
        <v>1.0419361334825017</v>
      </c>
      <c r="J289" s="1348">
        <f t="shared" ref="J289:J294" ca="1" si="389">IF(I313="n/a",I289,IFERROR(IF((OFFSET($C289,0,$A289))&lt;0,
MIN(0,I289-(OFFSET($C289,0,$A289)/(OFFSET($C284,-$A288,$A289)))),
MAX(0,I289-(OFFSET($C289,0,$A289)/(OFFSET($C284,-$A288,$A289))))),0))</f>
        <v>0.90517089787674299</v>
      </c>
      <c r="K289" s="1348">
        <f t="shared" ref="K289:K295" ca="1" si="390">IF(J313="n/a",J289,IFERROR(IF((OFFSET($C289,0,$A289))&lt;0,
MIN(0,J289-(OFFSET($C289,0,$A289)/(OFFSET($C284,-$A288,$A289)))),
MAX(0,J289-(OFFSET($C289,0,$A289)/(OFFSET($C284,-$A288,$A289))))),0))</f>
        <v>0.76840566227098428</v>
      </c>
      <c r="L289" s="1348">
        <f t="shared" ref="L289:L296" ca="1" si="391">IF(K313="n/a",K289,IFERROR(IF((OFFSET($C289,0,$A289))&lt;0,
MIN(0,K289-(OFFSET($C289,0,$A289)/(OFFSET($C284,-$A288,$A289)))),
MAX(0,K289-(OFFSET($C289,0,$A289)/(OFFSET($C284,-$A288,$A289))))),0))</f>
        <v>0.63164042666522557</v>
      </c>
      <c r="M289" s="1348">
        <f t="shared" ref="M289:M297" ca="1" si="392">IF(L313="n/a",L289,IFERROR(IF((OFFSET($C289,0,$A289))&lt;0,
MIN(0,L289-(OFFSET($C289,0,$A289)/(OFFSET($C284,-$A288,$A289)))),
MAX(0,L289-(OFFSET($C289,0,$A289)/(OFFSET($C284,-$A288,$A289))))),0))</f>
        <v>0.49487519105946687</v>
      </c>
      <c r="N289" s="1348">
        <f t="shared" ref="N289:N298" ca="1" si="393">IF(M313="n/a",M289,IFERROR(IF((OFFSET($C289,0,$A289))&lt;0,
MIN(0,M289-(OFFSET($C289,0,$A289)/(OFFSET($C284,-$A288,$A289)))),
MAX(0,M289-(OFFSET($C289,0,$A289)/(OFFSET($C284,-$A288,$A289))))),0))</f>
        <v>0.35810995545370816</v>
      </c>
      <c r="O289" s="1348">
        <f t="shared" ref="O289:O299" ca="1" si="394">IF(N313="n/a",N289,IFERROR(IF((OFFSET($C289,0,$A289))&lt;0,
MIN(0,N289-(OFFSET($C289,0,$A289)/(OFFSET($C284,-$A288,$A289)))),
MAX(0,N289-(OFFSET($C289,0,$A289)/(OFFSET($C284,-$A288,$A289))))),0))</f>
        <v>0.22134471984794948</v>
      </c>
      <c r="P289" s="1348">
        <f t="shared" ref="P289:P300" ca="1" si="395">IF(O313="n/a",O289,IFERROR(IF((OFFSET($C289,0,$A289))&lt;0,
MIN(0,O289-(OFFSET($C289,0,$A289)/(OFFSET($C284,-$A288,$A289)))),
MAX(0,O289-(OFFSET($C289,0,$A289)/(OFFSET($C284,-$A288,$A289))))),0))</f>
        <v>8.4579484242190806E-2</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2016-17</v>
      </c>
      <c r="C290" s="1349"/>
      <c r="D290" s="1350">
        <f>(D284*((1+D$11)^0.5)/D$10)</f>
        <v>4.018232908629446E-3</v>
      </c>
      <c r="E290" s="1348">
        <f ca="1">IF(D314="n/a",D290,IFERROR(IF((OFFSET($C290,0,$A290))&lt;0,
MIN(0,D290-(OFFSET($C290,0,$A290)/(OFFSET($C285,-$A289,$A290)))),
MAX(0,D290-(OFFSET($C290,0,$A290)/(OFFSET($C285,-$A289,$A290))))),0))</f>
        <v>3.7503507147208163E-3</v>
      </c>
      <c r="F290" s="1348">
        <f t="shared" ca="1" si="385"/>
        <v>3.4824685208121866E-3</v>
      </c>
      <c r="G290" s="1348">
        <f t="shared" ca="1" si="386"/>
        <v>3.2145863269035569E-3</v>
      </c>
      <c r="H290" s="1348">
        <f t="shared" ca="1" si="387"/>
        <v>2.9467041329949272E-3</v>
      </c>
      <c r="I290" s="1348">
        <f t="shared" ca="1" si="388"/>
        <v>2.6788219390862975E-3</v>
      </c>
      <c r="J290" s="1348">
        <f t="shared" ca="1" si="389"/>
        <v>2.4109397451776678E-3</v>
      </c>
      <c r="K290" s="1348">
        <f t="shared" ca="1" si="390"/>
        <v>2.1430575512690381E-3</v>
      </c>
      <c r="L290" s="1348">
        <f t="shared" ca="1" si="391"/>
        <v>1.8751753573604084E-3</v>
      </c>
      <c r="M290" s="1348">
        <f t="shared" ca="1" si="392"/>
        <v>1.6072931634517787E-3</v>
      </c>
      <c r="N290" s="1348">
        <f t="shared" ca="1" si="393"/>
        <v>1.339410969543149E-3</v>
      </c>
      <c r="O290" s="1348">
        <f t="shared" ca="1" si="394"/>
        <v>1.0715287756345193E-3</v>
      </c>
      <c r="P290" s="1348">
        <f t="shared" ca="1" si="395"/>
        <v>8.0364658172588956E-4</v>
      </c>
      <c r="Q290" s="1348">
        <f t="shared" ca="1" si="396"/>
        <v>5.3576438781725985E-4</v>
      </c>
      <c r="R290" s="1348">
        <f t="shared" ca="1" si="397"/>
        <v>2.6788219390863009E-4</v>
      </c>
      <c r="S290" s="1348">
        <f t="shared" ca="1" si="398"/>
        <v>3.2526065174565133E-19</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2017-18</v>
      </c>
      <c r="C291" s="1351"/>
      <c r="D291" s="1352"/>
      <c r="E291" s="1350">
        <f>(E284*((1+E$11)^0.5)/E$10)</f>
        <v>7.962775013511518E-2</v>
      </c>
      <c r="F291" s="1348">
        <f ca="1">IF(E315="n/a",E291,IFERROR(IF((OFFSET($C291,0,$A291))&lt;0,
MIN(0,E291-(OFFSET($C291,0,$A291)/(OFFSET($C286,-$A290,$A291)))),
MAX(0,E291-(OFFSET($C291,0,$A291)/(OFFSET($C286,-$A290,$A291))))),0))</f>
        <v>7.4319233459440831E-2</v>
      </c>
      <c r="G291" s="1348">
        <f t="shared" ca="1" si="386"/>
        <v>6.9010716783766482E-2</v>
      </c>
      <c r="H291" s="1348">
        <f t="shared" ca="1" si="387"/>
        <v>6.3702200108092133E-2</v>
      </c>
      <c r="I291" s="1348">
        <f t="shared" ca="1" si="388"/>
        <v>5.8393683432417784E-2</v>
      </c>
      <c r="J291" s="1348">
        <f t="shared" ca="1" si="389"/>
        <v>5.3085166756743435E-2</v>
      </c>
      <c r="K291" s="1348">
        <f t="shared" ca="1" si="390"/>
        <v>4.7776650081069086E-2</v>
      </c>
      <c r="L291" s="1348">
        <f t="shared" ca="1" si="391"/>
        <v>4.2468133405394737E-2</v>
      </c>
      <c r="M291" s="1348">
        <f t="shared" ca="1" si="392"/>
        <v>3.7159616729720388E-2</v>
      </c>
      <c r="N291" s="1348">
        <f t="shared" ca="1" si="393"/>
        <v>3.1851100054046039E-2</v>
      </c>
      <c r="O291" s="1348">
        <f t="shared" ca="1" si="394"/>
        <v>2.6542583378371693E-2</v>
      </c>
      <c r="P291" s="1348">
        <f t="shared" ca="1" si="395"/>
        <v>2.1234066702697348E-2</v>
      </c>
      <c r="Q291" s="1348">
        <f t="shared" ca="1" si="396"/>
        <v>1.5925550027023002E-2</v>
      </c>
      <c r="R291" s="1348">
        <f t="shared" ca="1" si="397"/>
        <v>1.0617033351348656E-2</v>
      </c>
      <c r="S291" s="1348">
        <f t="shared" ca="1" si="398"/>
        <v>5.3085166756743109E-3</v>
      </c>
      <c r="T291" s="1348">
        <f t="shared" ca="1" si="399"/>
        <v>0</v>
      </c>
      <c r="U291" s="1348">
        <f t="shared" ca="1" si="400"/>
        <v>0</v>
      </c>
      <c r="V291" s="1348">
        <f t="shared" ca="1" si="401"/>
        <v>0</v>
      </c>
      <c r="W291" s="1348">
        <f t="shared" ca="1" si="402"/>
        <v>0</v>
      </c>
      <c r="X291" s="228"/>
    </row>
    <row r="292" spans="1:26" hidden="1" outlineLevel="1">
      <c r="A292" s="225">
        <v>3</v>
      </c>
      <c r="B292" s="212" t="str">
        <f t="shared" ca="1" si="403"/>
        <v>Depreciated Net Capex 2018-19</v>
      </c>
      <c r="C292" s="1351"/>
      <c r="D292" s="1351"/>
      <c r="E292" s="1352"/>
      <c r="F292" s="1353">
        <f>($F284*((1+F$11)^0.5)/F$10)</f>
        <v>0.34155604179354848</v>
      </c>
      <c r="G292" s="1348">
        <f ca="1">IF(F316="n/a",F292,IFERROR(IF((OFFSET($C292,0,$A292))&lt;0,
MIN(0,F292-(OFFSET($C292,0,$A292)/(OFFSET($C287,-$A291,$A292)))),
MAX(0,F292-(OFFSET($C292,0,$A292)/(OFFSET($C287,-$A291,$A292))))),0))</f>
        <v>0.31878563900731194</v>
      </c>
      <c r="H292" s="1348">
        <f t="shared" ca="1" si="387"/>
        <v>0.2960152362210754</v>
      </c>
      <c r="I292" s="1348">
        <f t="shared" ca="1" si="388"/>
        <v>0.27324483343483885</v>
      </c>
      <c r="J292" s="1348">
        <f t="shared" ca="1" si="389"/>
        <v>0.25047443064860231</v>
      </c>
      <c r="K292" s="1348">
        <f t="shared" ca="1" si="390"/>
        <v>0.22770402786236574</v>
      </c>
      <c r="L292" s="1348">
        <f t="shared" ca="1" si="391"/>
        <v>0.20493362507612917</v>
      </c>
      <c r="M292" s="1348">
        <f t="shared" ca="1" si="392"/>
        <v>0.1821632222898926</v>
      </c>
      <c r="N292" s="1348">
        <f t="shared" ca="1" si="393"/>
        <v>0.15939281950365602</v>
      </c>
      <c r="O292" s="1348">
        <f t="shared" ca="1" si="394"/>
        <v>0.13662241671741945</v>
      </c>
      <c r="P292" s="1348">
        <f t="shared" ca="1" si="395"/>
        <v>0.11385201393118288</v>
      </c>
      <c r="Q292" s="1348">
        <f t="shared" ca="1" si="396"/>
        <v>9.1081611144946312E-2</v>
      </c>
      <c r="R292" s="1348">
        <f t="shared" ca="1" si="397"/>
        <v>6.8311208358709741E-2</v>
      </c>
      <c r="S292" s="1348">
        <f t="shared" ca="1" si="398"/>
        <v>4.5540805572473177E-2</v>
      </c>
      <c r="T292" s="1348">
        <f t="shared" ca="1" si="399"/>
        <v>2.2770402786236613E-2</v>
      </c>
      <c r="U292" s="1348">
        <f t="shared" ca="1" si="400"/>
        <v>4.8572257327350599E-17</v>
      </c>
      <c r="V292" s="1348">
        <f t="shared" ca="1" si="401"/>
        <v>0</v>
      </c>
      <c r="W292" s="1348">
        <f t="shared" ca="1" si="402"/>
        <v>0</v>
      </c>
      <c r="X292" s="228"/>
      <c r="Y292" s="228"/>
    </row>
    <row r="293" spans="1:26" hidden="1" outlineLevel="1">
      <c r="A293" s="225">
        <v>4</v>
      </c>
      <c r="B293" s="212" t="str">
        <f t="shared" ca="1" si="403"/>
        <v>Depreciated Net Capex 2019-20</v>
      </c>
      <c r="C293" s="1351"/>
      <c r="D293" s="1351"/>
      <c r="E293" s="1351"/>
      <c r="F293" s="1352"/>
      <c r="G293" s="1353">
        <f>($G284*((1+G$11)^0.5)/G$10)</f>
        <v>0.22134897885526747</v>
      </c>
      <c r="H293" s="1348">
        <f ca="1">IF(G317="n/a",G293,IFERROR(IF((OFFSET($C293,0,$A293))&lt;0,
MIN(0,G293-(OFFSET($C293,0,$A293)/(OFFSET($C288,-$A292,$A293)))),
MAX(0,G293-(OFFSET($C293,0,$A293)/(OFFSET($C288,-$A292,$A293))))),0))</f>
        <v>0.2065923802649163</v>
      </c>
      <c r="I293" s="1348">
        <f t="shared" ca="1" si="388"/>
        <v>0.19183578167456514</v>
      </c>
      <c r="J293" s="1348">
        <f t="shared" ca="1" si="389"/>
        <v>0.17707918308421397</v>
      </c>
      <c r="K293" s="1348">
        <f t="shared" ca="1" si="390"/>
        <v>0.1623225844938628</v>
      </c>
      <c r="L293" s="1348">
        <f t="shared" ca="1" si="391"/>
        <v>0.14756598590351164</v>
      </c>
      <c r="M293" s="1348">
        <f t="shared" ca="1" si="392"/>
        <v>0.13280938731316047</v>
      </c>
      <c r="N293" s="1348">
        <f t="shared" ca="1" si="393"/>
        <v>0.1180527887228093</v>
      </c>
      <c r="O293" s="1348">
        <f t="shared" ca="1" si="394"/>
        <v>0.10329619013245814</v>
      </c>
      <c r="P293" s="1348">
        <f t="shared" ca="1" si="395"/>
        <v>8.8539591542106971E-2</v>
      </c>
      <c r="Q293" s="1348">
        <f t="shared" ca="1" si="396"/>
        <v>7.3782992951755805E-2</v>
      </c>
      <c r="R293" s="1348">
        <f t="shared" ca="1" si="397"/>
        <v>5.9026394361404638E-2</v>
      </c>
      <c r="S293" s="1348">
        <f t="shared" ca="1" si="398"/>
        <v>4.4269795771053472E-2</v>
      </c>
      <c r="T293" s="1348">
        <f t="shared" ca="1" si="399"/>
        <v>2.9513197180702305E-2</v>
      </c>
      <c r="U293" s="1348">
        <f t="shared" ca="1" si="400"/>
        <v>1.475659859035114E-2</v>
      </c>
      <c r="V293" s="1348">
        <f t="shared" ca="1" si="401"/>
        <v>0</v>
      </c>
      <c r="W293" s="1348">
        <f t="shared" ca="1" si="402"/>
        <v>0</v>
      </c>
      <c r="X293" s="228"/>
      <c r="Y293" s="228"/>
      <c r="Z293" s="228"/>
    </row>
    <row r="294" spans="1:26" hidden="1" outlineLevel="1">
      <c r="A294" s="225">
        <v>5</v>
      </c>
      <c r="B294" s="212" t="str">
        <f t="shared" ca="1" si="403"/>
        <v>Depreciated Net Capex 2020-21</v>
      </c>
      <c r="C294" s="1351"/>
      <c r="D294" s="1351"/>
      <c r="E294" s="1351"/>
      <c r="F294" s="1351"/>
      <c r="G294" s="1352"/>
      <c r="H294" s="1353">
        <f>(H284*((1+H$11)^0.5)/H$10)</f>
        <v>0</v>
      </c>
      <c r="I294" s="1348">
        <f ca="1">IF(H318="n/a",H294,IFERROR(IF((OFFSET($C294,0,$A294))&lt;0,
MIN(0,H294-(OFFSET($C294,0,$A294)/(OFFSET($C289,-$A293,$A294)))),
MAX(0,H294-(OFFSET($C294,0,$A294)/(OFFSET($C289,-$A293,$A294))))),0))</f>
        <v>0</v>
      </c>
      <c r="J294" s="1348">
        <f t="shared" ca="1" si="389"/>
        <v>0</v>
      </c>
      <c r="K294" s="1348">
        <f t="shared" ca="1" si="390"/>
        <v>0</v>
      </c>
      <c r="L294" s="1348">
        <f t="shared" ca="1" si="391"/>
        <v>0</v>
      </c>
      <c r="M294" s="1348">
        <f t="shared" ca="1" si="392"/>
        <v>0</v>
      </c>
      <c r="N294" s="1348">
        <f t="shared" ca="1" si="393"/>
        <v>0</v>
      </c>
      <c r="O294" s="1348">
        <f t="shared" ca="1" si="394"/>
        <v>0</v>
      </c>
      <c r="P294" s="1348">
        <f t="shared" ca="1" si="395"/>
        <v>0</v>
      </c>
      <c r="Q294" s="1348">
        <f t="shared" ca="1" si="396"/>
        <v>0</v>
      </c>
      <c r="R294" s="1348">
        <f t="shared" ca="1" si="397"/>
        <v>0</v>
      </c>
      <c r="S294" s="1348">
        <f t="shared" ca="1" si="398"/>
        <v>0</v>
      </c>
      <c r="T294" s="1348">
        <f t="shared" ca="1" si="399"/>
        <v>0</v>
      </c>
      <c r="U294" s="1348">
        <f t="shared" ca="1" si="400"/>
        <v>0</v>
      </c>
      <c r="V294" s="1348">
        <f t="shared" ca="1" si="401"/>
        <v>0</v>
      </c>
      <c r="W294" s="1348">
        <f t="shared" ca="1" si="402"/>
        <v>0</v>
      </c>
      <c r="X294" s="228"/>
      <c r="Y294" s="228"/>
      <c r="Z294" s="228"/>
    </row>
    <row r="295" spans="1:26" hidden="1" outlineLevel="1">
      <c r="A295" s="225">
        <v>6</v>
      </c>
      <c r="B295" s="212" t="str">
        <f t="shared" ca="1" si="403"/>
        <v>Depreciated Net Capex 2021-22</v>
      </c>
      <c r="C295" s="1351"/>
      <c r="D295" s="1351"/>
      <c r="E295" s="1351"/>
      <c r="F295" s="1351"/>
      <c r="G295" s="1351"/>
      <c r="H295" s="1352"/>
      <c r="I295" s="1353">
        <f>(I284*((1+I$11)^0.5)/I$10)</f>
        <v>0</v>
      </c>
      <c r="J295" s="1348">
        <f ca="1">IF(I319="n/a",I295,IFERROR(IF((OFFSET($C295,0,$A295))&lt;0,
MIN(0,I295-(OFFSET($C295,0,$A295)/(OFFSET($C290,-$A294,$A295)))),
MAX(0,I295-(OFFSET($C295,0,$A295)/(OFFSET($C290,-$A294,$A295))))),0))</f>
        <v>0</v>
      </c>
      <c r="K295" s="1348">
        <f t="shared" ca="1" si="390"/>
        <v>0</v>
      </c>
      <c r="L295" s="1348">
        <f t="shared" ca="1" si="391"/>
        <v>0</v>
      </c>
      <c r="M295" s="1348">
        <f t="shared" ca="1" si="392"/>
        <v>0</v>
      </c>
      <c r="N295" s="1348">
        <f t="shared" ca="1" si="393"/>
        <v>0</v>
      </c>
      <c r="O295" s="1348">
        <f t="shared" ca="1" si="394"/>
        <v>0</v>
      </c>
      <c r="P295" s="1348">
        <f t="shared" ca="1" si="395"/>
        <v>0</v>
      </c>
      <c r="Q295" s="1348">
        <f t="shared" ca="1" si="396"/>
        <v>0</v>
      </c>
      <c r="R295" s="1348">
        <f t="shared" ca="1" si="397"/>
        <v>0</v>
      </c>
      <c r="S295" s="1348">
        <f t="shared" ca="1" si="398"/>
        <v>0</v>
      </c>
      <c r="T295" s="1348">
        <f t="shared" ca="1" si="399"/>
        <v>0</v>
      </c>
      <c r="U295" s="1348">
        <f t="shared" ca="1" si="400"/>
        <v>0</v>
      </c>
      <c r="V295" s="1348">
        <f t="shared" ca="1" si="401"/>
        <v>0</v>
      </c>
      <c r="W295" s="1348">
        <f t="shared" ca="1" si="402"/>
        <v>0</v>
      </c>
      <c r="X295" s="228"/>
      <c r="Y295" s="228"/>
      <c r="Z295" s="228"/>
    </row>
    <row r="296" spans="1:26" hidden="1" outlineLevel="1">
      <c r="A296" s="225">
        <v>7</v>
      </c>
      <c r="B296" s="212" t="str">
        <f t="shared" ca="1" si="403"/>
        <v>Depreciated Net Capex 2022-23</v>
      </c>
      <c r="C296" s="1351"/>
      <c r="D296" s="1351"/>
      <c r="E296" s="1351"/>
      <c r="F296" s="1351"/>
      <c r="G296" s="1351"/>
      <c r="H296" s="1351"/>
      <c r="I296" s="1352"/>
      <c r="J296" s="1353">
        <f>(J284*((1+J$11)^0.5)/J$10)</f>
        <v>0</v>
      </c>
      <c r="K296" s="1348">
        <f ca="1">IF(J320="n/a",J296,IFERROR(IF((OFFSET($C296,0,$A296))&lt;0,
MIN(0,J296-(OFFSET($C296,0,$A296)/(OFFSET($C291,-$A295,$A296)))),
MAX(0,J296-(OFFSET($C296,0,$A296)/(OFFSET($C291,-$A295,$A296))))),0))</f>
        <v>0</v>
      </c>
      <c r="L296" s="1348">
        <f t="shared" ca="1" si="391"/>
        <v>0</v>
      </c>
      <c r="M296" s="1348">
        <f t="shared" ca="1" si="392"/>
        <v>0</v>
      </c>
      <c r="N296" s="1348">
        <f t="shared" ca="1" si="393"/>
        <v>0</v>
      </c>
      <c r="O296" s="1348">
        <f t="shared" ca="1" si="394"/>
        <v>0</v>
      </c>
      <c r="P296" s="1348">
        <f t="shared" ca="1" si="395"/>
        <v>0</v>
      </c>
      <c r="Q296" s="1348">
        <f t="shared" ca="1" si="396"/>
        <v>0</v>
      </c>
      <c r="R296" s="1348">
        <f t="shared" ca="1" si="397"/>
        <v>0</v>
      </c>
      <c r="S296" s="1348">
        <f t="shared" ca="1" si="398"/>
        <v>0</v>
      </c>
      <c r="T296" s="1348">
        <f t="shared" ca="1" si="399"/>
        <v>0</v>
      </c>
      <c r="U296" s="1348">
        <f t="shared" ca="1" si="400"/>
        <v>0</v>
      </c>
      <c r="V296" s="1348">
        <f t="shared" ca="1" si="401"/>
        <v>0</v>
      </c>
      <c r="W296" s="1348">
        <f t="shared" ca="1" si="402"/>
        <v>0</v>
      </c>
      <c r="X296" s="228"/>
      <c r="Y296" s="228"/>
      <c r="Z296" s="228"/>
    </row>
    <row r="297" spans="1:26" hidden="1" outlineLevel="1">
      <c r="A297" s="225">
        <v>8</v>
      </c>
      <c r="B297" s="212" t="str">
        <f t="shared" ca="1" si="403"/>
        <v>Depreciated Net Capex 2023-24</v>
      </c>
      <c r="C297" s="1351"/>
      <c r="D297" s="1351"/>
      <c r="E297" s="1351"/>
      <c r="F297" s="1351"/>
      <c r="G297" s="1351"/>
      <c r="H297" s="1351"/>
      <c r="I297" s="1351"/>
      <c r="J297" s="1352"/>
      <c r="K297" s="1353">
        <f>(K284*((1+K$11)^0.5)/K$10)</f>
        <v>0</v>
      </c>
      <c r="L297" s="1348">
        <f ca="1">IF(K321="n/a",K297,IFERROR(IF((OFFSET($C297,0,$A297))&lt;0,
MIN(0,K297-(OFFSET($C297,0,$A297)/(OFFSET($C292,-$A296,$A297)))),
MAX(0,K297-(OFFSET($C297,0,$A297)/(OFFSET($C292,-$A296,$A297))))),0))</f>
        <v>0</v>
      </c>
      <c r="M297" s="1348">
        <f t="shared" ca="1" si="392"/>
        <v>0</v>
      </c>
      <c r="N297" s="1348">
        <f t="shared" ca="1" si="393"/>
        <v>0</v>
      </c>
      <c r="O297" s="1348">
        <f t="shared" ca="1" si="394"/>
        <v>0</v>
      </c>
      <c r="P297" s="1348">
        <f t="shared" ca="1" si="395"/>
        <v>0</v>
      </c>
      <c r="Q297" s="1348">
        <f t="shared" ca="1" si="396"/>
        <v>0</v>
      </c>
      <c r="R297" s="1348">
        <f t="shared" ca="1" si="397"/>
        <v>0</v>
      </c>
      <c r="S297" s="1348">
        <f t="shared" ca="1" si="398"/>
        <v>0</v>
      </c>
      <c r="T297" s="1348">
        <f t="shared" ca="1" si="399"/>
        <v>0</v>
      </c>
      <c r="U297" s="1348">
        <f t="shared" ca="1" si="400"/>
        <v>0</v>
      </c>
      <c r="V297" s="1348">
        <f t="shared" ca="1" si="401"/>
        <v>0</v>
      </c>
      <c r="W297" s="1348">
        <f t="shared" ca="1" si="402"/>
        <v>0</v>
      </c>
      <c r="X297" s="228"/>
      <c r="Y297" s="228"/>
      <c r="Z297" s="228"/>
    </row>
    <row r="298" spans="1:26" hidden="1" outlineLevel="1">
      <c r="A298" s="225">
        <v>9</v>
      </c>
      <c r="B298" s="212" t="str">
        <f t="shared" ca="1" si="403"/>
        <v>Depreciated Net Capex 2024-25</v>
      </c>
      <c r="C298" s="1351"/>
      <c r="D298" s="1351"/>
      <c r="E298" s="1351"/>
      <c r="F298" s="1351"/>
      <c r="G298" s="1351"/>
      <c r="H298" s="1351"/>
      <c r="I298" s="1351"/>
      <c r="J298" s="1351"/>
      <c r="K298" s="1352"/>
      <c r="L298" s="1353">
        <f>(L284*((1+L$11)^0.5)/L$10)</f>
        <v>0</v>
      </c>
      <c r="M298" s="1348">
        <f ca="1">IF(L322="n/a",L298,IFERROR(IF((OFFSET($C298,0,$A298))&lt;0,
MIN(0,L298-(OFFSET($C298,0,$A298)/(OFFSET($C293,-$A297,$A298)))),
MAX(0,L298-(OFFSET($C298,0,$A298)/(OFFSET($C293,-$A297,$A298))))),0))</f>
        <v>0</v>
      </c>
      <c r="N298" s="1348">
        <f t="shared" ca="1" si="393"/>
        <v>0</v>
      </c>
      <c r="O298" s="1348">
        <f t="shared" ca="1" si="394"/>
        <v>0</v>
      </c>
      <c r="P298" s="1348">
        <f t="shared" ca="1" si="395"/>
        <v>0</v>
      </c>
      <c r="Q298" s="1348">
        <f t="shared" ca="1" si="396"/>
        <v>0</v>
      </c>
      <c r="R298" s="1348">
        <f t="shared" ca="1" si="397"/>
        <v>0</v>
      </c>
      <c r="S298" s="1348">
        <f t="shared" ca="1" si="398"/>
        <v>0</v>
      </c>
      <c r="T298" s="1348">
        <f t="shared" ca="1" si="399"/>
        <v>0</v>
      </c>
      <c r="U298" s="1348">
        <f t="shared" ca="1" si="400"/>
        <v>0</v>
      </c>
      <c r="V298" s="1348">
        <f t="shared" ca="1" si="401"/>
        <v>0</v>
      </c>
      <c r="W298" s="1348">
        <f t="shared" ca="1" si="402"/>
        <v>0</v>
      </c>
      <c r="X298" s="228"/>
      <c r="Y298" s="228"/>
      <c r="Z298" s="228"/>
    </row>
    <row r="299" spans="1:26" hidden="1" outlineLevel="1">
      <c r="A299" s="225">
        <v>10</v>
      </c>
      <c r="B299" s="212" t="str">
        <f t="shared" ca="1" si="403"/>
        <v>Depreciated Net Capex 2025-26</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2026-27</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2027-28</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2028-29</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2029-30</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2030-31</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2031-32</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2032-33</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2033-34</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2034-35</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2035-36</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13.618428242144818</v>
      </c>
      <c r="D313" s="1348">
        <f t="shared" ref="D313" ca="1" si="423">IF(C313="n/a","n/a",MAX(0,C313-1))</f>
        <v>12.618428242144818</v>
      </c>
      <c r="E313" s="1348">
        <f t="shared" ref="E313:E314" ca="1" si="424">IF(D313="n/a","n/a",MAX(0,D313-1))</f>
        <v>11.618428242144818</v>
      </c>
      <c r="F313" s="1348">
        <f t="shared" ref="F313:F315" ca="1" si="425">IF(E313="n/a","n/a",MAX(0,E313-1))</f>
        <v>10.618428242144818</v>
      </c>
      <c r="G313" s="1348">
        <f t="shared" ref="G313:G316" ca="1" si="426">IF(F313="n/a","n/a",MAX(0,F313-1))</f>
        <v>9.6184282421448177</v>
      </c>
      <c r="H313" s="1348">
        <f t="shared" ref="H313:H317" ca="1" si="427">IF(G313="n/a","n/a",MAX(0,G313-1))</f>
        <v>8.6184282421448177</v>
      </c>
      <c r="I313" s="1348">
        <f t="shared" ref="I313:I318" ca="1" si="428">IF(H313="n/a","n/a",MAX(0,H313-1))</f>
        <v>7.6184282421448177</v>
      </c>
      <c r="J313" s="1348">
        <f t="shared" ref="J313:J319" ca="1" si="429">IF(I313="n/a","n/a",MAX(0,I313-1))</f>
        <v>6.6184282421448177</v>
      </c>
      <c r="K313" s="1348">
        <f t="shared" ref="K313:K320" ca="1" si="430">IF(J313="n/a","n/a",MAX(0,J313-1))</f>
        <v>5.6184282421448177</v>
      </c>
      <c r="L313" s="1348">
        <f t="shared" ref="L313:L321" ca="1" si="431">IF(K313="n/a","n/a",MAX(0,K313-1))</f>
        <v>4.6184282421448177</v>
      </c>
      <c r="M313" s="1348">
        <f t="shared" ref="M313:M322" ca="1" si="432">IF(L313="n/a","n/a",MAX(0,L313-1))</f>
        <v>3.6184282421448177</v>
      </c>
      <c r="N313" s="1348">
        <f t="shared" ref="N313:N323" ca="1" si="433">IF(M313="n/a","n/a",MAX(0,M313-1))</f>
        <v>2.6184282421448177</v>
      </c>
      <c r="O313" s="1348">
        <f t="shared" ref="O313:O324" ca="1" si="434">IF(N313="n/a","n/a",MAX(0,N313-1))</f>
        <v>1.6184282421448177</v>
      </c>
      <c r="P313" s="1348">
        <f t="shared" ref="P313:P325" ca="1" si="435">IF(O313="n/a","n/a",MAX(0,O313-1))</f>
        <v>0.61842824214481773</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2016-17</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2017-18</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2018-19</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2019-20</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2020-21</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2021-22</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2022-23</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2023-24</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2024-25</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2025-26</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2026-27</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2027-28</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2028-29</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2029-30</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2030-31</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2031-32</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2032-33</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2033-34</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2034-35</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2035-36</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13.618428242144818</v>
      </c>
      <c r="D335" s="1356">
        <f ca="1">(IF(OR($C285&lt;&gt;"n/a",D285&lt;&gt;"n/a"),IF(SUM(D288:D310)=0,0,IF((SUMPRODUCT(D288:D310,D312:D334)/SUM(D288:D310))&lt;0,1,(SUMPRODUCT(D288:D310,D312:D334)/SUM(D288:D310)))),"n/a"))</f>
        <v>12.623960568220832</v>
      </c>
      <c r="E335" s="1356">
        <f t="shared" ref="E335:W335" ca="1" si="444">(IF(OR($C285&lt;&gt;"n/a",E285&lt;&gt;"n/a"),IF(SUM(E288:E310)=0,0,IF((SUMPRODUCT(E288:E310,E312:E334)/SUM(E288:E310))&lt;0,1,(SUMPRODUCT(E288:E310,E312:E334)/SUM(E288:E310)))),"n/a"))</f>
        <v>11.784777685863796</v>
      </c>
      <c r="F335" s="1356">
        <f t="shared" ca="1" si="444"/>
        <v>11.556754620427894</v>
      </c>
      <c r="G335" s="1356">
        <f t="shared" ca="1" si="444"/>
        <v>11.085888092463728</v>
      </c>
      <c r="H335" s="1356">
        <f t="shared" ca="1" si="444"/>
        <v>10.123747724619012</v>
      </c>
      <c r="I335" s="1356">
        <f t="shared" ca="1" si="444"/>
        <v>9.1702927812453954</v>
      </c>
      <c r="J335" s="1356">
        <f t="shared" ca="1" si="444"/>
        <v>8.2288993153225771</v>
      </c>
      <c r="K335" s="1356">
        <f t="shared" ca="1" si="444"/>
        <v>7.3049535426070964</v>
      </c>
      <c r="L335" s="1356">
        <f t="shared" ca="1" si="444"/>
        <v>6.4076096009474517</v>
      </c>
      <c r="M335" s="1356">
        <f t="shared" ca="1" si="444"/>
        <v>5.5537827111275657</v>
      </c>
      <c r="N335" s="1356">
        <f t="shared" ca="1" si="444"/>
        <v>4.7785864373841234</v>
      </c>
      <c r="O335" s="1356">
        <f t="shared" ca="1" si="444"/>
        <v>4.1688105179575548</v>
      </c>
      <c r="P335" s="1356">
        <f t="shared" ca="1" si="444"/>
        <v>4.0133198639856298</v>
      </c>
      <c r="Q335" s="1356">
        <f t="shared" ca="1" si="444"/>
        <v>4.3131704205071131</v>
      </c>
      <c r="R335" s="1356">
        <f t="shared" ca="1" si="444"/>
        <v>3.3463516453254516</v>
      </c>
      <c r="S335" s="1356">
        <f t="shared" ca="1" si="444"/>
        <v>2.4096051341383791</v>
      </c>
      <c r="T335" s="1356">
        <f t="shared" ca="1" si="444"/>
        <v>1.5644828818093</v>
      </c>
      <c r="U335" s="1356">
        <f t="shared" ca="1" si="444"/>
        <v>0.99999999999999667</v>
      </c>
      <c r="V335" s="1356">
        <f t="shared" ca="1" si="444"/>
        <v>0</v>
      </c>
      <c r="W335" s="1356">
        <f t="shared" ca="1" si="444"/>
        <v>0</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4.2455440809339686</v>
      </c>
      <c r="D338" s="1344">
        <f>IF(LEFT(D$6,4)&lt;LEFT('RFM input'!$G$60,4),"enter input",IF(LEFT(D$6,4)&gt;LEFT('RFM input'!$Q$60,4),0,
INDEX('RFM input'!$G$223:$Q$272,$A338,MATCH(D$6,'RFM input'!$G$222:$Q$222,0))
-INDEX('RFM input'!$G$277:$Q$326,$A338,MATCH(D$6,'RFM input'!$G$222:$Q$222,0))))</f>
        <v>0</v>
      </c>
      <c r="E338" s="1344">
        <f>IF(LEFT(E$6,4)&lt;LEFT('RFM input'!$G$60,4),"enter input",IF(LEFT(E$6,4)&gt;LEFT('RFM input'!$Q$60,4),0,
INDEX('RFM input'!$G$223:$Q$272,$A338,MATCH(E$6,'RFM input'!$G$222:$Q$222,0))
-INDEX('RFM input'!$G$277:$Q$326,$A338,MATCH(E$6,'RFM input'!$G$222:$Q$222,0))))</f>
        <v>0</v>
      </c>
      <c r="F338" s="1344">
        <f>IF(LEFT(F$6,4)&lt;LEFT('RFM input'!$G$60,4),"enter input",IF(LEFT(F$6,4)&gt;LEFT('RFM input'!$Q$60,4),0,
INDEX('RFM input'!$G$223:$Q$272,$A338,MATCH(F$6,'RFM input'!$G$222:$Q$222,0))
-INDEX('RFM input'!$G$277:$Q$326,$A338,MATCH(F$6,'RFM input'!$G$222:$Q$222,0))))</f>
        <v>0</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0</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f ca="1">IF($C$8='Capital base roll forward'!$H$4,OFFSET('RFM input'!$K$6,'Capital base remaining lives'!A338,0),"enter input")</f>
        <v>62.960154804636616</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4.2455440809339686</v>
      </c>
      <c r="D343" s="1348">
        <f ca="1">IF(C367="n/a",C343,IFERROR(IF((OFFSET($C343,0,$A343))&lt;0,
MIN(0,C343-(OFFSET($C343,0,$A343)/(OFFSET($C338,-$A342,$A343)))),
MAX(0,C343-(OFFSET($C343,0,$A343)/(OFFSET($C338,-$A342,$A343))))),0))</f>
        <v>4.1781118439245812</v>
      </c>
      <c r="E343" s="1348">
        <f t="shared" ref="E343" ca="1" si="464">IF(D367="n/a",D343,IFERROR(IF((OFFSET($C343,0,$A343))&lt;0,
MIN(0,D343-(OFFSET($C343,0,$A343)/(OFFSET($C338,-$A342,$A343)))),
MAX(0,D343-(OFFSET($C343,0,$A343)/(OFFSET($C338,-$A342,$A343))))),0))</f>
        <v>4.1106796069151939</v>
      </c>
      <c r="F343" s="1348">
        <f t="shared" ref="F343:F344" ca="1" si="465">IF(E367="n/a",E343,IFERROR(IF((OFFSET($C343,0,$A343))&lt;0,
MIN(0,E343-(OFFSET($C343,0,$A343)/(OFFSET($C338,-$A342,$A343)))),
MAX(0,E343-(OFFSET($C343,0,$A343)/(OFFSET($C338,-$A342,$A343))))),0))</f>
        <v>4.0432473699058065</v>
      </c>
      <c r="G343" s="1348">
        <f t="shared" ref="G343:G345" ca="1" si="466">IF(F367="n/a",F343,IFERROR(IF((OFFSET($C343,0,$A343))&lt;0,
MIN(0,F343-(OFFSET($C343,0,$A343)/(OFFSET($C338,-$A342,$A343)))),
MAX(0,F343-(OFFSET($C343,0,$A343)/(OFFSET($C338,-$A342,$A343))))),0))</f>
        <v>3.9758151328964191</v>
      </c>
      <c r="H343" s="1348">
        <f t="shared" ref="H343:H346" ca="1" si="467">IF(G367="n/a",G343,IFERROR(IF((OFFSET($C343,0,$A343))&lt;0,
MIN(0,G343-(OFFSET($C343,0,$A343)/(OFFSET($C338,-$A342,$A343)))),
MAX(0,G343-(OFFSET($C343,0,$A343)/(OFFSET($C338,-$A342,$A343))))),0))</f>
        <v>3.9083828958870317</v>
      </c>
      <c r="I343" s="1348">
        <f t="shared" ref="I343:I347" ca="1" si="468">IF(H367="n/a",H343,IFERROR(IF((OFFSET($C343,0,$A343))&lt;0,
MIN(0,H343-(OFFSET($C343,0,$A343)/(OFFSET($C338,-$A342,$A343)))),
MAX(0,H343-(OFFSET($C343,0,$A343)/(OFFSET($C338,-$A342,$A343))))),0))</f>
        <v>3.8409506588776443</v>
      </c>
      <c r="J343" s="1348">
        <f t="shared" ref="J343:J348" ca="1" si="469">IF(I367="n/a",I343,IFERROR(IF((OFFSET($C343,0,$A343))&lt;0,
MIN(0,I343-(OFFSET($C343,0,$A343)/(OFFSET($C338,-$A342,$A343)))),
MAX(0,I343-(OFFSET($C343,0,$A343)/(OFFSET($C338,-$A342,$A343))))),0))</f>
        <v>3.7735184218682569</v>
      </c>
      <c r="K343" s="1348">
        <f t="shared" ref="K343:K349" ca="1" si="470">IF(J367="n/a",J343,IFERROR(IF((OFFSET($C343,0,$A343))&lt;0,
MIN(0,J343-(OFFSET($C343,0,$A343)/(OFFSET($C338,-$A342,$A343)))),
MAX(0,J343-(OFFSET($C343,0,$A343)/(OFFSET($C338,-$A342,$A343))))),0))</f>
        <v>3.7060861848588695</v>
      </c>
      <c r="L343" s="1348">
        <f t="shared" ref="L343:L350" ca="1" si="471">IF(K367="n/a",K343,IFERROR(IF((OFFSET($C343,0,$A343))&lt;0,
MIN(0,K343-(OFFSET($C343,0,$A343)/(OFFSET($C338,-$A342,$A343)))),
MAX(0,K343-(OFFSET($C343,0,$A343)/(OFFSET($C338,-$A342,$A343))))),0))</f>
        <v>3.6386539478494822</v>
      </c>
      <c r="M343" s="1348">
        <f t="shared" ref="M343:M351" ca="1" si="472">IF(L367="n/a",L343,IFERROR(IF((OFFSET($C343,0,$A343))&lt;0,
MIN(0,L343-(OFFSET($C343,0,$A343)/(OFFSET($C338,-$A342,$A343)))),
MAX(0,L343-(OFFSET($C343,0,$A343)/(OFFSET($C338,-$A342,$A343))))),0))</f>
        <v>3.5712217108400948</v>
      </c>
      <c r="N343" s="1348">
        <f t="shared" ref="N343:N352" ca="1" si="473">IF(M367="n/a",M343,IFERROR(IF((OFFSET($C343,0,$A343))&lt;0,
MIN(0,M343-(OFFSET($C343,0,$A343)/(OFFSET($C338,-$A342,$A343)))),
MAX(0,M343-(OFFSET($C343,0,$A343)/(OFFSET($C338,-$A342,$A343))))),0))</f>
        <v>3.5037894738307074</v>
      </c>
      <c r="O343" s="1348">
        <f t="shared" ref="O343:O353" ca="1" si="474">IF(N367="n/a",N343,IFERROR(IF((OFFSET($C343,0,$A343))&lt;0,
MIN(0,N343-(OFFSET($C343,0,$A343)/(OFFSET($C338,-$A342,$A343)))),
MAX(0,N343-(OFFSET($C343,0,$A343)/(OFFSET($C338,-$A342,$A343))))),0))</f>
        <v>3.43635723682132</v>
      </c>
      <c r="P343" s="1348">
        <f t="shared" ref="P343:P354" ca="1" si="475">IF(O367="n/a",O343,IFERROR(IF((OFFSET($C343,0,$A343))&lt;0,
MIN(0,O343-(OFFSET($C343,0,$A343)/(OFFSET($C338,-$A342,$A343)))),
MAX(0,O343-(OFFSET($C343,0,$A343)/(OFFSET($C338,-$A342,$A343))))),0))</f>
        <v>3.3689249998119326</v>
      </c>
      <c r="Q343" s="1348">
        <f t="shared" ref="Q343:Q355" ca="1" si="476">IF(P367="n/a",P343,IFERROR(IF((OFFSET($C343,0,$A343))&lt;0,
MIN(0,P343-(OFFSET($C343,0,$A343)/(OFFSET($C338,-$A342,$A343)))),
MAX(0,P343-(OFFSET($C343,0,$A343)/(OFFSET($C338,-$A342,$A343))))),0))</f>
        <v>3.3014927628025452</v>
      </c>
      <c r="R343" s="1348">
        <f t="shared" ref="R343:R356" ca="1" si="477">IF(Q367="n/a",Q343,IFERROR(IF((OFFSET($C343,0,$A343))&lt;0,
MIN(0,Q343-(OFFSET($C343,0,$A343)/(OFFSET($C338,-$A342,$A343)))),
MAX(0,Q343-(OFFSET($C343,0,$A343)/(OFFSET($C338,-$A342,$A343))))),0))</f>
        <v>3.2340605257931578</v>
      </c>
      <c r="S343" s="1348">
        <f t="shared" ref="S343:S357" ca="1" si="478">IF(R367="n/a",R343,IFERROR(IF((OFFSET($C343,0,$A343))&lt;0,
MIN(0,R343-(OFFSET($C343,0,$A343)/(OFFSET($C338,-$A342,$A343)))),
MAX(0,R343-(OFFSET($C343,0,$A343)/(OFFSET($C338,-$A342,$A343))))),0))</f>
        <v>3.1666282887837705</v>
      </c>
      <c r="T343" s="1348">
        <f t="shared" ref="T343:T358" ca="1" si="479">IF(S367="n/a",S343,IFERROR(IF((OFFSET($C343,0,$A343))&lt;0,
MIN(0,S343-(OFFSET($C343,0,$A343)/(OFFSET($C338,-$A342,$A343)))),
MAX(0,S343-(OFFSET($C343,0,$A343)/(OFFSET($C338,-$A342,$A343))))),0))</f>
        <v>3.0991960517743831</v>
      </c>
      <c r="U343" s="1348">
        <f t="shared" ref="U343:U359" ca="1" si="480">IF(T367="n/a",T343,IFERROR(IF((OFFSET($C343,0,$A343))&lt;0,
MIN(0,T343-(OFFSET($C343,0,$A343)/(OFFSET($C338,-$A342,$A343)))),
MAX(0,T343-(OFFSET($C343,0,$A343)/(OFFSET($C338,-$A342,$A343))))),0))</f>
        <v>3.0317638147649957</v>
      </c>
      <c r="V343" s="1348">
        <f t="shared" ref="V343:V360" ca="1" si="481">IF(U367="n/a",U343,IFERROR(IF((OFFSET($C343,0,$A343))&lt;0,
MIN(0,U343-(OFFSET($C343,0,$A343)/(OFFSET($C338,-$A342,$A343)))),
MAX(0,U343-(OFFSET($C343,0,$A343)/(OFFSET($C338,-$A342,$A343))))),0))</f>
        <v>2.9643315777556083</v>
      </c>
      <c r="W343" s="1348">
        <f t="shared" ref="W343:W361" ca="1" si="482">IF(V367="n/a",V343,IFERROR(IF((OFFSET($C343,0,$A343))&lt;0,
MIN(0,V343-(OFFSET($C343,0,$A343)/(OFFSET($C338,-$A342,$A343)))),
MAX(0,V343-(OFFSET($C343,0,$A343)/(OFFSET($C338,-$A342,$A343))))),0))</f>
        <v>2.8968993407462209</v>
      </c>
    </row>
    <row r="344" spans="1:26" hidden="1" outlineLevel="1">
      <c r="A344" s="225">
        <v>1</v>
      </c>
      <c r="B344" s="212" t="str">
        <f t="shared" ref="B344:B362" ca="1" si="483">"Depreciated Net Capex "&amp;OFFSET($C$6,0,A344)</f>
        <v>Depreciated Net Capex 2016-17</v>
      </c>
      <c r="C344" s="1349"/>
      <c r="D344" s="1350">
        <f>(D338*((1+D$11)^0.5)/D$10)</f>
        <v>0</v>
      </c>
      <c r="E344" s="1348">
        <f ca="1">IF(D368="n/a",D344,IFERROR(IF((OFFSET($C344,0,$A344))&lt;0,
MIN(0,D344-(OFFSET($C344,0,$A344)/(OFFSET($C339,-$A343,$A344)))),
MAX(0,D344-(OFFSET($C344,0,$A344)/(OFFSET($C339,-$A343,$A344))))),0))</f>
        <v>0</v>
      </c>
      <c r="F344" s="1348">
        <f t="shared" ca="1" si="465"/>
        <v>0</v>
      </c>
      <c r="G344" s="1348">
        <f t="shared" ca="1" si="466"/>
        <v>0</v>
      </c>
      <c r="H344" s="1348">
        <f t="shared" ca="1" si="467"/>
        <v>0</v>
      </c>
      <c r="I344" s="1348">
        <f t="shared" ca="1" si="468"/>
        <v>0</v>
      </c>
      <c r="J344" s="1348">
        <f t="shared" ca="1" si="469"/>
        <v>0</v>
      </c>
      <c r="K344" s="1348">
        <f t="shared" ca="1" si="470"/>
        <v>0</v>
      </c>
      <c r="L344" s="1348">
        <f t="shared" ca="1" si="471"/>
        <v>0</v>
      </c>
      <c r="M344" s="1348">
        <f t="shared" ca="1" si="472"/>
        <v>0</v>
      </c>
      <c r="N344" s="1348">
        <f t="shared" ca="1" si="473"/>
        <v>0</v>
      </c>
      <c r="O344" s="1348">
        <f t="shared" ca="1" si="474"/>
        <v>0</v>
      </c>
      <c r="P344" s="1348">
        <f t="shared" ca="1" si="475"/>
        <v>0</v>
      </c>
      <c r="Q344" s="1348">
        <f t="shared" ca="1" si="476"/>
        <v>0</v>
      </c>
      <c r="R344" s="1348">
        <f t="shared" ca="1" si="477"/>
        <v>0</v>
      </c>
      <c r="S344" s="1348">
        <f t="shared" ca="1" si="478"/>
        <v>0</v>
      </c>
      <c r="T344" s="1348">
        <f t="shared" ca="1" si="479"/>
        <v>0</v>
      </c>
      <c r="U344" s="1348">
        <f t="shared" ca="1" si="480"/>
        <v>0</v>
      </c>
      <c r="V344" s="1348">
        <f t="shared" ca="1" si="481"/>
        <v>0</v>
      </c>
      <c r="W344" s="1348">
        <f t="shared" ca="1" si="482"/>
        <v>0</v>
      </c>
    </row>
    <row r="345" spans="1:26" hidden="1" outlineLevel="1">
      <c r="A345" s="225">
        <v>2</v>
      </c>
      <c r="B345" s="212" t="str">
        <f t="shared" ca="1" si="483"/>
        <v>Depreciated Net Capex 2017-18</v>
      </c>
      <c r="C345" s="1351"/>
      <c r="D345" s="1352"/>
      <c r="E345" s="1350">
        <f>(E338*((1+E$11)^0.5)/E$10)</f>
        <v>0</v>
      </c>
      <c r="F345" s="1348">
        <f ca="1">IF(E369="n/a",E345,IFERROR(IF((OFFSET($C345,0,$A345))&lt;0,
MIN(0,E345-(OFFSET($C345,0,$A345)/(OFFSET($C340,-$A344,$A345)))),
MAX(0,E345-(OFFSET($C345,0,$A345)/(OFFSET($C340,-$A344,$A345))))),0))</f>
        <v>0</v>
      </c>
      <c r="G345" s="1348">
        <f t="shared" ca="1" si="466"/>
        <v>0</v>
      </c>
      <c r="H345" s="1348">
        <f t="shared" ca="1" si="467"/>
        <v>0</v>
      </c>
      <c r="I345" s="1348">
        <f t="shared" ca="1" si="468"/>
        <v>0</v>
      </c>
      <c r="J345" s="1348">
        <f t="shared" ca="1" si="469"/>
        <v>0</v>
      </c>
      <c r="K345" s="1348">
        <f t="shared" ca="1" si="470"/>
        <v>0</v>
      </c>
      <c r="L345" s="1348">
        <f t="shared" ca="1" si="471"/>
        <v>0</v>
      </c>
      <c r="M345" s="1348">
        <f t="shared" ca="1" si="472"/>
        <v>0</v>
      </c>
      <c r="N345" s="1348">
        <f t="shared" ca="1" si="473"/>
        <v>0</v>
      </c>
      <c r="O345" s="1348">
        <f t="shared" ca="1" si="474"/>
        <v>0</v>
      </c>
      <c r="P345" s="1348">
        <f t="shared" ca="1" si="475"/>
        <v>0</v>
      </c>
      <c r="Q345" s="1348">
        <f t="shared" ca="1" si="476"/>
        <v>0</v>
      </c>
      <c r="R345" s="1348">
        <f t="shared" ca="1" si="477"/>
        <v>0</v>
      </c>
      <c r="S345" s="1348">
        <f t="shared" ca="1" si="478"/>
        <v>0</v>
      </c>
      <c r="T345" s="1348">
        <f t="shared" ca="1" si="479"/>
        <v>0</v>
      </c>
      <c r="U345" s="1348">
        <f t="shared" ca="1" si="480"/>
        <v>0</v>
      </c>
      <c r="V345" s="1348">
        <f t="shared" ca="1" si="481"/>
        <v>0</v>
      </c>
      <c r="W345" s="1348">
        <f t="shared" ca="1" si="482"/>
        <v>0</v>
      </c>
      <c r="X345" s="228"/>
    </row>
    <row r="346" spans="1:26" hidden="1" outlineLevel="1">
      <c r="A346" s="225">
        <v>3</v>
      </c>
      <c r="B346" s="212" t="str">
        <f t="shared" ca="1" si="483"/>
        <v>Depreciated Net Capex 2018-19</v>
      </c>
      <c r="C346" s="1351"/>
      <c r="D346" s="1351"/>
      <c r="E346" s="1352"/>
      <c r="F346" s="1353">
        <f>($F338*((1+F$11)^0.5)/F$10)</f>
        <v>0</v>
      </c>
      <c r="G346" s="1348">
        <f ca="1">IF(F370="n/a",F346,IFERROR(IF((OFFSET($C346,0,$A346))&lt;0,
MIN(0,F346-(OFFSET($C346,0,$A346)/(OFFSET($C341,-$A345,$A346)))),
MAX(0,F346-(OFFSET($C346,0,$A346)/(OFFSET($C341,-$A345,$A346))))),0))</f>
        <v>0</v>
      </c>
      <c r="H346" s="1348">
        <f t="shared" ca="1" si="467"/>
        <v>0</v>
      </c>
      <c r="I346" s="1348">
        <f t="shared" ca="1" si="468"/>
        <v>0</v>
      </c>
      <c r="J346" s="1348">
        <f t="shared" ca="1" si="469"/>
        <v>0</v>
      </c>
      <c r="K346" s="1348">
        <f t="shared" ca="1" si="470"/>
        <v>0</v>
      </c>
      <c r="L346" s="1348">
        <f t="shared" ca="1" si="471"/>
        <v>0</v>
      </c>
      <c r="M346" s="1348">
        <f t="shared" ca="1" si="472"/>
        <v>0</v>
      </c>
      <c r="N346" s="1348">
        <f t="shared" ca="1" si="473"/>
        <v>0</v>
      </c>
      <c r="O346" s="1348">
        <f t="shared" ca="1" si="474"/>
        <v>0</v>
      </c>
      <c r="P346" s="1348">
        <f t="shared" ca="1" si="475"/>
        <v>0</v>
      </c>
      <c r="Q346" s="1348">
        <f t="shared" ca="1" si="476"/>
        <v>0</v>
      </c>
      <c r="R346" s="1348">
        <f t="shared" ca="1" si="477"/>
        <v>0</v>
      </c>
      <c r="S346" s="1348">
        <f t="shared" ca="1" si="478"/>
        <v>0</v>
      </c>
      <c r="T346" s="1348">
        <f t="shared" ca="1" si="479"/>
        <v>0</v>
      </c>
      <c r="U346" s="1348">
        <f t="shared" ca="1" si="480"/>
        <v>0</v>
      </c>
      <c r="V346" s="1348">
        <f t="shared" ca="1" si="481"/>
        <v>0</v>
      </c>
      <c r="W346" s="1348">
        <f t="shared" ca="1" si="482"/>
        <v>0</v>
      </c>
      <c r="X346" s="228"/>
      <c r="Y346" s="228"/>
    </row>
    <row r="347" spans="1:26" hidden="1" outlineLevel="1">
      <c r="A347" s="225">
        <v>4</v>
      </c>
      <c r="B347" s="212" t="str">
        <f t="shared" ca="1" si="483"/>
        <v>Depreciated Net Capex 2019-20</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2020-21</v>
      </c>
      <c r="C348" s="1351"/>
      <c r="D348" s="1351"/>
      <c r="E348" s="1351"/>
      <c r="F348" s="1351"/>
      <c r="G348" s="1352"/>
      <c r="H348" s="1353">
        <f>(H338*((1+H$11)^0.5)/H$10)</f>
        <v>0</v>
      </c>
      <c r="I348" s="1348">
        <f ca="1">IF(H372="n/a",H348,IFERROR(IF((OFFSET($C348,0,$A348))&lt;0,
MIN(0,H348-(OFFSET($C348,0,$A348)/(OFFSET($C343,-$A347,$A348)))),
MAX(0,H348-(OFFSET($C348,0,$A348)/(OFFSET($C343,-$A347,$A348))))),0))</f>
        <v>0</v>
      </c>
      <c r="J348" s="1348">
        <f t="shared" ca="1" si="469"/>
        <v>0</v>
      </c>
      <c r="K348" s="1348">
        <f t="shared" ca="1" si="470"/>
        <v>0</v>
      </c>
      <c r="L348" s="1348">
        <f t="shared" ca="1" si="471"/>
        <v>0</v>
      </c>
      <c r="M348" s="1348">
        <f t="shared" ca="1" si="472"/>
        <v>0</v>
      </c>
      <c r="N348" s="1348">
        <f t="shared" ca="1" si="473"/>
        <v>0</v>
      </c>
      <c r="O348" s="1348">
        <f t="shared" ca="1" si="474"/>
        <v>0</v>
      </c>
      <c r="P348" s="1348">
        <f t="shared" ca="1" si="475"/>
        <v>0</v>
      </c>
      <c r="Q348" s="1348">
        <f t="shared" ca="1" si="476"/>
        <v>0</v>
      </c>
      <c r="R348" s="1348">
        <f t="shared" ca="1" si="477"/>
        <v>0</v>
      </c>
      <c r="S348" s="1348">
        <f t="shared" ca="1" si="478"/>
        <v>0</v>
      </c>
      <c r="T348" s="1348">
        <f t="shared" ca="1" si="479"/>
        <v>0</v>
      </c>
      <c r="U348" s="1348">
        <f t="shared" ca="1" si="480"/>
        <v>0</v>
      </c>
      <c r="V348" s="1348">
        <f t="shared" ca="1" si="481"/>
        <v>0</v>
      </c>
      <c r="W348" s="1348">
        <f t="shared" ca="1" si="482"/>
        <v>0</v>
      </c>
      <c r="X348" s="228"/>
      <c r="Y348" s="228"/>
      <c r="Z348" s="228"/>
    </row>
    <row r="349" spans="1:26" hidden="1" outlineLevel="1">
      <c r="A349" s="225">
        <v>6</v>
      </c>
      <c r="B349" s="212" t="str">
        <f t="shared" ca="1" si="483"/>
        <v>Depreciated Net Capex 2021-22</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2022-23</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2023-24</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2024-25</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2025-26</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2026-27</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2027-28</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2028-29</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2029-30</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2030-31</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2031-32</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2032-33</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2033-34</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2034-35</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2035-36</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f ca="1">C339</f>
        <v>62.960154804636616</v>
      </c>
      <c r="D367" s="1348">
        <f t="shared" ref="D367" ca="1" si="503">IF(C367="n/a","n/a",MAX(0,C367-1))</f>
        <v>61.960154804636616</v>
      </c>
      <c r="E367" s="1348">
        <f t="shared" ref="E367:E368" ca="1" si="504">IF(D367="n/a","n/a",MAX(0,D367-1))</f>
        <v>60.960154804636616</v>
      </c>
      <c r="F367" s="1348">
        <f t="shared" ref="F367:F369" ca="1" si="505">IF(E367="n/a","n/a",MAX(0,E367-1))</f>
        <v>59.960154804636616</v>
      </c>
      <c r="G367" s="1348">
        <f t="shared" ref="G367:G370" ca="1" si="506">IF(F367="n/a","n/a",MAX(0,F367-1))</f>
        <v>58.960154804636616</v>
      </c>
      <c r="H367" s="1348">
        <f t="shared" ref="H367:H371" ca="1" si="507">IF(G367="n/a","n/a",MAX(0,G367-1))</f>
        <v>57.960154804636616</v>
      </c>
      <c r="I367" s="1348">
        <f t="shared" ref="I367:I372" ca="1" si="508">IF(H367="n/a","n/a",MAX(0,H367-1))</f>
        <v>56.960154804636616</v>
      </c>
      <c r="J367" s="1348">
        <f t="shared" ref="J367:J373" ca="1" si="509">IF(I367="n/a","n/a",MAX(0,I367-1))</f>
        <v>55.960154804636616</v>
      </c>
      <c r="K367" s="1348">
        <f t="shared" ref="K367:K374" ca="1" si="510">IF(J367="n/a","n/a",MAX(0,J367-1))</f>
        <v>54.960154804636616</v>
      </c>
      <c r="L367" s="1348">
        <f t="shared" ref="L367:L375" ca="1" si="511">IF(K367="n/a","n/a",MAX(0,K367-1))</f>
        <v>53.960154804636616</v>
      </c>
      <c r="M367" s="1348">
        <f t="shared" ref="M367:M376" ca="1" si="512">IF(L367="n/a","n/a",MAX(0,L367-1))</f>
        <v>52.960154804636616</v>
      </c>
      <c r="N367" s="1348">
        <f t="shared" ref="N367:N377" ca="1" si="513">IF(M367="n/a","n/a",MAX(0,M367-1))</f>
        <v>51.960154804636616</v>
      </c>
      <c r="O367" s="1348">
        <f t="shared" ref="O367:O378" ca="1" si="514">IF(N367="n/a","n/a",MAX(0,N367-1))</f>
        <v>50.960154804636616</v>
      </c>
      <c r="P367" s="1348">
        <f t="shared" ref="P367:P379" ca="1" si="515">IF(O367="n/a","n/a",MAX(0,O367-1))</f>
        <v>49.960154804636616</v>
      </c>
      <c r="Q367" s="1348">
        <f t="shared" ref="Q367:Q380" ca="1" si="516">IF(P367="n/a","n/a",MAX(0,P367-1))</f>
        <v>48.960154804636616</v>
      </c>
      <c r="R367" s="1348">
        <f t="shared" ref="R367:R381" ca="1" si="517">IF(Q367="n/a","n/a",MAX(0,Q367-1))</f>
        <v>47.960154804636616</v>
      </c>
      <c r="S367" s="1348">
        <f t="shared" ref="S367:S382" ca="1" si="518">IF(R367="n/a","n/a",MAX(0,R367-1))</f>
        <v>46.960154804636616</v>
      </c>
      <c r="T367" s="1348">
        <f t="shared" ref="T367:T383" ca="1" si="519">IF(S367="n/a","n/a",MAX(0,S367-1))</f>
        <v>45.960154804636616</v>
      </c>
      <c r="U367" s="1348">
        <f t="shared" ref="U367:U384" ca="1" si="520">IF(T367="n/a","n/a",MAX(0,T367-1))</f>
        <v>44.960154804636616</v>
      </c>
      <c r="V367" s="1348">
        <f t="shared" ref="V367:V385" ca="1" si="521">IF(U367="n/a","n/a",MAX(0,U367-1))</f>
        <v>43.960154804636616</v>
      </c>
      <c r="W367" s="1348">
        <f t="shared" ref="W367:W385" ca="1" si="522">IF(V367="n/a","n/a",MAX(0,V367-1))</f>
        <v>42.960154804636616</v>
      </c>
    </row>
    <row r="368" spans="1:26" hidden="1" outlineLevel="1">
      <c r="B368" s="212" t="str">
        <f t="shared" ref="B368:B387" ca="1" si="523">"RL Capex "&amp;OFFSET($C$6,0,A344)</f>
        <v>RL Capex 2016-17</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2017-18</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2018-19</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2019-20</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2020-21</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2021-22</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2022-23</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2023-24</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2024-25</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2025-26</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2026-27</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2027-28</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2028-29</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2029-30</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2030-31</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2031-32</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2032-33</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2033-34</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2034-35</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2035-36</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f ca="1">(IF(OR($C339&lt;&gt;"n/a",C339&lt;&gt;"n/a"),IF(SUM(C342:C364)=0,0,IF((SUMPRODUCT(C342:C364,C366:C388)/SUM(C342:C364))&lt;0,1,(SUMPRODUCT(C342:C364,C366:C388)/SUM(C342:C364)))),"n/a"))</f>
        <v>62.960154804636623</v>
      </c>
      <c r="D389" s="1356">
        <f ca="1">(IF(OR($C339&lt;&gt;"n/a",D339&lt;&gt;"n/a"),IF(SUM(D342:D364)=0,0,IF((SUMPRODUCT(D342:D364,D366:D388)/SUM(D342:D364))&lt;0,1,(SUMPRODUCT(D342:D364,D366:D388)/SUM(D342:D364)))),"n/a"))</f>
        <v>61.960154804636616</v>
      </c>
      <c r="E389" s="1356">
        <f t="shared" ref="E389:W389" ca="1" si="524">(IF(OR($C339&lt;&gt;"n/a",E339&lt;&gt;"n/a"),IF(SUM(E342:E364)=0,0,IF((SUMPRODUCT(E342:E364,E366:E388)/SUM(E342:E364))&lt;0,1,(SUMPRODUCT(E342:E364,E366:E388)/SUM(E342:E364)))),"n/a"))</f>
        <v>60.960154804636616</v>
      </c>
      <c r="F389" s="1356">
        <f t="shared" ca="1" si="524"/>
        <v>59.960154804636616</v>
      </c>
      <c r="G389" s="1356">
        <f t="shared" ca="1" si="524"/>
        <v>58.960154804636616</v>
      </c>
      <c r="H389" s="1356">
        <f t="shared" ca="1" si="524"/>
        <v>57.960154804636616</v>
      </c>
      <c r="I389" s="1356">
        <f t="shared" ca="1" si="524"/>
        <v>56.960154804636616</v>
      </c>
      <c r="J389" s="1356">
        <f t="shared" ca="1" si="524"/>
        <v>55.960154804636616</v>
      </c>
      <c r="K389" s="1356">
        <f t="shared" ca="1" si="524"/>
        <v>54.960154804636616</v>
      </c>
      <c r="L389" s="1356">
        <f t="shared" ca="1" si="524"/>
        <v>53.960154804636609</v>
      </c>
      <c r="M389" s="1356">
        <f t="shared" ca="1" si="524"/>
        <v>52.960154804636616</v>
      </c>
      <c r="N389" s="1356">
        <f t="shared" ca="1" si="524"/>
        <v>51.960154804636623</v>
      </c>
      <c r="O389" s="1356">
        <f t="shared" ca="1" si="524"/>
        <v>50.960154804636616</v>
      </c>
      <c r="P389" s="1356">
        <f t="shared" ca="1" si="524"/>
        <v>49.960154804636616</v>
      </c>
      <c r="Q389" s="1356">
        <f t="shared" ca="1" si="524"/>
        <v>48.960154804636616</v>
      </c>
      <c r="R389" s="1356">
        <f t="shared" ca="1" si="524"/>
        <v>47.960154804636616</v>
      </c>
      <c r="S389" s="1356">
        <f t="shared" ca="1" si="524"/>
        <v>46.960154804636616</v>
      </c>
      <c r="T389" s="1356">
        <f t="shared" ca="1" si="524"/>
        <v>45.960154804636616</v>
      </c>
      <c r="U389" s="1356">
        <f t="shared" ca="1" si="524"/>
        <v>44.960154804636616</v>
      </c>
      <c r="V389" s="1356">
        <f t="shared" ca="1" si="524"/>
        <v>43.960154804636609</v>
      </c>
      <c r="W389" s="1356">
        <f t="shared" ca="1" si="524"/>
        <v>42.960154804636616</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1.3471273640548568E-2</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v>
      </c>
      <c r="I392" s="1344">
        <f>IF(LEFT(I$6,4)&lt;LEFT('RFM input'!$G$60,4),"enter input",IF(LEFT(I$6,4)&gt;LEFT('RFM input'!$Q$60,4),0,
INDEX('RFM input'!$G$223:$Q$272,$A392,MATCH(I$6,'RFM input'!$G$222:$Q$222,0))
-INDEX('RFM input'!$G$277:$Q$326,$A392,MATCH(I$6,'RFM input'!$G$222:$Q$222,0))))</f>
        <v>0</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1.3471273640548568E-2</v>
      </c>
      <c r="D397" s="1348">
        <f ca="1">IF(C421="n/a",C397,IFERROR(IF((OFFSET($C397,0,$A397))&lt;0,
MIN(0,C397-(OFFSET($C397,0,$A397)/(OFFSET($C392,-$A396,$A397)))),
MAX(0,C397-(OFFSET($C397,0,$A397)/(OFFSET($C392,-$A396,$A397))))),0))</f>
        <v>1.3471273640548568E-2</v>
      </c>
      <c r="E397" s="1348">
        <f t="shared" ref="E397" ca="1" si="544">IF(D421="n/a",D397,IFERROR(IF((OFFSET($C397,0,$A397))&lt;0,
MIN(0,D397-(OFFSET($C397,0,$A397)/(OFFSET($C392,-$A396,$A397)))),
MAX(0,D397-(OFFSET($C397,0,$A397)/(OFFSET($C392,-$A396,$A397))))),0))</f>
        <v>1.3471273640548568E-2</v>
      </c>
      <c r="F397" s="1348">
        <f t="shared" ref="F397:F398" ca="1" si="545">IF(E421="n/a",E397,IFERROR(IF((OFFSET($C397,0,$A397))&lt;0,
MIN(0,E397-(OFFSET($C397,0,$A397)/(OFFSET($C392,-$A396,$A397)))),
MAX(0,E397-(OFFSET($C397,0,$A397)/(OFFSET($C392,-$A396,$A397))))),0))</f>
        <v>1.3471273640548568E-2</v>
      </c>
      <c r="G397" s="1348">
        <f t="shared" ref="G397:G399" ca="1" si="546">IF(F421="n/a",F397,IFERROR(IF((OFFSET($C397,0,$A397))&lt;0,
MIN(0,F397-(OFFSET($C397,0,$A397)/(OFFSET($C392,-$A396,$A397)))),
MAX(0,F397-(OFFSET($C397,0,$A397)/(OFFSET($C392,-$A396,$A397))))),0))</f>
        <v>1.3471273640548568E-2</v>
      </c>
      <c r="H397" s="1348">
        <f t="shared" ref="H397:H400" ca="1" si="547">IF(G421="n/a",G397,IFERROR(IF((OFFSET($C397,0,$A397))&lt;0,
MIN(0,G397-(OFFSET($C397,0,$A397)/(OFFSET($C392,-$A396,$A397)))),
MAX(0,G397-(OFFSET($C397,0,$A397)/(OFFSET($C392,-$A396,$A397))))),0))</f>
        <v>1.3471273640548568E-2</v>
      </c>
      <c r="I397" s="1348">
        <f t="shared" ref="I397:I401" ca="1" si="548">IF(H421="n/a",H397,IFERROR(IF((OFFSET($C397,0,$A397))&lt;0,
MIN(0,H397-(OFFSET($C397,0,$A397)/(OFFSET($C392,-$A396,$A397)))),
MAX(0,H397-(OFFSET($C397,0,$A397)/(OFFSET($C392,-$A396,$A397))))),0))</f>
        <v>1.3471273640548568E-2</v>
      </c>
      <c r="J397" s="1348">
        <f t="shared" ref="J397:J402" ca="1" si="549">IF(I421="n/a",I397,IFERROR(IF((OFFSET($C397,0,$A397))&lt;0,
MIN(0,I397-(OFFSET($C397,0,$A397)/(OFFSET($C392,-$A396,$A397)))),
MAX(0,I397-(OFFSET($C397,0,$A397)/(OFFSET($C392,-$A396,$A397))))),0))</f>
        <v>1.3471273640548568E-2</v>
      </c>
      <c r="K397" s="1348">
        <f t="shared" ref="K397:K403" ca="1" si="550">IF(J421="n/a",J397,IFERROR(IF((OFFSET($C397,0,$A397))&lt;0,
MIN(0,J397-(OFFSET($C397,0,$A397)/(OFFSET($C392,-$A396,$A397)))),
MAX(0,J397-(OFFSET($C397,0,$A397)/(OFFSET($C392,-$A396,$A397))))),0))</f>
        <v>1.3471273640548568E-2</v>
      </c>
      <c r="L397" s="1348">
        <f t="shared" ref="L397:L404" ca="1" si="551">IF(K421="n/a",K397,IFERROR(IF((OFFSET($C397,0,$A397))&lt;0,
MIN(0,K397-(OFFSET($C397,0,$A397)/(OFFSET($C392,-$A396,$A397)))),
MAX(0,K397-(OFFSET($C397,0,$A397)/(OFFSET($C392,-$A396,$A397))))),0))</f>
        <v>1.3471273640548568E-2</v>
      </c>
      <c r="M397" s="1348">
        <f t="shared" ref="M397:M405" ca="1" si="552">IF(L421="n/a",L397,IFERROR(IF((OFFSET($C397,0,$A397))&lt;0,
MIN(0,L397-(OFFSET($C397,0,$A397)/(OFFSET($C392,-$A396,$A397)))),
MAX(0,L397-(OFFSET($C397,0,$A397)/(OFFSET($C392,-$A396,$A397))))),0))</f>
        <v>1.3471273640548568E-2</v>
      </c>
      <c r="N397" s="1348">
        <f t="shared" ref="N397:N406" ca="1" si="553">IF(M421="n/a",M397,IFERROR(IF((OFFSET($C397,0,$A397))&lt;0,
MIN(0,M397-(OFFSET($C397,0,$A397)/(OFFSET($C392,-$A396,$A397)))),
MAX(0,M397-(OFFSET($C397,0,$A397)/(OFFSET($C392,-$A396,$A397))))),0))</f>
        <v>1.3471273640548568E-2</v>
      </c>
      <c r="O397" s="1348">
        <f t="shared" ref="O397:O407" ca="1" si="554">IF(N421="n/a",N397,IFERROR(IF((OFFSET($C397,0,$A397))&lt;0,
MIN(0,N397-(OFFSET($C397,0,$A397)/(OFFSET($C392,-$A396,$A397)))),
MAX(0,N397-(OFFSET($C397,0,$A397)/(OFFSET($C392,-$A396,$A397))))),0))</f>
        <v>1.3471273640548568E-2</v>
      </c>
      <c r="P397" s="1348">
        <f t="shared" ref="P397:P408" ca="1" si="555">IF(O421="n/a",O397,IFERROR(IF((OFFSET($C397,0,$A397))&lt;0,
MIN(0,O397-(OFFSET($C397,0,$A397)/(OFFSET($C392,-$A396,$A397)))),
MAX(0,O397-(OFFSET($C397,0,$A397)/(OFFSET($C392,-$A396,$A397))))),0))</f>
        <v>1.3471273640548568E-2</v>
      </c>
      <c r="Q397" s="1348">
        <f t="shared" ref="Q397:Q409" ca="1" si="556">IF(P421="n/a",P397,IFERROR(IF((OFFSET($C397,0,$A397))&lt;0,
MIN(0,P397-(OFFSET($C397,0,$A397)/(OFFSET($C392,-$A396,$A397)))),
MAX(0,P397-(OFFSET($C397,0,$A397)/(OFFSET($C392,-$A396,$A397))))),0))</f>
        <v>1.3471273640548568E-2</v>
      </c>
      <c r="R397" s="1348">
        <f t="shared" ref="R397:R410" ca="1" si="557">IF(Q421="n/a",Q397,IFERROR(IF((OFFSET($C397,0,$A397))&lt;0,
MIN(0,Q397-(OFFSET($C397,0,$A397)/(OFFSET($C392,-$A396,$A397)))),
MAX(0,Q397-(OFFSET($C397,0,$A397)/(OFFSET($C392,-$A396,$A397))))),0))</f>
        <v>1.3471273640548568E-2</v>
      </c>
      <c r="S397" s="1348">
        <f t="shared" ref="S397:S411" ca="1" si="558">IF(R421="n/a",R397,IFERROR(IF((OFFSET($C397,0,$A397))&lt;0,
MIN(0,R397-(OFFSET($C397,0,$A397)/(OFFSET($C392,-$A396,$A397)))),
MAX(0,R397-(OFFSET($C397,0,$A397)/(OFFSET($C392,-$A396,$A397))))),0))</f>
        <v>1.3471273640548568E-2</v>
      </c>
      <c r="T397" s="1348">
        <f t="shared" ref="T397:T412" ca="1" si="559">IF(S421="n/a",S397,IFERROR(IF((OFFSET($C397,0,$A397))&lt;0,
MIN(0,S397-(OFFSET($C397,0,$A397)/(OFFSET($C392,-$A396,$A397)))),
MAX(0,S397-(OFFSET($C397,0,$A397)/(OFFSET($C392,-$A396,$A397))))),0))</f>
        <v>1.3471273640548568E-2</v>
      </c>
      <c r="U397" s="1348">
        <f t="shared" ref="U397:U413" ca="1" si="560">IF(T421="n/a",T397,IFERROR(IF((OFFSET($C397,0,$A397))&lt;0,
MIN(0,T397-(OFFSET($C397,0,$A397)/(OFFSET($C392,-$A396,$A397)))),
MAX(0,T397-(OFFSET($C397,0,$A397)/(OFFSET($C392,-$A396,$A397))))),0))</f>
        <v>1.3471273640548568E-2</v>
      </c>
      <c r="V397" s="1348">
        <f t="shared" ref="V397:V414" ca="1" si="561">IF(U421="n/a",U397,IFERROR(IF((OFFSET($C397,0,$A397))&lt;0,
MIN(0,U397-(OFFSET($C397,0,$A397)/(OFFSET($C392,-$A396,$A397)))),
MAX(0,U397-(OFFSET($C397,0,$A397)/(OFFSET($C392,-$A396,$A397))))),0))</f>
        <v>1.3471273640548568E-2</v>
      </c>
      <c r="W397" s="1348">
        <f t="shared" ref="W397:W415" ca="1" si="562">IF(V421="n/a",V397,IFERROR(IF((OFFSET($C397,0,$A397))&lt;0,
MIN(0,V397-(OFFSET($C397,0,$A397)/(OFFSET($C392,-$A396,$A397)))),
MAX(0,V397-(OFFSET($C397,0,$A397)/(OFFSET($C392,-$A396,$A397))))),0))</f>
        <v>1.3471273640548568E-2</v>
      </c>
    </row>
    <row r="398" spans="1:25" hidden="1" outlineLevel="1">
      <c r="A398" s="225">
        <v>1</v>
      </c>
      <c r="B398" s="212" t="str">
        <f t="shared" ref="B398:B416" ca="1" si="563">"Depreciated Net Capex "&amp;OFFSET($C$6,0,A398)</f>
        <v>Depreciated Net Capex 2016-17</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2017-18</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2018-19</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2019-20</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2020-21</v>
      </c>
      <c r="C402" s="1351"/>
      <c r="D402" s="1351"/>
      <c r="E402" s="1351"/>
      <c r="F402" s="1351"/>
      <c r="G402" s="1352"/>
      <c r="H402" s="1353">
        <f>(H392*((1+H$11)^0.5)/H$10)</f>
        <v>0</v>
      </c>
      <c r="I402" s="1348">
        <f ca="1">IF(H426="n/a",H402,IFERROR(IF((OFFSET($C402,0,$A402))&lt;0,
MIN(0,H402-(OFFSET($C402,0,$A402)/(OFFSET($C397,-$A401,$A402)))),
MAX(0,H402-(OFFSET($C402,0,$A402)/(OFFSET($C397,-$A401,$A402))))),0))</f>
        <v>0</v>
      </c>
      <c r="J402" s="1348">
        <f t="shared" ca="1" si="549"/>
        <v>0</v>
      </c>
      <c r="K402" s="1348">
        <f t="shared" ca="1" si="550"/>
        <v>0</v>
      </c>
      <c r="L402" s="1348">
        <f t="shared" ca="1" si="551"/>
        <v>0</v>
      </c>
      <c r="M402" s="1348">
        <f t="shared" ca="1" si="552"/>
        <v>0</v>
      </c>
      <c r="N402" s="1348">
        <f t="shared" ca="1" si="553"/>
        <v>0</v>
      </c>
      <c r="O402" s="1348">
        <f t="shared" ca="1" si="554"/>
        <v>0</v>
      </c>
      <c r="P402" s="1348">
        <f t="shared" ca="1" si="555"/>
        <v>0</v>
      </c>
      <c r="Q402" s="1348">
        <f t="shared" ca="1" si="556"/>
        <v>0</v>
      </c>
      <c r="R402" s="1348">
        <f t="shared" ca="1" si="557"/>
        <v>0</v>
      </c>
      <c r="S402" s="1348">
        <f t="shared" ca="1" si="558"/>
        <v>0</v>
      </c>
      <c r="T402" s="1348">
        <f t="shared" ca="1" si="559"/>
        <v>0</v>
      </c>
      <c r="U402" s="1348">
        <f t="shared" ca="1" si="560"/>
        <v>0</v>
      </c>
      <c r="V402" s="1348">
        <f t="shared" ca="1" si="561"/>
        <v>0</v>
      </c>
      <c r="W402" s="1348">
        <f t="shared" ca="1" si="562"/>
        <v>0</v>
      </c>
      <c r="X402" s="228"/>
      <c r="Y402" s="228"/>
      <c r="Z402" s="228"/>
    </row>
    <row r="403" spans="1:26" hidden="1" outlineLevel="1">
      <c r="A403" s="225">
        <v>6</v>
      </c>
      <c r="B403" s="212" t="str">
        <f t="shared" ca="1" si="563"/>
        <v>Depreciated Net Capex 2021-22</v>
      </c>
      <c r="C403" s="1351"/>
      <c r="D403" s="1351"/>
      <c r="E403" s="1351"/>
      <c r="F403" s="1351"/>
      <c r="G403" s="1351"/>
      <c r="H403" s="1352"/>
      <c r="I403" s="1353">
        <f>(I392*((1+I$11)^0.5)/I$10)</f>
        <v>0</v>
      </c>
      <c r="J403" s="1348">
        <f ca="1">IF(I427="n/a",I403,IFERROR(IF((OFFSET($C403,0,$A403))&lt;0,
MIN(0,I403-(OFFSET($C403,0,$A403)/(OFFSET($C398,-$A402,$A403)))),
MAX(0,I403-(OFFSET($C403,0,$A403)/(OFFSET($C398,-$A402,$A403))))),0))</f>
        <v>0</v>
      </c>
      <c r="K403" s="1348">
        <f t="shared" ca="1" si="550"/>
        <v>0</v>
      </c>
      <c r="L403" s="1348">
        <f t="shared" ca="1" si="551"/>
        <v>0</v>
      </c>
      <c r="M403" s="1348">
        <f t="shared" ca="1" si="552"/>
        <v>0</v>
      </c>
      <c r="N403" s="1348">
        <f t="shared" ca="1" si="553"/>
        <v>0</v>
      </c>
      <c r="O403" s="1348">
        <f t="shared" ca="1" si="554"/>
        <v>0</v>
      </c>
      <c r="P403" s="1348">
        <f t="shared" ca="1" si="555"/>
        <v>0</v>
      </c>
      <c r="Q403" s="1348">
        <f t="shared" ca="1" si="556"/>
        <v>0</v>
      </c>
      <c r="R403" s="1348">
        <f t="shared" ca="1" si="557"/>
        <v>0</v>
      </c>
      <c r="S403" s="1348">
        <f t="shared" ca="1" si="558"/>
        <v>0</v>
      </c>
      <c r="T403" s="1348">
        <f t="shared" ca="1" si="559"/>
        <v>0</v>
      </c>
      <c r="U403" s="1348">
        <f t="shared" ca="1" si="560"/>
        <v>0</v>
      </c>
      <c r="V403" s="1348">
        <f t="shared" ca="1" si="561"/>
        <v>0</v>
      </c>
      <c r="W403" s="1348">
        <f t="shared" ca="1" si="562"/>
        <v>0</v>
      </c>
      <c r="X403" s="228"/>
      <c r="Y403" s="228"/>
      <c r="Z403" s="228"/>
    </row>
    <row r="404" spans="1:26" hidden="1" outlineLevel="1">
      <c r="A404" s="225">
        <v>7</v>
      </c>
      <c r="B404" s="212" t="str">
        <f t="shared" ca="1" si="563"/>
        <v>Depreciated Net Capex 2022-23</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2023-24</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2024-25</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2025-26</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2026-27</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2027-28</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2028-29</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2029-30</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2030-31</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2031-32</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2032-33</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2033-34</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2034-35</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2035-36</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2016-17</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2017-18</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2018-19</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2019-20</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2020-21</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2021-22</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2022-23</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2023-24</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2024-25</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2025-26</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2026-27</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2027-28</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2028-29</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2029-30</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2030-31</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2031-32</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2032-33</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2033-34</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2034-35</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2035-36</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6.7790268728406859</v>
      </c>
      <c r="D446" s="1344">
        <f>IF(LEFT(D$6,4)&lt;LEFT('RFM input'!$G$60,4),"enter input",IF(LEFT(D$6,4)&gt;LEFT('RFM input'!$Q$60,4),0,
INDEX('RFM input'!$G$223:$Q$272,$A446,MATCH(D$6,'RFM input'!$G$222:$Q$222,0))
-INDEX('RFM input'!$G$277:$Q$326,$A446,MATCH(D$6,'RFM input'!$G$222:$Q$222,0))))</f>
        <v>1.3332419999999999E-2</v>
      </c>
      <c r="E446" s="1344">
        <f>IF(LEFT(E$6,4)&lt;LEFT('RFM input'!$G$60,4),"enter input",IF(LEFT(E$6,4)&gt;LEFT('RFM input'!$Q$60,4),0,
INDEX('RFM input'!$G$223:$Q$272,$A446,MATCH(E$6,'RFM input'!$G$222:$Q$222,0))
-INDEX('RFM input'!$G$277:$Q$326,$A446,MATCH(E$6,'RFM input'!$G$222:$Q$222,0))))</f>
        <v>0.3469156000000001</v>
      </c>
      <c r="F446" s="1344">
        <f>IF(LEFT(F$6,4)&lt;LEFT('RFM input'!$G$60,4),"enter input",IF(LEFT(F$6,4)&gt;LEFT('RFM input'!$Q$60,4),0,
INDEX('RFM input'!$G$223:$Q$272,$A446,MATCH(F$6,'RFM input'!$G$222:$Q$222,0))
-INDEX('RFM input'!$G$277:$Q$326,$A446,MATCH(F$6,'RFM input'!$G$222:$Q$222,0))))</f>
        <v>0.20177433000000003</v>
      </c>
      <c r="G446" s="1344">
        <f>IF(LEFT(G$6,4)&lt;LEFT('RFM input'!$G$60,4),"enter input",IF(LEFT(G$6,4)&gt;LEFT('RFM input'!$Q$60,4),0,
INDEX('RFM input'!$G$223:$Q$272,$A446,MATCH(G$6,'RFM input'!$G$222:$Q$222,0))
-INDEX('RFM input'!$G$277:$Q$326,$A446,MATCH(G$6,'RFM input'!$G$222:$Q$222,0))))</f>
        <v>9.5852049999999994E-2</v>
      </c>
      <c r="H446" s="1344">
        <f>IF(LEFT(H$6,4)&lt;LEFT('RFM input'!$G$60,4),"enter input",IF(LEFT(H$6,4)&gt;LEFT('RFM input'!$Q$60,4),0,
INDEX('RFM input'!$G$223:$Q$272,$A446,MATCH(H$6,'RFM input'!$G$222:$Q$222,0))
-INDEX('RFM input'!$G$277:$Q$326,$A446,MATCH(H$6,'RFM input'!$G$222:$Q$222,0))))</f>
        <v>8.1807199999999997E-2</v>
      </c>
      <c r="I446" s="1344">
        <f>IF(LEFT(I$6,4)&lt;LEFT('RFM input'!$G$60,4),"enter input",IF(LEFT(I$6,4)&gt;LEFT('RFM input'!$Q$60,4),0,
INDEX('RFM input'!$G$223:$Q$272,$A446,MATCH(I$6,'RFM input'!$G$222:$Q$222,0))
-INDEX('RFM input'!$G$277:$Q$326,$A446,MATCH(I$6,'RFM input'!$G$222:$Q$222,0))))</f>
        <v>-0.11106858</v>
      </c>
      <c r="J446" s="1344">
        <f>IF(LEFT(J$6,4)&lt;LEFT('RFM input'!$G$60,4),"enter input",IF(LEFT(J$6,4)&gt;LEFT('RFM input'!$Q$60,4),0,
INDEX('RFM input'!$G$223:$Q$272,$A446,MATCH(J$6,'RFM input'!$G$222:$Q$222,0))
-INDEX('RFM input'!$G$277:$Q$326,$A446,MATCH(J$6,'RFM input'!$G$222:$Q$222,0))))</f>
        <v>0</v>
      </c>
      <c r="K446" s="1344">
        <f>IF(LEFT(K$6,4)&lt;LEFT('RFM input'!$G$60,4),"enter input",IF(LEFT(K$6,4)&gt;LEFT('RFM input'!$Q$60,4),0,
INDEX('RFM input'!$G$223:$Q$272,$A446,MATCH(K$6,'RFM input'!$G$222:$Q$222,0))
-INDEX('RFM input'!$G$277:$Q$326,$A446,MATCH(K$6,'RFM input'!$G$222:$Q$222,0))))</f>
        <v>0</v>
      </c>
      <c r="L446" s="1344">
        <f>IF(LEFT(L$6,4)&lt;LEFT('RFM input'!$G$60,4),"enter input",IF(LEFT(L$6,4)&gt;LEFT('RFM input'!$Q$60,4),0,
INDEX('RFM input'!$G$223:$Q$272,$A446,MATCH(L$6,'RFM input'!$G$222:$Q$222,0))
-INDEX('RFM input'!$G$277:$Q$326,$A446,MATCH(L$6,'RFM input'!$G$222:$Q$222,0))))</f>
        <v>0</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f ca="1">IF($C$8='Capital base roll forward'!$H$4,OFFSET('RFM input'!$K$6,'Capital base remaining lives'!A446,0),"enter input")</f>
        <v>73.029983848444573</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6.7790268728406859</v>
      </c>
      <c r="D451" s="1348">
        <f ca="1">IF(C475="n/a",C451,IFERROR(IF((OFFSET($C451,0,$A451))&lt;0,
MIN(0,C451-(OFFSET($C451,0,$A451)/(OFFSET($C446,-$A450,$A451)))),
MAX(0,C451-(OFFSET($C451,0,$A451)/(OFFSET($C446,-$A450,$A451))))),0))</f>
        <v>6.6862016178480399</v>
      </c>
      <c r="E451" s="1348">
        <f t="shared" ref="E451" ca="1" si="624">IF(D475="n/a",D451,IFERROR(IF((OFFSET($C451,0,$A451))&lt;0,
MIN(0,D451-(OFFSET($C451,0,$A451)/(OFFSET($C446,-$A450,$A451)))),
MAX(0,D451-(OFFSET($C451,0,$A451)/(OFFSET($C446,-$A450,$A451))))),0))</f>
        <v>6.5933763628553939</v>
      </c>
      <c r="F451" s="1348">
        <f t="shared" ref="F451:F452" ca="1" si="625">IF(E475="n/a",E451,IFERROR(IF((OFFSET($C451,0,$A451))&lt;0,
MIN(0,E451-(OFFSET($C451,0,$A451)/(OFFSET($C446,-$A450,$A451)))),
MAX(0,E451-(OFFSET($C451,0,$A451)/(OFFSET($C446,-$A450,$A451))))),0))</f>
        <v>6.5005511078627478</v>
      </c>
      <c r="G451" s="1348">
        <f t="shared" ref="G451:G453" ca="1" si="626">IF(F475="n/a",F451,IFERROR(IF((OFFSET($C451,0,$A451))&lt;0,
MIN(0,F451-(OFFSET($C451,0,$A451)/(OFFSET($C446,-$A450,$A451)))),
MAX(0,F451-(OFFSET($C451,0,$A451)/(OFFSET($C446,-$A450,$A451))))),0))</f>
        <v>6.4077258528701018</v>
      </c>
      <c r="H451" s="1348">
        <f t="shared" ref="H451:H454" ca="1" si="627">IF(G475="n/a",G451,IFERROR(IF((OFFSET($C451,0,$A451))&lt;0,
MIN(0,G451-(OFFSET($C451,0,$A451)/(OFFSET($C446,-$A450,$A451)))),
MAX(0,G451-(OFFSET($C451,0,$A451)/(OFFSET($C446,-$A450,$A451))))),0))</f>
        <v>6.3149005978774557</v>
      </c>
      <c r="I451" s="1348">
        <f t="shared" ref="I451:I455" ca="1" si="628">IF(H475="n/a",H451,IFERROR(IF((OFFSET($C451,0,$A451))&lt;0,
MIN(0,H451-(OFFSET($C451,0,$A451)/(OFFSET($C446,-$A450,$A451)))),
MAX(0,H451-(OFFSET($C451,0,$A451)/(OFFSET($C446,-$A450,$A451))))),0))</f>
        <v>6.2220753428848097</v>
      </c>
      <c r="J451" s="1348">
        <f t="shared" ref="J451:J456" ca="1" si="629">IF(I475="n/a",I451,IFERROR(IF((OFFSET($C451,0,$A451))&lt;0,
MIN(0,I451-(OFFSET($C451,0,$A451)/(OFFSET($C446,-$A450,$A451)))),
MAX(0,I451-(OFFSET($C451,0,$A451)/(OFFSET($C446,-$A450,$A451))))),0))</f>
        <v>6.1292500878921636</v>
      </c>
      <c r="K451" s="1348">
        <f t="shared" ref="K451:K457" ca="1" si="630">IF(J475="n/a",J451,IFERROR(IF((OFFSET($C451,0,$A451))&lt;0,
MIN(0,J451-(OFFSET($C451,0,$A451)/(OFFSET($C446,-$A450,$A451)))),
MAX(0,J451-(OFFSET($C451,0,$A451)/(OFFSET($C446,-$A450,$A451))))),0))</f>
        <v>6.0364248328995176</v>
      </c>
      <c r="L451" s="1348">
        <f t="shared" ref="L451:L458" ca="1" si="631">IF(K475="n/a",K451,IFERROR(IF((OFFSET($C451,0,$A451))&lt;0,
MIN(0,K451-(OFFSET($C451,0,$A451)/(OFFSET($C446,-$A450,$A451)))),
MAX(0,K451-(OFFSET($C451,0,$A451)/(OFFSET($C446,-$A450,$A451))))),0))</f>
        <v>5.9435995779068715</v>
      </c>
      <c r="M451" s="1348">
        <f t="shared" ref="M451:M459" ca="1" si="632">IF(L475="n/a",L451,IFERROR(IF((OFFSET($C451,0,$A451))&lt;0,
MIN(0,L451-(OFFSET($C451,0,$A451)/(OFFSET($C446,-$A450,$A451)))),
MAX(0,L451-(OFFSET($C451,0,$A451)/(OFFSET($C446,-$A450,$A451))))),0))</f>
        <v>5.8507743229142255</v>
      </c>
      <c r="N451" s="1348">
        <f t="shared" ref="N451:N460" ca="1" si="633">IF(M475="n/a",M451,IFERROR(IF((OFFSET($C451,0,$A451))&lt;0,
MIN(0,M451-(OFFSET($C451,0,$A451)/(OFFSET($C446,-$A450,$A451)))),
MAX(0,M451-(OFFSET($C451,0,$A451)/(OFFSET($C446,-$A450,$A451))))),0))</f>
        <v>5.7579490679215795</v>
      </c>
      <c r="O451" s="1348">
        <f t="shared" ref="O451:O461" ca="1" si="634">IF(N475="n/a",N451,IFERROR(IF((OFFSET($C451,0,$A451))&lt;0,
MIN(0,N451-(OFFSET($C451,0,$A451)/(OFFSET($C446,-$A450,$A451)))),
MAX(0,N451-(OFFSET($C451,0,$A451)/(OFFSET($C446,-$A450,$A451))))),0))</f>
        <v>5.6651238129289334</v>
      </c>
      <c r="P451" s="1348">
        <f t="shared" ref="P451:P462" ca="1" si="635">IF(O475="n/a",O451,IFERROR(IF((OFFSET($C451,0,$A451))&lt;0,
MIN(0,O451-(OFFSET($C451,0,$A451)/(OFFSET($C446,-$A450,$A451)))),
MAX(0,O451-(OFFSET($C451,0,$A451)/(OFFSET($C446,-$A450,$A451))))),0))</f>
        <v>5.5722985579362874</v>
      </c>
      <c r="Q451" s="1348">
        <f t="shared" ref="Q451:Q463" ca="1" si="636">IF(P475="n/a",P451,IFERROR(IF((OFFSET($C451,0,$A451))&lt;0,
MIN(0,P451-(OFFSET($C451,0,$A451)/(OFFSET($C446,-$A450,$A451)))),
MAX(0,P451-(OFFSET($C451,0,$A451)/(OFFSET($C446,-$A450,$A451))))),0))</f>
        <v>5.4794733029436413</v>
      </c>
      <c r="R451" s="1348">
        <f t="shared" ref="R451:R464" ca="1" si="637">IF(Q475="n/a",Q451,IFERROR(IF((OFFSET($C451,0,$A451))&lt;0,
MIN(0,Q451-(OFFSET($C451,0,$A451)/(OFFSET($C446,-$A450,$A451)))),
MAX(0,Q451-(OFFSET($C451,0,$A451)/(OFFSET($C446,-$A450,$A451))))),0))</f>
        <v>5.3866480479509953</v>
      </c>
      <c r="S451" s="1348">
        <f t="shared" ref="S451:S465" ca="1" si="638">IF(R475="n/a",R451,IFERROR(IF((OFFSET($C451,0,$A451))&lt;0,
MIN(0,R451-(OFFSET($C451,0,$A451)/(OFFSET($C446,-$A450,$A451)))),
MAX(0,R451-(OFFSET($C451,0,$A451)/(OFFSET($C446,-$A450,$A451))))),0))</f>
        <v>5.2938227929583492</v>
      </c>
      <c r="T451" s="1348">
        <f t="shared" ref="T451:T466" ca="1" si="639">IF(S475="n/a",S451,IFERROR(IF((OFFSET($C451,0,$A451))&lt;0,
MIN(0,S451-(OFFSET($C451,0,$A451)/(OFFSET($C446,-$A450,$A451)))),
MAX(0,S451-(OFFSET($C451,0,$A451)/(OFFSET($C446,-$A450,$A451))))),0))</f>
        <v>5.2009975379657032</v>
      </c>
      <c r="U451" s="1348">
        <f t="shared" ref="U451:U467" ca="1" si="640">IF(T475="n/a",T451,IFERROR(IF((OFFSET($C451,0,$A451))&lt;0,
MIN(0,T451-(OFFSET($C451,0,$A451)/(OFFSET($C446,-$A450,$A451)))),
MAX(0,T451-(OFFSET($C451,0,$A451)/(OFFSET($C446,-$A450,$A451))))),0))</f>
        <v>5.1081722829730571</v>
      </c>
      <c r="V451" s="1348">
        <f t="shared" ref="V451:V468" ca="1" si="641">IF(U475="n/a",U451,IFERROR(IF((OFFSET($C451,0,$A451))&lt;0,
MIN(0,U451-(OFFSET($C451,0,$A451)/(OFFSET($C446,-$A450,$A451)))),
MAX(0,U451-(OFFSET($C451,0,$A451)/(OFFSET($C446,-$A450,$A451))))),0))</f>
        <v>5.0153470279804111</v>
      </c>
      <c r="W451" s="1348">
        <f t="shared" ref="W451:W469" ca="1" si="642">IF(V475="n/a",V451,IFERROR(IF((OFFSET($C451,0,$A451))&lt;0,
MIN(0,V451-(OFFSET($C451,0,$A451)/(OFFSET($C446,-$A450,$A451)))),
MAX(0,V451-(OFFSET($C451,0,$A451)/(OFFSET($C446,-$A450,$A451))))),0))</f>
        <v>4.9225217729877651</v>
      </c>
    </row>
    <row r="452" spans="1:26" hidden="1" outlineLevel="1">
      <c r="A452" s="225">
        <v>1</v>
      </c>
      <c r="B452" s="212" t="str">
        <f t="shared" ref="B452:B470" ca="1" si="643">"Depreciated Net Capex "&amp;OFFSET($C$6,0,A452)</f>
        <v>Depreciated Net Capex 2016-17</v>
      </c>
      <c r="C452" s="1349"/>
      <c r="D452" s="1350">
        <f>(D446*((1+D$11)^0.5)/D$10)</f>
        <v>1.3538562513910463E-2</v>
      </c>
      <c r="E452" s="1348">
        <f ca="1">IF(D476="n/a",D452,IFERROR(IF((OFFSET($C452,0,$A452))&lt;0,
MIN(0,D452-(OFFSET($C452,0,$A452)/(OFFSET($C447,-$A451,$A452)))),
MAX(0,D452-(OFFSET($C452,0,$A452)/(OFFSET($C447,-$A451,$A452))))),0))</f>
        <v>1.3369330482486582E-2</v>
      </c>
      <c r="F452" s="1348">
        <f t="shared" ca="1" si="625"/>
        <v>1.3200098451062701E-2</v>
      </c>
      <c r="G452" s="1348">
        <f t="shared" ca="1" si="626"/>
        <v>1.3030866419638821E-2</v>
      </c>
      <c r="H452" s="1348">
        <f t="shared" ca="1" si="627"/>
        <v>1.286163438821494E-2</v>
      </c>
      <c r="I452" s="1348">
        <f t="shared" ca="1" si="628"/>
        <v>1.2692402356791059E-2</v>
      </c>
      <c r="J452" s="1348">
        <f t="shared" ca="1" si="629"/>
        <v>1.2523170325367178E-2</v>
      </c>
      <c r="K452" s="1348">
        <f t="shared" ca="1" si="630"/>
        <v>1.2353938293943297E-2</v>
      </c>
      <c r="L452" s="1348">
        <f t="shared" ca="1" si="631"/>
        <v>1.2184706262519416E-2</v>
      </c>
      <c r="M452" s="1348">
        <f t="shared" ca="1" si="632"/>
        <v>1.2015474231095535E-2</v>
      </c>
      <c r="N452" s="1348">
        <f t="shared" ca="1" si="633"/>
        <v>1.1846242199671654E-2</v>
      </c>
      <c r="O452" s="1348">
        <f t="shared" ca="1" si="634"/>
        <v>1.1677010168247773E-2</v>
      </c>
      <c r="P452" s="1348">
        <f t="shared" ca="1" si="635"/>
        <v>1.1507778136823892E-2</v>
      </c>
      <c r="Q452" s="1348">
        <f t="shared" ca="1" si="636"/>
        <v>1.1338546105400011E-2</v>
      </c>
      <c r="R452" s="1348">
        <f t="shared" ca="1" si="637"/>
        <v>1.116931407397613E-2</v>
      </c>
      <c r="S452" s="1348">
        <f t="shared" ca="1" si="638"/>
        <v>1.1000082042552249E-2</v>
      </c>
      <c r="T452" s="1348">
        <f t="shared" ca="1" si="639"/>
        <v>1.0830850011128369E-2</v>
      </c>
      <c r="U452" s="1348">
        <f t="shared" ca="1" si="640"/>
        <v>1.0661617979704488E-2</v>
      </c>
      <c r="V452" s="1348">
        <f t="shared" ca="1" si="641"/>
        <v>1.0492385948280607E-2</v>
      </c>
      <c r="W452" s="1348">
        <f t="shared" ca="1" si="642"/>
        <v>1.0323153916856726E-2</v>
      </c>
    </row>
    <row r="453" spans="1:26" hidden="1" outlineLevel="1">
      <c r="A453" s="225">
        <v>2</v>
      </c>
      <c r="B453" s="212" t="str">
        <f t="shared" ca="1" si="643"/>
        <v>Depreciated Net Capex 2017-18</v>
      </c>
      <c r="C453" s="1351"/>
      <c r="D453" s="1352"/>
      <c r="E453" s="1350">
        <f>(E446*((1+E$11)^0.5)/E$10)</f>
        <v>0.34552992698136775</v>
      </c>
      <c r="F453" s="1348">
        <f ca="1">IF(E477="n/a",E453,IFERROR(IF((OFFSET($C453,0,$A453))&lt;0,
MIN(0,E453-(OFFSET($C453,0,$A453)/(OFFSET($C448,-$A452,$A453)))),
MAX(0,E453-(OFFSET($C453,0,$A453)/(OFFSET($C448,-$A452,$A453))))),0))</f>
        <v>0.34121080289410066</v>
      </c>
      <c r="G453" s="1348">
        <f t="shared" ca="1" si="626"/>
        <v>0.33689167880683357</v>
      </c>
      <c r="H453" s="1348">
        <f t="shared" ca="1" si="627"/>
        <v>0.33257255471956648</v>
      </c>
      <c r="I453" s="1348">
        <f t="shared" ca="1" si="628"/>
        <v>0.32825343063229939</v>
      </c>
      <c r="J453" s="1348">
        <f t="shared" ca="1" si="629"/>
        <v>0.3239343065450323</v>
      </c>
      <c r="K453" s="1348">
        <f t="shared" ca="1" si="630"/>
        <v>0.31961518245776521</v>
      </c>
      <c r="L453" s="1348">
        <f t="shared" ca="1" si="631"/>
        <v>0.31529605837049812</v>
      </c>
      <c r="M453" s="1348">
        <f t="shared" ca="1" si="632"/>
        <v>0.31097693428323103</v>
      </c>
      <c r="N453" s="1348">
        <f t="shared" ca="1" si="633"/>
        <v>0.30665781019596394</v>
      </c>
      <c r="O453" s="1348">
        <f t="shared" ca="1" si="634"/>
        <v>0.30233868610869685</v>
      </c>
      <c r="P453" s="1348">
        <f t="shared" ca="1" si="635"/>
        <v>0.29801956202142976</v>
      </c>
      <c r="Q453" s="1348">
        <f t="shared" ca="1" si="636"/>
        <v>0.29370043793416267</v>
      </c>
      <c r="R453" s="1348">
        <f t="shared" ca="1" si="637"/>
        <v>0.28938131384689558</v>
      </c>
      <c r="S453" s="1348">
        <f t="shared" ca="1" si="638"/>
        <v>0.28506218975962849</v>
      </c>
      <c r="T453" s="1348">
        <f t="shared" ca="1" si="639"/>
        <v>0.2807430656723614</v>
      </c>
      <c r="U453" s="1348">
        <f t="shared" ca="1" si="640"/>
        <v>0.27642394158509431</v>
      </c>
      <c r="V453" s="1348">
        <f t="shared" ca="1" si="641"/>
        <v>0.27210481749782722</v>
      </c>
      <c r="W453" s="1348">
        <f t="shared" ca="1" si="642"/>
        <v>0.26778569341056013</v>
      </c>
      <c r="X453" s="228"/>
    </row>
    <row r="454" spans="1:26" hidden="1" outlineLevel="1">
      <c r="A454" s="225">
        <v>3</v>
      </c>
      <c r="B454" s="212" t="str">
        <f t="shared" ca="1" si="643"/>
        <v>Depreciated Net Capex 2018-19</v>
      </c>
      <c r="C454" s="1351"/>
      <c r="D454" s="1351"/>
      <c r="E454" s="1352"/>
      <c r="F454" s="1353">
        <f>($F446*((1+F$11)^0.5)/F$10)</f>
        <v>0.19653693727741198</v>
      </c>
      <c r="G454" s="1348">
        <f ca="1">IF(F478="n/a",F454,IFERROR(IF((OFFSET($C454,0,$A454))&lt;0,
MIN(0,F454-(OFFSET($C454,0,$A454)/(OFFSET($C449,-$A453,$A454)))),
MAX(0,F454-(OFFSET($C454,0,$A454)/(OFFSET($C449,-$A453,$A454))))),0))</f>
        <v>0.19408022556144433</v>
      </c>
      <c r="H454" s="1348">
        <f t="shared" ca="1" si="627"/>
        <v>0.19162351384547668</v>
      </c>
      <c r="I454" s="1348">
        <f t="shared" ca="1" si="628"/>
        <v>0.18916680212950904</v>
      </c>
      <c r="J454" s="1348">
        <f t="shared" ca="1" si="629"/>
        <v>0.18671009041354139</v>
      </c>
      <c r="K454" s="1348">
        <f t="shared" ca="1" si="630"/>
        <v>0.18425337869757374</v>
      </c>
      <c r="L454" s="1348">
        <f t="shared" ca="1" si="631"/>
        <v>0.1817966669816061</v>
      </c>
      <c r="M454" s="1348">
        <f t="shared" ca="1" si="632"/>
        <v>0.17933995526563845</v>
      </c>
      <c r="N454" s="1348">
        <f t="shared" ca="1" si="633"/>
        <v>0.1768832435496708</v>
      </c>
      <c r="O454" s="1348">
        <f t="shared" ca="1" si="634"/>
        <v>0.17442653183370316</v>
      </c>
      <c r="P454" s="1348">
        <f t="shared" ca="1" si="635"/>
        <v>0.17196982011773551</v>
      </c>
      <c r="Q454" s="1348">
        <f t="shared" ca="1" si="636"/>
        <v>0.16951310840176786</v>
      </c>
      <c r="R454" s="1348">
        <f t="shared" ca="1" si="637"/>
        <v>0.16705639668580022</v>
      </c>
      <c r="S454" s="1348">
        <f t="shared" ca="1" si="638"/>
        <v>0.16459968496983257</v>
      </c>
      <c r="T454" s="1348">
        <f t="shared" ca="1" si="639"/>
        <v>0.16214297325386492</v>
      </c>
      <c r="U454" s="1348">
        <f t="shared" ca="1" si="640"/>
        <v>0.15968626153789728</v>
      </c>
      <c r="V454" s="1348">
        <f t="shared" ca="1" si="641"/>
        <v>0.15722954982192963</v>
      </c>
      <c r="W454" s="1348">
        <f t="shared" ca="1" si="642"/>
        <v>0.15477283810596199</v>
      </c>
      <c r="X454" s="228"/>
      <c r="Y454" s="228"/>
    </row>
    <row r="455" spans="1:26" hidden="1" outlineLevel="1">
      <c r="A455" s="225">
        <v>4</v>
      </c>
      <c r="B455" s="212" t="str">
        <f t="shared" ca="1" si="643"/>
        <v>Depreciated Net Capex 2019-20</v>
      </c>
      <c r="C455" s="1351"/>
      <c r="D455" s="1351"/>
      <c r="E455" s="1351"/>
      <c r="F455" s="1352"/>
      <c r="G455" s="1353">
        <f>($G446*((1+G$11)^0.5)/G$10)</f>
        <v>9.0603617861056057E-2</v>
      </c>
      <c r="H455" s="1348">
        <f ca="1">IF(G479="n/a",G455,IFERROR(IF((OFFSET($C455,0,$A455))&lt;0,
MIN(0,G455-(OFFSET($C455,0,$A455)/(OFFSET($C450,-$A454,$A455)))),
MAX(0,G455-(OFFSET($C455,0,$A455)/(OFFSET($C450,-$A454,$A455))))),0))</f>
        <v>8.9471072637792859E-2</v>
      </c>
      <c r="I455" s="1348">
        <f t="shared" ca="1" si="628"/>
        <v>8.8338527414529661E-2</v>
      </c>
      <c r="J455" s="1348">
        <f t="shared" ca="1" si="629"/>
        <v>8.7205982191266462E-2</v>
      </c>
      <c r="K455" s="1348">
        <f t="shared" ca="1" si="630"/>
        <v>8.6073436968003264E-2</v>
      </c>
      <c r="L455" s="1348">
        <f t="shared" ca="1" si="631"/>
        <v>8.4940891744740066E-2</v>
      </c>
      <c r="M455" s="1348">
        <f t="shared" ca="1" si="632"/>
        <v>8.3808346521476867E-2</v>
      </c>
      <c r="N455" s="1348">
        <f t="shared" ca="1" si="633"/>
        <v>8.2675801298213669E-2</v>
      </c>
      <c r="O455" s="1348">
        <f t="shared" ca="1" si="634"/>
        <v>8.1543256074950471E-2</v>
      </c>
      <c r="P455" s="1348">
        <f t="shared" ca="1" si="635"/>
        <v>8.0410710851687273E-2</v>
      </c>
      <c r="Q455" s="1348">
        <f t="shared" ca="1" si="636"/>
        <v>7.9278165628424074E-2</v>
      </c>
      <c r="R455" s="1348">
        <f t="shared" ca="1" si="637"/>
        <v>7.8145620405160876E-2</v>
      </c>
      <c r="S455" s="1348">
        <f t="shared" ca="1" si="638"/>
        <v>7.7013075181897678E-2</v>
      </c>
      <c r="T455" s="1348">
        <f t="shared" ca="1" si="639"/>
        <v>7.5880529958634479E-2</v>
      </c>
      <c r="U455" s="1348">
        <f t="shared" ca="1" si="640"/>
        <v>7.4747984735371281E-2</v>
      </c>
      <c r="V455" s="1348">
        <f t="shared" ca="1" si="641"/>
        <v>7.3615439512108083E-2</v>
      </c>
      <c r="W455" s="1348">
        <f t="shared" ca="1" si="642"/>
        <v>7.2482894288844885E-2</v>
      </c>
      <c r="X455" s="228"/>
      <c r="Y455" s="228"/>
      <c r="Z455" s="228"/>
    </row>
    <row r="456" spans="1:26" hidden="1" outlineLevel="1">
      <c r="A456" s="225">
        <v>5</v>
      </c>
      <c r="B456" s="212" t="str">
        <f t="shared" ca="1" si="643"/>
        <v>Depreciated Net Capex 2020-21</v>
      </c>
      <c r="C456" s="1351"/>
      <c r="D456" s="1351"/>
      <c r="E456" s="1351"/>
      <c r="F456" s="1351"/>
      <c r="G456" s="1352"/>
      <c r="H456" s="1353">
        <f>(H446*((1+H$11)^0.5)/H$10)</f>
        <v>7.8928236301896992E-2</v>
      </c>
      <c r="I456" s="1348">
        <f ca="1">IF(H480="n/a",H456,IFERROR(IF((OFFSET($C456,0,$A456))&lt;0,
MIN(0,H456-(OFFSET($C456,0,$A456)/(OFFSET($C451,-$A455,$A456)))),
MAX(0,H456-(OFFSET($C456,0,$A456)/(OFFSET($C451,-$A455,$A456))))),0))</f>
        <v>7.7941633348123276E-2</v>
      </c>
      <c r="J456" s="1348">
        <f t="shared" ca="1" si="629"/>
        <v>7.6955030394349561E-2</v>
      </c>
      <c r="K456" s="1348">
        <f t="shared" ca="1" si="630"/>
        <v>7.5968427440575845E-2</v>
      </c>
      <c r="L456" s="1348">
        <f t="shared" ca="1" si="631"/>
        <v>7.4981824486802129E-2</v>
      </c>
      <c r="M456" s="1348">
        <f t="shared" ca="1" si="632"/>
        <v>7.3995221533028413E-2</v>
      </c>
      <c r="N456" s="1348">
        <f t="shared" ca="1" si="633"/>
        <v>7.3008618579254697E-2</v>
      </c>
      <c r="O456" s="1348">
        <f t="shared" ca="1" si="634"/>
        <v>7.2022015625480981E-2</v>
      </c>
      <c r="P456" s="1348">
        <f t="shared" ca="1" si="635"/>
        <v>7.1035412671707265E-2</v>
      </c>
      <c r="Q456" s="1348">
        <f t="shared" ca="1" si="636"/>
        <v>7.0048809717933549E-2</v>
      </c>
      <c r="R456" s="1348">
        <f t="shared" ca="1" si="637"/>
        <v>6.9062206764159834E-2</v>
      </c>
      <c r="S456" s="1348">
        <f t="shared" ca="1" si="638"/>
        <v>6.8075603810386118E-2</v>
      </c>
      <c r="T456" s="1348">
        <f t="shared" ca="1" si="639"/>
        <v>6.7089000856612402E-2</v>
      </c>
      <c r="U456" s="1348">
        <f t="shared" ca="1" si="640"/>
        <v>6.6102397902838686E-2</v>
      </c>
      <c r="V456" s="1348">
        <f t="shared" ca="1" si="641"/>
        <v>6.511579494906497E-2</v>
      </c>
      <c r="W456" s="1348">
        <f t="shared" ca="1" si="642"/>
        <v>6.4129191995291254E-2</v>
      </c>
      <c r="X456" s="228"/>
      <c r="Y456" s="228"/>
      <c r="Z456" s="228"/>
    </row>
    <row r="457" spans="1:26" hidden="1" outlineLevel="1">
      <c r="A457" s="225">
        <v>6</v>
      </c>
      <c r="B457" s="212" t="str">
        <f t="shared" ca="1" si="643"/>
        <v>Depreciated Net Capex 2021-22</v>
      </c>
      <c r="C457" s="1351"/>
      <c r="D457" s="1351"/>
      <c r="E457" s="1351"/>
      <c r="F457" s="1351"/>
      <c r="G457" s="1351"/>
      <c r="H457" s="1352"/>
      <c r="I457" s="1353">
        <f>(I446*((1+I$11)^0.5)/I$10)</f>
        <v>-0.10492289518889629</v>
      </c>
      <c r="J457" s="1348">
        <f ca="1">IF(I481="n/a",I457,IFERROR(IF((OFFSET($C457,0,$A457))&lt;0,
MIN(0,I457-(OFFSET($C457,0,$A457)/(OFFSET($C452,-$A456,$A457)))),
MAX(0,I457-(OFFSET($C457,0,$A457)/(OFFSET($C452,-$A456,$A457))))),0))</f>
        <v>-0.10361135899903509</v>
      </c>
      <c r="K457" s="1348">
        <f t="shared" ca="1" si="630"/>
        <v>-0.10229982280917389</v>
      </c>
      <c r="L457" s="1348">
        <f t="shared" ca="1" si="631"/>
        <v>-0.10098828661931269</v>
      </c>
      <c r="M457" s="1348">
        <f t="shared" ca="1" si="632"/>
        <v>-9.9676750429451497E-2</v>
      </c>
      <c r="N457" s="1348">
        <f t="shared" ca="1" si="633"/>
        <v>-9.8365214239590298E-2</v>
      </c>
      <c r="O457" s="1348">
        <f t="shared" ca="1" si="634"/>
        <v>-9.70536780497291E-2</v>
      </c>
      <c r="P457" s="1348">
        <f t="shared" ca="1" si="635"/>
        <v>-9.5742141859867902E-2</v>
      </c>
      <c r="Q457" s="1348">
        <f t="shared" ca="1" si="636"/>
        <v>-9.4430605670006704E-2</v>
      </c>
      <c r="R457" s="1348">
        <f t="shared" ca="1" si="637"/>
        <v>-9.3119069480145505E-2</v>
      </c>
      <c r="S457" s="1348">
        <f t="shared" ca="1" si="638"/>
        <v>-9.1807533290284307E-2</v>
      </c>
      <c r="T457" s="1348">
        <f t="shared" ca="1" si="639"/>
        <v>-9.0495997100423109E-2</v>
      </c>
      <c r="U457" s="1348">
        <f t="shared" ca="1" si="640"/>
        <v>-8.9184460910561911E-2</v>
      </c>
      <c r="V457" s="1348">
        <f t="shared" ca="1" si="641"/>
        <v>-8.7872924720700712E-2</v>
      </c>
      <c r="W457" s="1348">
        <f t="shared" ca="1" si="642"/>
        <v>-8.6561388530839514E-2</v>
      </c>
      <c r="X457" s="228"/>
      <c r="Y457" s="228"/>
      <c r="Z457" s="228"/>
    </row>
    <row r="458" spans="1:26" hidden="1" outlineLevel="1">
      <c r="A458" s="225">
        <v>7</v>
      </c>
      <c r="B458" s="212" t="str">
        <f t="shared" ca="1" si="643"/>
        <v>Depreciated Net Capex 2022-23</v>
      </c>
      <c r="C458" s="1351"/>
      <c r="D458" s="1351"/>
      <c r="E458" s="1351"/>
      <c r="F458" s="1351"/>
      <c r="G458" s="1351"/>
      <c r="H458" s="1351"/>
      <c r="I458" s="1352"/>
      <c r="J458" s="1353">
        <f>(J446*((1+J$11)^0.5)/J$10)</f>
        <v>0</v>
      </c>
      <c r="K458" s="1348">
        <f ca="1">IF(J482="n/a",J458,IFERROR(IF((OFFSET($C458,0,$A458))&lt;0,
MIN(0,J458-(OFFSET($C458,0,$A458)/(OFFSET($C453,-$A457,$A458)))),
MAX(0,J458-(OFFSET($C458,0,$A458)/(OFFSET($C453,-$A457,$A458))))),0))</f>
        <v>0</v>
      </c>
      <c r="L458" s="1348">
        <f t="shared" ca="1" si="631"/>
        <v>0</v>
      </c>
      <c r="M458" s="1348">
        <f t="shared" ca="1" si="632"/>
        <v>0</v>
      </c>
      <c r="N458" s="1348">
        <f t="shared" ca="1" si="633"/>
        <v>0</v>
      </c>
      <c r="O458" s="1348">
        <f t="shared" ca="1" si="634"/>
        <v>0</v>
      </c>
      <c r="P458" s="1348">
        <f t="shared" ca="1" si="635"/>
        <v>0</v>
      </c>
      <c r="Q458" s="1348">
        <f t="shared" ca="1" si="636"/>
        <v>0</v>
      </c>
      <c r="R458" s="1348">
        <f t="shared" ca="1" si="637"/>
        <v>0</v>
      </c>
      <c r="S458" s="1348">
        <f t="shared" ca="1" si="638"/>
        <v>0</v>
      </c>
      <c r="T458" s="1348">
        <f t="shared" ca="1" si="639"/>
        <v>0</v>
      </c>
      <c r="U458" s="1348">
        <f t="shared" ca="1" si="640"/>
        <v>0</v>
      </c>
      <c r="V458" s="1348">
        <f t="shared" ca="1" si="641"/>
        <v>0</v>
      </c>
      <c r="W458" s="1348">
        <f t="shared" ca="1" si="642"/>
        <v>0</v>
      </c>
      <c r="X458" s="228"/>
      <c r="Y458" s="228"/>
      <c r="Z458" s="228"/>
    </row>
    <row r="459" spans="1:26" hidden="1" outlineLevel="1">
      <c r="A459" s="225">
        <v>8</v>
      </c>
      <c r="B459" s="212" t="str">
        <f t="shared" ca="1" si="643"/>
        <v>Depreciated Net Capex 2023-24</v>
      </c>
      <c r="C459" s="1351"/>
      <c r="D459" s="1351"/>
      <c r="E459" s="1351"/>
      <c r="F459" s="1351"/>
      <c r="G459" s="1351"/>
      <c r="H459" s="1351"/>
      <c r="I459" s="1351"/>
      <c r="J459" s="1352"/>
      <c r="K459" s="1353">
        <f>(K446*((1+K$11)^0.5)/K$10)</f>
        <v>0</v>
      </c>
      <c r="L459" s="1348">
        <f ca="1">IF(K483="n/a",K459,IFERROR(IF((OFFSET($C459,0,$A459))&lt;0,
MIN(0,K459-(OFFSET($C459,0,$A459)/(OFFSET($C454,-$A458,$A459)))),
MAX(0,K459-(OFFSET($C459,0,$A459)/(OFFSET($C454,-$A458,$A459))))),0))</f>
        <v>0</v>
      </c>
      <c r="M459" s="1348">
        <f t="shared" ca="1" si="632"/>
        <v>0</v>
      </c>
      <c r="N459" s="1348">
        <f t="shared" ca="1" si="633"/>
        <v>0</v>
      </c>
      <c r="O459" s="1348">
        <f t="shared" ca="1" si="634"/>
        <v>0</v>
      </c>
      <c r="P459" s="1348">
        <f t="shared" ca="1" si="635"/>
        <v>0</v>
      </c>
      <c r="Q459" s="1348">
        <f t="shared" ca="1" si="636"/>
        <v>0</v>
      </c>
      <c r="R459" s="1348">
        <f t="shared" ca="1" si="637"/>
        <v>0</v>
      </c>
      <c r="S459" s="1348">
        <f t="shared" ca="1" si="638"/>
        <v>0</v>
      </c>
      <c r="T459" s="1348">
        <f t="shared" ca="1" si="639"/>
        <v>0</v>
      </c>
      <c r="U459" s="1348">
        <f t="shared" ca="1" si="640"/>
        <v>0</v>
      </c>
      <c r="V459" s="1348">
        <f t="shared" ca="1" si="641"/>
        <v>0</v>
      </c>
      <c r="W459" s="1348">
        <f t="shared" ca="1" si="642"/>
        <v>0</v>
      </c>
      <c r="X459" s="228"/>
      <c r="Y459" s="228"/>
      <c r="Z459" s="228"/>
    </row>
    <row r="460" spans="1:26" hidden="1" outlineLevel="1">
      <c r="A460" s="225">
        <v>9</v>
      </c>
      <c r="B460" s="212" t="str">
        <f t="shared" ca="1" si="643"/>
        <v>Depreciated Net Capex 2024-25</v>
      </c>
      <c r="C460" s="1351"/>
      <c r="D460" s="1351"/>
      <c r="E460" s="1351"/>
      <c r="F460" s="1351"/>
      <c r="G460" s="1351"/>
      <c r="H460" s="1351"/>
      <c r="I460" s="1351"/>
      <c r="J460" s="1351"/>
      <c r="K460" s="1352"/>
      <c r="L460" s="1353">
        <f>(L446*((1+L$11)^0.5)/L$10)</f>
        <v>0</v>
      </c>
      <c r="M460" s="1348">
        <f ca="1">IF(L484="n/a",L460,IFERROR(IF((OFFSET($C460,0,$A460))&lt;0,
MIN(0,L460-(OFFSET($C460,0,$A460)/(OFFSET($C455,-$A459,$A460)))),
MAX(0,L460-(OFFSET($C460,0,$A460)/(OFFSET($C455,-$A459,$A460))))),0))</f>
        <v>0</v>
      </c>
      <c r="N460" s="1348">
        <f t="shared" ca="1" si="633"/>
        <v>0</v>
      </c>
      <c r="O460" s="1348">
        <f t="shared" ca="1" si="634"/>
        <v>0</v>
      </c>
      <c r="P460" s="1348">
        <f t="shared" ca="1" si="635"/>
        <v>0</v>
      </c>
      <c r="Q460" s="1348">
        <f t="shared" ca="1" si="636"/>
        <v>0</v>
      </c>
      <c r="R460" s="1348">
        <f t="shared" ca="1" si="637"/>
        <v>0</v>
      </c>
      <c r="S460" s="1348">
        <f t="shared" ca="1" si="638"/>
        <v>0</v>
      </c>
      <c r="T460" s="1348">
        <f t="shared" ca="1" si="639"/>
        <v>0</v>
      </c>
      <c r="U460" s="1348">
        <f t="shared" ca="1" si="640"/>
        <v>0</v>
      </c>
      <c r="V460" s="1348">
        <f t="shared" ca="1" si="641"/>
        <v>0</v>
      </c>
      <c r="W460" s="1348">
        <f t="shared" ca="1" si="642"/>
        <v>0</v>
      </c>
      <c r="X460" s="228"/>
      <c r="Y460" s="228"/>
      <c r="Z460" s="228"/>
    </row>
    <row r="461" spans="1:26" hidden="1" outlineLevel="1">
      <c r="A461" s="225">
        <v>10</v>
      </c>
      <c r="B461" s="212" t="str">
        <f t="shared" ca="1" si="643"/>
        <v>Depreciated Net Capex 2025-26</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2026-27</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2027-28</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2028-29</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2029-30</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2030-31</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2031-32</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2032-33</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2033-34</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2034-35</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2035-36</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f ca="1">C447</f>
        <v>73.029983848444573</v>
      </c>
      <c r="D475" s="1348">
        <f t="shared" ref="D475" ca="1" si="663">IF(C475="n/a","n/a",MAX(0,C475-1))</f>
        <v>72.029983848444573</v>
      </c>
      <c r="E475" s="1348">
        <f t="shared" ref="E475:E476" ca="1" si="664">IF(D475="n/a","n/a",MAX(0,D475-1))</f>
        <v>71.029983848444573</v>
      </c>
      <c r="F475" s="1348">
        <f t="shared" ref="F475:F477" ca="1" si="665">IF(E475="n/a","n/a",MAX(0,E475-1))</f>
        <v>70.029983848444573</v>
      </c>
      <c r="G475" s="1348">
        <f t="shared" ref="G475:G478" ca="1" si="666">IF(F475="n/a","n/a",MAX(0,F475-1))</f>
        <v>69.029983848444573</v>
      </c>
      <c r="H475" s="1348">
        <f t="shared" ref="H475:H479" ca="1" si="667">IF(G475="n/a","n/a",MAX(0,G475-1))</f>
        <v>68.029983848444573</v>
      </c>
      <c r="I475" s="1348">
        <f t="shared" ref="I475:I480" ca="1" si="668">IF(H475="n/a","n/a",MAX(0,H475-1))</f>
        <v>67.029983848444573</v>
      </c>
      <c r="J475" s="1348">
        <f t="shared" ref="J475:J481" ca="1" si="669">IF(I475="n/a","n/a",MAX(0,I475-1))</f>
        <v>66.029983848444573</v>
      </c>
      <c r="K475" s="1348">
        <f t="shared" ref="K475:K482" ca="1" si="670">IF(J475="n/a","n/a",MAX(0,J475-1))</f>
        <v>65.029983848444573</v>
      </c>
      <c r="L475" s="1348">
        <f t="shared" ref="L475:L483" ca="1" si="671">IF(K475="n/a","n/a",MAX(0,K475-1))</f>
        <v>64.029983848444573</v>
      </c>
      <c r="M475" s="1348">
        <f t="shared" ref="M475:M484" ca="1" si="672">IF(L475="n/a","n/a",MAX(0,L475-1))</f>
        <v>63.029983848444573</v>
      </c>
      <c r="N475" s="1348">
        <f t="shared" ref="N475:N485" ca="1" si="673">IF(M475="n/a","n/a",MAX(0,M475-1))</f>
        <v>62.029983848444573</v>
      </c>
      <c r="O475" s="1348">
        <f t="shared" ref="O475:O486" ca="1" si="674">IF(N475="n/a","n/a",MAX(0,N475-1))</f>
        <v>61.029983848444573</v>
      </c>
      <c r="P475" s="1348">
        <f t="shared" ref="P475:P487" ca="1" si="675">IF(O475="n/a","n/a",MAX(0,O475-1))</f>
        <v>60.029983848444573</v>
      </c>
      <c r="Q475" s="1348">
        <f t="shared" ref="Q475:Q488" ca="1" si="676">IF(P475="n/a","n/a",MAX(0,P475-1))</f>
        <v>59.029983848444573</v>
      </c>
      <c r="R475" s="1348">
        <f t="shared" ref="R475:R489" ca="1" si="677">IF(Q475="n/a","n/a",MAX(0,Q475-1))</f>
        <v>58.029983848444573</v>
      </c>
      <c r="S475" s="1348">
        <f t="shared" ref="S475:S490" ca="1" si="678">IF(R475="n/a","n/a",MAX(0,R475-1))</f>
        <v>57.029983848444573</v>
      </c>
      <c r="T475" s="1348">
        <f t="shared" ref="T475:T491" ca="1" si="679">IF(S475="n/a","n/a",MAX(0,S475-1))</f>
        <v>56.029983848444573</v>
      </c>
      <c r="U475" s="1348">
        <f t="shared" ref="U475:U492" ca="1" si="680">IF(T475="n/a","n/a",MAX(0,T475-1))</f>
        <v>55.029983848444573</v>
      </c>
      <c r="V475" s="1348">
        <f t="shared" ref="V475:V493" ca="1" si="681">IF(U475="n/a","n/a",MAX(0,U475-1))</f>
        <v>54.029983848444573</v>
      </c>
      <c r="W475" s="1348">
        <f t="shared" ref="W475:W493" ca="1" si="682">IF(V475="n/a","n/a",MAX(0,V475-1))</f>
        <v>53.029983848444573</v>
      </c>
    </row>
    <row r="476" spans="1:26" hidden="1" outlineLevel="1">
      <c r="B476" s="212" t="str">
        <f t="shared" ref="B476:B495" ca="1" si="683">"RL Capex "&amp;OFFSET($C$6,0,A452)</f>
        <v>RL Capex 2016-17</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2017-18</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2018-19</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2019-20</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2020-21</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2021-22</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2022-23</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2023-24</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2024-25</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2025-26</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2026-27</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2027-28</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2028-29</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2029-30</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2030-31</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2031-32</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2032-33</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2033-34</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2034-35</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2035-36</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f ca="1">(IF(OR($C447&lt;&gt;"n/a",C447&lt;&gt;"n/a"),IF(SUM(C450:C472)=0,0,IF((SUMPRODUCT(C450:C472,C474:C496)/SUM(C450:C472))&lt;0,1,(SUMPRODUCT(C450:C472,C474:C496)/SUM(C450:C472)))),"n/a"))</f>
        <v>73.029983848444573</v>
      </c>
      <c r="D497" s="1356">
        <f ca="1">(IF(OR($C447&lt;&gt;"n/a",D447&lt;&gt;"n/a"),IF(SUM(D450:D472)=0,0,IF((SUMPRODUCT(D450:D472,D474:D496)/SUM(D450:D472))&lt;0,1,(SUMPRODUCT(D450:D472,D474:D496)/SUM(D450:D472)))),"n/a"))</f>
        <v>72.046089332985744</v>
      </c>
      <c r="E497" s="1356">
        <f t="shared" ref="E497:W497" ca="1" si="684">(IF(OR($C447&lt;&gt;"n/a",E447&lt;&gt;"n/a"),IF(SUM(E450:E472)=0,0,IF((SUMPRODUCT(E450:E472,E474:E496)/SUM(E450:E472))&lt;0,1,(SUMPRODUCT(E450:E472,E474:E496)/SUM(E450:E472)))),"n/a"))</f>
        <v>71.491122471369636</v>
      </c>
      <c r="F497" s="1356">
        <f t="shared" ca="1" si="684"/>
        <v>70.756829004181284</v>
      </c>
      <c r="G497" s="1356">
        <f t="shared" ca="1" si="684"/>
        <v>69.889739671271172</v>
      </c>
      <c r="H497" s="1356">
        <f t="shared" ca="1" si="684"/>
        <v>69.016037538204216</v>
      </c>
      <c r="I497" s="1356">
        <f t="shared" ca="1" si="684"/>
        <v>67.833204365901153</v>
      </c>
      <c r="J497" s="1356">
        <f t="shared" ca="1" si="684"/>
        <v>66.834541831582257</v>
      </c>
      <c r="K497" s="1356">
        <f t="shared" ca="1" si="684"/>
        <v>65.835919984382159</v>
      </c>
      <c r="L497" s="1356">
        <f t="shared" ca="1" si="684"/>
        <v>64.837340709594912</v>
      </c>
      <c r="M497" s="1356">
        <f t="shared" ca="1" si="684"/>
        <v>63.838806010818757</v>
      </c>
      <c r="N497" s="1356">
        <f t="shared" ca="1" si="684"/>
        <v>62.840318019383631</v>
      </c>
      <c r="O497" s="1356">
        <f t="shared" ca="1" si="684"/>
        <v>61.841879004694988</v>
      </c>
      <c r="P497" s="1356">
        <f t="shared" ca="1" si="684"/>
        <v>60.843491385598945</v>
      </c>
      <c r="Q497" s="1356">
        <f t="shared" ca="1" si="684"/>
        <v>59.845157742889313</v>
      </c>
      <c r="R497" s="1356">
        <f t="shared" ca="1" si="684"/>
        <v>58.846880833091525</v>
      </c>
      <c r="S497" s="1356">
        <f t="shared" ca="1" si="684"/>
        <v>57.848663603679341</v>
      </c>
      <c r="T497" s="1356">
        <f t="shared" ca="1" si="684"/>
        <v>56.850509209900139</v>
      </c>
      <c r="U497" s="1356">
        <f t="shared" ca="1" si="684"/>
        <v>55.852421033411332</v>
      </c>
      <c r="V497" s="1356">
        <f t="shared" ca="1" si="684"/>
        <v>54.854402702959518</v>
      </c>
      <c r="W497" s="1356">
        <f t="shared" ca="1" si="684"/>
        <v>53.856458117367929</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0.57276504242855342</v>
      </c>
      <c r="D500" s="1344">
        <f>IF(LEFT(D$6,4)&lt;LEFT('RFM input'!$G$60,4),"enter input",IF(LEFT(D$6,4)&gt;LEFT('RFM input'!$Q$60,4),0,
INDEX('RFM input'!$G$223:$Q$272,$A500,MATCH(D$6,'RFM input'!$G$222:$Q$222,0))
-INDEX('RFM input'!$G$277:$Q$326,$A500,MATCH(D$6,'RFM input'!$G$222:$Q$222,0))))</f>
        <v>0</v>
      </c>
      <c r="E500" s="1344">
        <f>IF(LEFT(E$6,4)&lt;LEFT('RFM input'!$G$60,4),"enter input",IF(LEFT(E$6,4)&gt;LEFT('RFM input'!$Q$60,4),0,
INDEX('RFM input'!$G$223:$Q$272,$A500,MATCH(E$6,'RFM input'!$G$222:$Q$222,0))
-INDEX('RFM input'!$G$277:$Q$326,$A500,MATCH(E$6,'RFM input'!$G$222:$Q$222,0))))</f>
        <v>1.735E-3</v>
      </c>
      <c r="F500" s="1344">
        <f>IF(LEFT(F$6,4)&lt;LEFT('RFM input'!$G$60,4),"enter input",IF(LEFT(F$6,4)&gt;LEFT('RFM input'!$Q$60,4),0,
INDEX('RFM input'!$G$223:$Q$272,$A500,MATCH(F$6,'RFM input'!$G$222:$Q$222,0))
-INDEX('RFM input'!$G$277:$Q$326,$A500,MATCH(F$6,'RFM input'!$G$222:$Q$222,0))))</f>
        <v>0</v>
      </c>
      <c r="G500" s="1344">
        <f>IF(LEFT(G$6,4)&lt;LEFT('RFM input'!$G$60,4),"enter input",IF(LEFT(G$6,4)&gt;LEFT('RFM input'!$Q$60,4),0,
INDEX('RFM input'!$G$223:$Q$272,$A500,MATCH(G$6,'RFM input'!$G$222:$Q$222,0))
-INDEX('RFM input'!$G$277:$Q$326,$A500,MATCH(G$6,'RFM input'!$G$222:$Q$222,0))))</f>
        <v>1.0376900438679246</v>
      </c>
      <c r="H500" s="1344">
        <f>IF(LEFT(H$6,4)&lt;LEFT('RFM input'!$G$60,4),"enter input",IF(LEFT(H$6,4)&gt;LEFT('RFM input'!$Q$60,4),0,
INDEX('RFM input'!$G$223:$Q$272,$A500,MATCH(H$6,'RFM input'!$G$222:$Q$222,0))
-INDEX('RFM input'!$G$277:$Q$326,$A500,MATCH(H$6,'RFM input'!$G$222:$Q$222,0))))</f>
        <v>6.1320754239204693E-9</v>
      </c>
      <c r="I500" s="1344">
        <f>IF(LEFT(I$6,4)&lt;LEFT('RFM input'!$G$60,4),"enter input",IF(LEFT(I$6,4)&gt;LEFT('RFM input'!$Q$60,4),0,
INDEX('RFM input'!$G$223:$Q$272,$A500,MATCH(I$6,'RFM input'!$G$222:$Q$222,0))
-INDEX('RFM input'!$G$277:$Q$326,$A500,MATCH(I$6,'RFM input'!$G$222:$Q$222,0))))</f>
        <v>0</v>
      </c>
      <c r="J500" s="1344">
        <f>IF(LEFT(J$6,4)&lt;LEFT('RFM input'!$G$60,4),"enter input",IF(LEFT(J$6,4)&gt;LEFT('RFM input'!$Q$60,4),0,
INDEX('RFM input'!$G$223:$Q$272,$A500,MATCH(J$6,'RFM input'!$G$222:$Q$222,0))
-INDEX('RFM input'!$G$277:$Q$326,$A500,MATCH(J$6,'RFM input'!$G$222:$Q$222,0))))</f>
        <v>0</v>
      </c>
      <c r="K500" s="1344">
        <f>IF(LEFT(K$6,4)&lt;LEFT('RFM input'!$G$60,4),"enter input",IF(LEFT(K$6,4)&gt;LEFT('RFM input'!$Q$60,4),0,
INDEX('RFM input'!$G$223:$Q$272,$A500,MATCH(K$6,'RFM input'!$G$222:$Q$222,0))
-INDEX('RFM input'!$G$277:$Q$326,$A500,MATCH(K$6,'RFM input'!$G$222:$Q$222,0))))</f>
        <v>0</v>
      </c>
      <c r="L500" s="1344">
        <f>IF(LEFT(L$6,4)&lt;LEFT('RFM input'!$G$60,4),"enter input",IF(LEFT(L$6,4)&gt;LEFT('RFM input'!$Q$60,4),0,
INDEX('RFM input'!$G$223:$Q$272,$A500,MATCH(L$6,'RFM input'!$G$222:$Q$222,0))
-INDEX('RFM input'!$G$277:$Q$326,$A500,MATCH(L$6,'RFM input'!$G$222:$Q$222,0))))</f>
        <v>0</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f ca="1">IF($C$8='Capital base roll forward'!$H$4,OFFSET('RFM input'!$K$6,'Capital base remaining lives'!A500,0),"enter input")</f>
        <v>1.2750015814193232</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0.57276504242855342</v>
      </c>
      <c r="D505" s="1348">
        <f ca="1">IF(C529="n/a",C505,IFERROR(IF((OFFSET($C505,0,$A505))&lt;0,
MIN(0,C505-(OFFSET($C505,0,$A505)/(OFFSET($C500,-$A504,$A505)))),
MAX(0,C505-(OFFSET($C505,0,$A505)/(OFFSET($C500,-$A504,$A505))))),0))</f>
        <v>0.1235381153599962</v>
      </c>
      <c r="E505" s="1348">
        <f t="shared" ref="E505" ca="1" si="704">IF(D529="n/a",D505,IFERROR(IF((OFFSET($C505,0,$A505))&lt;0,
MIN(0,D505-(OFFSET($C505,0,$A505)/(OFFSET($C500,-$A504,$A505)))),
MAX(0,D505-(OFFSET($C505,0,$A505)/(OFFSET($C500,-$A504,$A505))))),0))</f>
        <v>0</v>
      </c>
      <c r="F505" s="1348">
        <f t="shared" ref="F505:F506" ca="1" si="705">IF(E529="n/a",E505,IFERROR(IF((OFFSET($C505,0,$A505))&lt;0,
MIN(0,E505-(OFFSET($C505,0,$A505)/(OFFSET($C500,-$A504,$A505)))),
MAX(0,E505-(OFFSET($C505,0,$A505)/(OFFSET($C500,-$A504,$A505))))),0))</f>
        <v>0</v>
      </c>
      <c r="G505" s="1348">
        <f t="shared" ref="G505:G507" ca="1" si="706">IF(F529="n/a",F505,IFERROR(IF((OFFSET($C505,0,$A505))&lt;0,
MIN(0,F505-(OFFSET($C505,0,$A505)/(OFFSET($C500,-$A504,$A505)))),
MAX(0,F505-(OFFSET($C505,0,$A505)/(OFFSET($C500,-$A504,$A505))))),0))</f>
        <v>0</v>
      </c>
      <c r="H505" s="1348">
        <f t="shared" ref="H505:H508" ca="1" si="707">IF(G529="n/a",G505,IFERROR(IF((OFFSET($C505,0,$A505))&lt;0,
MIN(0,G505-(OFFSET($C505,0,$A505)/(OFFSET($C500,-$A504,$A505)))),
MAX(0,G505-(OFFSET($C505,0,$A505)/(OFFSET($C500,-$A504,$A505))))),0))</f>
        <v>0</v>
      </c>
      <c r="I505" s="1348">
        <f t="shared" ref="I505:I509" ca="1" si="708">IF(H529="n/a",H505,IFERROR(IF((OFFSET($C505,0,$A505))&lt;0,
MIN(0,H505-(OFFSET($C505,0,$A505)/(OFFSET($C500,-$A504,$A505)))),
MAX(0,H505-(OFFSET($C505,0,$A505)/(OFFSET($C500,-$A504,$A505))))),0))</f>
        <v>0</v>
      </c>
      <c r="J505" s="1348">
        <f t="shared" ref="J505:J510" ca="1" si="709">IF(I529="n/a",I505,IFERROR(IF((OFFSET($C505,0,$A505))&lt;0,
MIN(0,I505-(OFFSET($C505,0,$A505)/(OFFSET($C500,-$A504,$A505)))),
MAX(0,I505-(OFFSET($C505,0,$A505)/(OFFSET($C500,-$A504,$A505))))),0))</f>
        <v>0</v>
      </c>
      <c r="K505" s="1348">
        <f t="shared" ref="K505:K511" ca="1" si="710">IF(J529="n/a",J505,IFERROR(IF((OFFSET($C505,0,$A505))&lt;0,
MIN(0,J505-(OFFSET($C505,0,$A505)/(OFFSET($C500,-$A504,$A505)))),
MAX(0,J505-(OFFSET($C505,0,$A505)/(OFFSET($C500,-$A504,$A505))))),0))</f>
        <v>0</v>
      </c>
      <c r="L505" s="1348">
        <f t="shared" ref="L505:L512" ca="1" si="711">IF(K529="n/a",K505,IFERROR(IF((OFFSET($C505,0,$A505))&lt;0,
MIN(0,K505-(OFFSET($C505,0,$A505)/(OFFSET($C500,-$A504,$A505)))),
MAX(0,K505-(OFFSET($C505,0,$A505)/(OFFSET($C500,-$A504,$A505))))),0))</f>
        <v>0</v>
      </c>
      <c r="M505" s="1348">
        <f t="shared" ref="M505:M513" ca="1" si="712">IF(L529="n/a",L505,IFERROR(IF((OFFSET($C505,0,$A505))&lt;0,
MIN(0,L505-(OFFSET($C505,0,$A505)/(OFFSET($C500,-$A504,$A505)))),
MAX(0,L505-(OFFSET($C505,0,$A505)/(OFFSET($C500,-$A504,$A505))))),0))</f>
        <v>0</v>
      </c>
      <c r="N505" s="1348">
        <f t="shared" ref="N505:N514" ca="1" si="713">IF(M529="n/a",M505,IFERROR(IF((OFFSET($C505,0,$A505))&lt;0,
MIN(0,M505-(OFFSET($C505,0,$A505)/(OFFSET($C500,-$A504,$A505)))),
MAX(0,M505-(OFFSET($C505,0,$A505)/(OFFSET($C500,-$A504,$A505))))),0))</f>
        <v>0</v>
      </c>
      <c r="O505" s="1348">
        <f t="shared" ref="O505:O515" ca="1" si="714">IF(N529="n/a",N505,IFERROR(IF((OFFSET($C505,0,$A505))&lt;0,
MIN(0,N505-(OFFSET($C505,0,$A505)/(OFFSET($C500,-$A504,$A505)))),
MAX(0,N505-(OFFSET($C505,0,$A505)/(OFFSET($C500,-$A504,$A505))))),0))</f>
        <v>0</v>
      </c>
      <c r="P505" s="1348">
        <f t="shared" ref="P505:P516" ca="1" si="715">IF(O529="n/a",O505,IFERROR(IF((OFFSET($C505,0,$A505))&lt;0,
MIN(0,O505-(OFFSET($C505,0,$A505)/(OFFSET($C500,-$A504,$A505)))),
MAX(0,O505-(OFFSET($C505,0,$A505)/(OFFSET($C500,-$A504,$A505))))),0))</f>
        <v>0</v>
      </c>
      <c r="Q505" s="1348">
        <f t="shared" ref="Q505:Q517" ca="1" si="716">IF(P529="n/a",P505,IFERROR(IF((OFFSET($C505,0,$A505))&lt;0,
MIN(0,P505-(OFFSET($C505,0,$A505)/(OFFSET($C500,-$A504,$A505)))),
MAX(0,P505-(OFFSET($C505,0,$A505)/(OFFSET($C500,-$A504,$A505))))),0))</f>
        <v>0</v>
      </c>
      <c r="R505" s="1348">
        <f t="shared" ref="R505:R518" ca="1" si="717">IF(Q529="n/a",Q505,IFERROR(IF((OFFSET($C505,0,$A505))&lt;0,
MIN(0,Q505-(OFFSET($C505,0,$A505)/(OFFSET($C500,-$A504,$A505)))),
MAX(0,Q505-(OFFSET($C505,0,$A505)/(OFFSET($C500,-$A504,$A505))))),0))</f>
        <v>0</v>
      </c>
      <c r="S505" s="1348">
        <f t="shared" ref="S505:S519" ca="1" si="718">IF(R529="n/a",R505,IFERROR(IF((OFFSET($C505,0,$A505))&lt;0,
MIN(0,R505-(OFFSET($C505,0,$A505)/(OFFSET($C500,-$A504,$A505)))),
MAX(0,R505-(OFFSET($C505,0,$A505)/(OFFSET($C500,-$A504,$A505))))),0))</f>
        <v>0</v>
      </c>
      <c r="T505" s="1348">
        <f t="shared" ref="T505:T520" ca="1" si="719">IF(S529="n/a",S505,IFERROR(IF((OFFSET($C505,0,$A505))&lt;0,
MIN(0,S505-(OFFSET($C505,0,$A505)/(OFFSET($C500,-$A504,$A505)))),
MAX(0,S505-(OFFSET($C505,0,$A505)/(OFFSET($C500,-$A504,$A505))))),0))</f>
        <v>0</v>
      </c>
      <c r="U505" s="1348">
        <f t="shared" ref="U505:U521" ca="1" si="720">IF(T529="n/a",T505,IFERROR(IF((OFFSET($C505,0,$A505))&lt;0,
MIN(0,T505-(OFFSET($C505,0,$A505)/(OFFSET($C500,-$A504,$A505)))),
MAX(0,T505-(OFFSET($C505,0,$A505)/(OFFSET($C500,-$A504,$A505))))),0))</f>
        <v>0</v>
      </c>
      <c r="V505" s="1348">
        <f t="shared" ref="V505:V522" ca="1" si="721">IF(U529="n/a",U505,IFERROR(IF((OFFSET($C505,0,$A505))&lt;0,
MIN(0,U505-(OFFSET($C505,0,$A505)/(OFFSET($C500,-$A504,$A505)))),
MAX(0,U505-(OFFSET($C505,0,$A505)/(OFFSET($C500,-$A504,$A505))))),0))</f>
        <v>0</v>
      </c>
      <c r="W505" s="1348">
        <f t="shared" ref="W505:W523" ca="1" si="722">IF(V529="n/a",V505,IFERROR(IF((OFFSET($C505,0,$A505))&lt;0,
MIN(0,V505-(OFFSET($C505,0,$A505)/(OFFSET($C500,-$A504,$A505)))),
MAX(0,V505-(OFFSET($C505,0,$A505)/(OFFSET($C500,-$A504,$A505))))),0))</f>
        <v>0</v>
      </c>
    </row>
    <row r="506" spans="1:26" hidden="1" outlineLevel="1">
      <c r="A506" s="225">
        <v>1</v>
      </c>
      <c r="B506" s="212" t="str">
        <f t="shared" ref="B506:B524" ca="1" si="723">"Depreciated Net Capex "&amp;OFFSET($C$6,0,A506)</f>
        <v>Depreciated Net Capex 2016-17</v>
      </c>
      <c r="C506" s="1349"/>
      <c r="D506" s="1350">
        <f>(D500*((1+D$11)^0.5)/D$10)</f>
        <v>0</v>
      </c>
      <c r="E506" s="1348">
        <f ca="1">IF(D530="n/a",D506,IFERROR(IF((OFFSET($C506,0,$A506))&lt;0,
MIN(0,D506-(OFFSET($C506,0,$A506)/(OFFSET($C501,-$A505,$A506)))),
MAX(0,D506-(OFFSET($C506,0,$A506)/(OFFSET($C501,-$A505,$A506))))),0))</f>
        <v>0</v>
      </c>
      <c r="F506" s="1348">
        <f t="shared" ca="1" si="705"/>
        <v>0</v>
      </c>
      <c r="G506" s="1348">
        <f t="shared" ca="1" si="706"/>
        <v>0</v>
      </c>
      <c r="H506" s="1348">
        <f t="shared" ca="1" si="707"/>
        <v>0</v>
      </c>
      <c r="I506" s="1348">
        <f t="shared" ca="1" si="708"/>
        <v>0</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2017-18</v>
      </c>
      <c r="C507" s="1351"/>
      <c r="D507" s="1352"/>
      <c r="E507" s="1350">
        <f>(E500*((1+E$11)^0.5)/E$10)</f>
        <v>1.7280699493267898E-3</v>
      </c>
      <c r="F507" s="1348">
        <f ca="1">IF(E531="n/a",E507,IFERROR(IF((OFFSET($C507,0,$A507))&lt;0,
MIN(0,E507-(OFFSET($C507,0,$A507)/(OFFSET($C502,-$A506,$A507)))),
MAX(0,E507-(OFFSET($C507,0,$A507)/(OFFSET($C502,-$A506,$A507))))),0))</f>
        <v>1.3824559594614318E-3</v>
      </c>
      <c r="G507" s="1348">
        <f t="shared" ca="1" si="706"/>
        <v>1.0368419695960739E-3</v>
      </c>
      <c r="H507" s="1348">
        <f t="shared" ca="1" si="707"/>
        <v>6.9122797973071603E-4</v>
      </c>
      <c r="I507" s="1348">
        <f t="shared" ca="1" si="708"/>
        <v>3.4561398986535807E-4</v>
      </c>
      <c r="J507" s="1348">
        <f t="shared" ca="1" si="709"/>
        <v>1.0842021724855044E-19</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2018-19</v>
      </c>
      <c r="C508" s="1351"/>
      <c r="D508" s="1351"/>
      <c r="E508" s="1352"/>
      <c r="F508" s="1353">
        <f>($F500*((1+F$11)^0.5)/F$10)</f>
        <v>0</v>
      </c>
      <c r="G508" s="1348">
        <f ca="1">IF(F532="n/a",F508,IFERROR(IF((OFFSET($C508,0,$A508))&lt;0,
MIN(0,F508-(OFFSET($C508,0,$A508)/(OFFSET($C503,-$A507,$A508)))),
MAX(0,F508-(OFFSET($C508,0,$A508)/(OFFSET($C503,-$A507,$A508))))),0))</f>
        <v>0</v>
      </c>
      <c r="H508" s="1348">
        <f t="shared" ca="1" si="707"/>
        <v>0</v>
      </c>
      <c r="I508" s="1348">
        <f t="shared" ca="1" si="708"/>
        <v>0</v>
      </c>
      <c r="J508" s="1348">
        <f t="shared" ca="1" si="709"/>
        <v>0</v>
      </c>
      <c r="K508" s="1348">
        <f t="shared" ca="1" si="710"/>
        <v>0</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2019-20</v>
      </c>
      <c r="C509" s="1351"/>
      <c r="D509" s="1351"/>
      <c r="E509" s="1351"/>
      <c r="F509" s="1352"/>
      <c r="G509" s="1353">
        <f>($G500*((1+G$11)^0.5)/G$10)</f>
        <v>0.98087075021172676</v>
      </c>
      <c r="H509" s="1348">
        <f ca="1">IF(G533="n/a",G509,IFERROR(IF((OFFSET($C509,0,$A509))&lt;0,
MIN(0,G509-(OFFSET($C509,0,$A509)/(OFFSET($C504,-$A508,$A509)))),
MAX(0,G509-(OFFSET($C509,0,$A509)/(OFFSET($C504,-$A508,$A509))))),0))</f>
        <v>0.78469660016938136</v>
      </c>
      <c r="I509" s="1348">
        <f t="shared" ca="1" si="708"/>
        <v>0.58852245012703608</v>
      </c>
      <c r="J509" s="1348">
        <f t="shared" ca="1" si="709"/>
        <v>0.39234830008469074</v>
      </c>
      <c r="K509" s="1348">
        <f t="shared" ca="1" si="710"/>
        <v>0.1961741500423454</v>
      </c>
      <c r="L509" s="1348">
        <f t="shared" ca="1" si="711"/>
        <v>5.5511151231257827E-17</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2020-21</v>
      </c>
      <c r="C510" s="1351"/>
      <c r="D510" s="1351"/>
      <c r="E510" s="1351"/>
      <c r="F510" s="1351"/>
      <c r="G510" s="1352"/>
      <c r="H510" s="1353">
        <f>(H500*((1+H$11)^0.5)/H$10)</f>
        <v>5.9162750721238478E-9</v>
      </c>
      <c r="I510" s="1348">
        <f ca="1">IF(H534="n/a",H510,IFERROR(IF((OFFSET($C510,0,$A510))&lt;0,
MIN(0,H510-(OFFSET($C510,0,$A510)/(OFFSET($C505,-$A509,$A510)))),
MAX(0,H510-(OFFSET($C510,0,$A510)/(OFFSET($C505,-$A509,$A510))))),0))</f>
        <v>4.7330200576990785E-9</v>
      </c>
      <c r="J510" s="1348">
        <f t="shared" ca="1" si="709"/>
        <v>3.5497650432743089E-9</v>
      </c>
      <c r="K510" s="1348">
        <f t="shared" ca="1" si="710"/>
        <v>2.3665100288495393E-9</v>
      </c>
      <c r="L510" s="1348">
        <f t="shared" ca="1" si="711"/>
        <v>1.1832550144247696E-9</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2021-22</v>
      </c>
      <c r="C511" s="1351"/>
      <c r="D511" s="1351"/>
      <c r="E511" s="1351"/>
      <c r="F511" s="1351"/>
      <c r="G511" s="1351"/>
      <c r="H511" s="1352"/>
      <c r="I511" s="1353">
        <f>(I500*((1+I$11)^0.5)/I$10)</f>
        <v>0</v>
      </c>
      <c r="J511" s="1348">
        <f ca="1">IF(I535="n/a",I511,IFERROR(IF((OFFSET($C511,0,$A511))&lt;0,
MIN(0,I511-(OFFSET($C511,0,$A511)/(OFFSET($C506,-$A510,$A511)))),
MAX(0,I511-(OFFSET($C511,0,$A511)/(OFFSET($C506,-$A510,$A511))))),0))</f>
        <v>0</v>
      </c>
      <c r="K511" s="1348">
        <f t="shared" ca="1" si="710"/>
        <v>0</v>
      </c>
      <c r="L511" s="1348">
        <f t="shared" ca="1" si="711"/>
        <v>0</v>
      </c>
      <c r="M511" s="1348">
        <f t="shared" ca="1" si="712"/>
        <v>0</v>
      </c>
      <c r="N511" s="1348">
        <f t="shared" ca="1" si="713"/>
        <v>0</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2022-23</v>
      </c>
      <c r="C512" s="1351"/>
      <c r="D512" s="1351"/>
      <c r="E512" s="1351"/>
      <c r="F512" s="1351"/>
      <c r="G512" s="1351"/>
      <c r="H512" s="1351"/>
      <c r="I512" s="1352"/>
      <c r="J512" s="1353">
        <f>(J500*((1+J$11)^0.5)/J$10)</f>
        <v>0</v>
      </c>
      <c r="K512" s="1348">
        <f ca="1">IF(J536="n/a",J512,IFERROR(IF((OFFSET($C512,0,$A512))&lt;0,
MIN(0,J512-(OFFSET($C512,0,$A512)/(OFFSET($C507,-$A511,$A512)))),
MAX(0,J512-(OFFSET($C512,0,$A512)/(OFFSET($C507,-$A511,$A512))))),0))</f>
        <v>0</v>
      </c>
      <c r="L512" s="1348">
        <f t="shared" ca="1" si="711"/>
        <v>0</v>
      </c>
      <c r="M512" s="1348">
        <f t="shared" ca="1" si="712"/>
        <v>0</v>
      </c>
      <c r="N512" s="1348">
        <f t="shared" ca="1" si="713"/>
        <v>0</v>
      </c>
      <c r="O512" s="1348">
        <f t="shared" ca="1" si="714"/>
        <v>0</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2023-24</v>
      </c>
      <c r="C513" s="1351"/>
      <c r="D513" s="1351"/>
      <c r="E513" s="1351"/>
      <c r="F513" s="1351"/>
      <c r="G513" s="1351"/>
      <c r="H513" s="1351"/>
      <c r="I513" s="1351"/>
      <c r="J513" s="1352"/>
      <c r="K513" s="1353">
        <f>(K500*((1+K$11)^0.5)/K$10)</f>
        <v>0</v>
      </c>
      <c r="L513" s="1348">
        <f ca="1">IF(K537="n/a",K513,IFERROR(IF((OFFSET($C513,0,$A513))&lt;0,
MIN(0,K513-(OFFSET($C513,0,$A513)/(OFFSET($C508,-$A512,$A513)))),
MAX(0,K513-(OFFSET($C513,0,$A513)/(OFFSET($C508,-$A512,$A513))))),0))</f>
        <v>0</v>
      </c>
      <c r="M513" s="1348">
        <f t="shared" ca="1" si="712"/>
        <v>0</v>
      </c>
      <c r="N513" s="1348">
        <f t="shared" ca="1" si="713"/>
        <v>0</v>
      </c>
      <c r="O513" s="1348">
        <f t="shared" ca="1" si="714"/>
        <v>0</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2024-25</v>
      </c>
      <c r="C514" s="1351"/>
      <c r="D514" s="1351"/>
      <c r="E514" s="1351"/>
      <c r="F514" s="1351"/>
      <c r="G514" s="1351"/>
      <c r="H514" s="1351"/>
      <c r="I514" s="1351"/>
      <c r="J514" s="1351"/>
      <c r="K514" s="1352"/>
      <c r="L514" s="1353">
        <f>(L500*((1+L$11)^0.5)/L$10)</f>
        <v>0</v>
      </c>
      <c r="M514" s="1348">
        <f ca="1">IF(L538="n/a",L514,IFERROR(IF((OFFSET($C514,0,$A514))&lt;0,
MIN(0,L514-(OFFSET($C514,0,$A514)/(OFFSET($C509,-$A513,$A514)))),
MAX(0,L514-(OFFSET($C514,0,$A514)/(OFFSET($C509,-$A513,$A514))))),0))</f>
        <v>0</v>
      </c>
      <c r="N514" s="1348">
        <f t="shared" ca="1" si="713"/>
        <v>0</v>
      </c>
      <c r="O514" s="1348">
        <f t="shared" ca="1" si="714"/>
        <v>0</v>
      </c>
      <c r="P514" s="1348">
        <f t="shared" ca="1" si="715"/>
        <v>0</v>
      </c>
      <c r="Q514" s="1348">
        <f t="shared" ca="1" si="716"/>
        <v>0</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2025-26</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2026-27</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2027-28</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2028-29</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2029-30</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2030-31</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2031-32</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2032-33</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2033-34</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2034-35</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2035-36</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f ca="1">C501</f>
        <v>1.2750015814193232</v>
      </c>
      <c r="D529" s="1348">
        <f t="shared" ref="D529" ca="1" si="743">IF(C529="n/a","n/a",MAX(0,C529-1))</f>
        <v>0.27500158141932318</v>
      </c>
      <c r="E529" s="1348">
        <f t="shared" ref="E529:E530" ca="1" si="744">IF(D529="n/a","n/a",MAX(0,D529-1))</f>
        <v>0</v>
      </c>
      <c r="F529" s="1348">
        <f t="shared" ref="F529:F531" ca="1" si="745">IF(E529="n/a","n/a",MAX(0,E529-1))</f>
        <v>0</v>
      </c>
      <c r="G529" s="1348">
        <f t="shared" ref="G529:G532" ca="1" si="746">IF(F529="n/a","n/a",MAX(0,F529-1))</f>
        <v>0</v>
      </c>
      <c r="H529" s="1348">
        <f t="shared" ref="H529:H533" ca="1" si="747">IF(G529="n/a","n/a",MAX(0,G529-1))</f>
        <v>0</v>
      </c>
      <c r="I529" s="1348">
        <f t="shared" ref="I529:I534" ca="1" si="748">IF(H529="n/a","n/a",MAX(0,H529-1))</f>
        <v>0</v>
      </c>
      <c r="J529" s="1348">
        <f t="shared" ref="J529:J535" ca="1" si="749">IF(I529="n/a","n/a",MAX(0,I529-1))</f>
        <v>0</v>
      </c>
      <c r="K529" s="1348">
        <f t="shared" ref="K529:K536" ca="1" si="750">IF(J529="n/a","n/a",MAX(0,J529-1))</f>
        <v>0</v>
      </c>
      <c r="L529" s="1348">
        <f t="shared" ref="L529:L537" ca="1" si="751">IF(K529="n/a","n/a",MAX(0,K529-1))</f>
        <v>0</v>
      </c>
      <c r="M529" s="1348">
        <f t="shared" ref="M529:M538" ca="1" si="752">IF(L529="n/a","n/a",MAX(0,L529-1))</f>
        <v>0</v>
      </c>
      <c r="N529" s="1348">
        <f t="shared" ref="N529:N539" ca="1" si="753">IF(M529="n/a","n/a",MAX(0,M529-1))</f>
        <v>0</v>
      </c>
      <c r="O529" s="1348">
        <f t="shared" ref="O529:O540" ca="1" si="754">IF(N529="n/a","n/a",MAX(0,N529-1))</f>
        <v>0</v>
      </c>
      <c r="P529" s="1348">
        <f t="shared" ref="P529:P541" ca="1" si="755">IF(O529="n/a","n/a",MAX(0,O529-1))</f>
        <v>0</v>
      </c>
      <c r="Q529" s="1348">
        <f t="shared" ref="Q529:Q542" ca="1" si="756">IF(P529="n/a","n/a",MAX(0,P529-1))</f>
        <v>0</v>
      </c>
      <c r="R529" s="1348">
        <f t="shared" ref="R529:R543" ca="1" si="757">IF(Q529="n/a","n/a",MAX(0,Q529-1))</f>
        <v>0</v>
      </c>
      <c r="S529" s="1348">
        <f t="shared" ref="S529:S544" ca="1" si="758">IF(R529="n/a","n/a",MAX(0,R529-1))</f>
        <v>0</v>
      </c>
      <c r="T529" s="1348">
        <f t="shared" ref="T529:T545" ca="1" si="759">IF(S529="n/a","n/a",MAX(0,S529-1))</f>
        <v>0</v>
      </c>
      <c r="U529" s="1348">
        <f t="shared" ref="U529:U546" ca="1" si="760">IF(T529="n/a","n/a",MAX(0,T529-1))</f>
        <v>0</v>
      </c>
      <c r="V529" s="1348">
        <f t="shared" ref="V529:V547" ca="1" si="761">IF(U529="n/a","n/a",MAX(0,U529-1))</f>
        <v>0</v>
      </c>
      <c r="W529" s="1348">
        <f t="shared" ref="W529:W547" ca="1" si="762">IF(V529="n/a","n/a",MAX(0,V529-1))</f>
        <v>0</v>
      </c>
    </row>
    <row r="530" spans="2:23" hidden="1" outlineLevel="1">
      <c r="B530" s="212" t="str">
        <f t="shared" ref="B530:B549" ca="1" si="763">"RL Capex "&amp;OFFSET($C$6,0,A506)</f>
        <v>RL Capex 2016-17</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2017-18</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2018-19</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2019-20</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2020-21</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2021-22</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2022-23</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2023-24</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2024-25</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2025-26</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2026-27</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2027-28</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2028-29</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2029-30</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2030-31</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2031-32</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2032-33</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2033-34</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2034-35</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2035-36</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f ca="1">(IF(OR($C501&lt;&gt;"n/a",C501&lt;&gt;"n/a"),IF(SUM(C504:C526)=0,0,IF((SUMPRODUCT(C504:C526,C528:C550)/SUM(C504:C526))&lt;0,1,(SUMPRODUCT(C504:C526,C528:C550)/SUM(C504:C526)))),"n/a"))</f>
        <v>1.2750015814193232</v>
      </c>
      <c r="D551" s="1356">
        <f ca="1">(IF(OR($C501&lt;&gt;"n/a",D501&lt;&gt;"n/a"),IF(SUM(D504:D526)=0,0,IF((SUMPRODUCT(D504:D526,D528:D550)/SUM(D504:D526))&lt;0,1,(SUMPRODUCT(D504:D526,D528:D550)/SUM(D504:D526)))),"n/a"))</f>
        <v>0.27500158141932318</v>
      </c>
      <c r="E551" s="1356">
        <f t="shared" ref="E551:W551" ca="1" si="764">(IF(OR($C501&lt;&gt;"n/a",E501&lt;&gt;"n/a"),IF(SUM(E504:E526)=0,0,IF((SUMPRODUCT(E504:E526,E528:E550)/SUM(E504:E526))&lt;0,1,(SUMPRODUCT(E504:E526,E528:E550)/SUM(E504:E526)))),"n/a"))</f>
        <v>5</v>
      </c>
      <c r="F551" s="1356">
        <f t="shared" ca="1" si="764"/>
        <v>4</v>
      </c>
      <c r="G551" s="1356">
        <f t="shared" ca="1" si="764"/>
        <v>4.9978881068282748</v>
      </c>
      <c r="H551" s="1356">
        <f t="shared" ca="1" si="764"/>
        <v>3.9982397867865735</v>
      </c>
      <c r="I551" s="1356">
        <f t="shared" ca="1" si="764"/>
        <v>2.9988261831753578</v>
      </c>
      <c r="J551" s="1356">
        <f t="shared" ca="1" si="764"/>
        <v>2.0000000090474841</v>
      </c>
      <c r="K551" s="1356">
        <f t="shared" ca="1" si="764"/>
        <v>1.0000000120633121</v>
      </c>
      <c r="L551" s="1356">
        <f t="shared" ca="1" si="764"/>
        <v>0.99999995308606515</v>
      </c>
      <c r="M551" s="1356">
        <f t="shared" ca="1" si="764"/>
        <v>0</v>
      </c>
      <c r="N551" s="1356">
        <f t="shared" ca="1" si="764"/>
        <v>0</v>
      </c>
      <c r="O551" s="1356">
        <f t="shared" ca="1" si="764"/>
        <v>0</v>
      </c>
      <c r="P551" s="1356">
        <f t="shared" ca="1" si="764"/>
        <v>0</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1.4959406270712703</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f ca="1">IF($C$8='Capital base roll forward'!$H$4,OFFSET('RFM input'!$K$6,'Capital base remaining lives'!A554,0),"enter input")</f>
        <v>6.5281836347412083</v>
      </c>
      <c r="D555" s="1344">
        <f>IF(LEFT(D$6,4)&lt;=LEFT('RFM input'!$G$60,4),"enter input",IF(LEFT(D$6,4)&gt;LEFT('RFM input'!$Q$60,4),0,
IF(MATCH(D$6,'RFM input'!$H$60:$Q$60,0),INDEX('RFM input'!$L$7:$L$56,$A554,1))))</f>
        <v>15.5</v>
      </c>
      <c r="E555" s="1344">
        <f>IF(LEFT(E$6,4)&lt;=LEFT('RFM input'!$G$60,4),"enter input",IF(LEFT(E$6,4)&gt;LEFT('RFM input'!$Q$60,4),0,
IF(MATCH(E$6,'RFM input'!$H$60:$Q$60,0),INDEX('RFM input'!$L$7:$L$56,$A554,1))))</f>
        <v>15.5</v>
      </c>
      <c r="F555" s="1344">
        <f>IF(LEFT(F$6,4)&lt;=LEFT('RFM input'!$G$60,4),"enter input",IF(LEFT(F$6,4)&gt;LEFT('RFM input'!$Q$60,4),0,
IF(MATCH(F$6,'RFM input'!$H$60:$Q$60,0),INDEX('RFM input'!$L$7:$L$56,$A554,1))))</f>
        <v>15.5</v>
      </c>
      <c r="G555" s="1344">
        <f>IF(LEFT(G$6,4)&lt;=LEFT('RFM input'!$G$60,4),"enter input",IF(LEFT(G$6,4)&gt;LEFT('RFM input'!$Q$60,4),0,
IF(MATCH(G$6,'RFM input'!$H$60:$Q$60,0),INDEX('RFM input'!$L$7:$L$56,$A554,1))))</f>
        <v>15.5</v>
      </c>
      <c r="H555" s="1344">
        <f>IF(LEFT(H$6,4)&lt;=LEFT('RFM input'!$G$60,4),"enter input",IF(LEFT(H$6,4)&gt;LEFT('RFM input'!$Q$60,4),0,
IF(MATCH(H$6,'RFM input'!$H$60:$Q$60,0),INDEX('RFM input'!$L$7:$L$56,$A554,1))))</f>
        <v>15.5</v>
      </c>
      <c r="I555" s="1344">
        <f>IF(LEFT(I$6,4)&lt;=LEFT('RFM input'!$G$60,4),"enter input",IF(LEFT(I$6,4)&gt;LEFT('RFM input'!$Q$60,4),0,
IF(MATCH(I$6,'RFM input'!$H$60:$Q$60,0),INDEX('RFM input'!$L$7:$L$56,$A554,1))))</f>
        <v>15.5</v>
      </c>
      <c r="J555" s="1344">
        <f>IF(LEFT(J$6,4)&lt;=LEFT('RFM input'!$G$60,4),"enter input",IF(LEFT(J$6,4)&gt;LEFT('RFM input'!$Q$60,4),0,
IF(MATCH(J$6,'RFM input'!$H$60:$Q$60,0),INDEX('RFM input'!$L$7:$L$56,$A554,1))))</f>
        <v>15.5</v>
      </c>
      <c r="K555" s="1344">
        <f>IF(LEFT(K$6,4)&lt;=LEFT('RFM input'!$G$60,4),"enter input",IF(LEFT(K$6,4)&gt;LEFT('RFM input'!$Q$60,4),0,
IF(MATCH(K$6,'RFM input'!$H$60:$Q$60,0),INDEX('RFM input'!$L$7:$L$56,$A554,1))))</f>
        <v>15.5</v>
      </c>
      <c r="L555" s="1344">
        <f>IF(LEFT(L$6,4)&lt;=LEFT('RFM input'!$G$60,4),"enter input",IF(LEFT(L$6,4)&gt;LEFT('RFM input'!$Q$60,4),0,
IF(MATCH(L$6,'RFM input'!$H$60:$Q$60,0),INDEX('RFM input'!$L$7:$L$56,$A554,1))))</f>
        <v>15.5</v>
      </c>
      <c r="M555" s="1344">
        <f>IF(LEFT(M$6,4)&lt;=LEFT('RFM input'!$G$60,4),"enter input",IF(LEFT(M$6,4)&gt;LEFT('RFM input'!$Q$60,4),0,
IF(MATCH(M$6,'RFM input'!$H$60:$Q$60,0),INDEX('RFM input'!$L$7:$L$56,$A554,1))))</f>
        <v>15.5</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1.4959406270712703</v>
      </c>
      <c r="D559" s="1348">
        <f ca="1">IF(C583="n/a",C559,IFERROR(IF((OFFSET($C559,0,$A559))&lt;0,
MIN(0,C559-(OFFSET($C559,0,$A559)/(OFFSET($C554,-$A558,$A559)))),
MAX(0,C559-(OFFSET($C559,0,$A559)/(OFFSET($C554,-$A558,$A559))))),0))</f>
        <v>1.2667895016172799</v>
      </c>
      <c r="E559" s="1348">
        <f t="shared" ref="E559" ca="1" si="784">IF(D583="n/a",D559,IFERROR(IF((OFFSET($C559,0,$A559))&lt;0,
MIN(0,D559-(OFFSET($C559,0,$A559)/(OFFSET($C554,-$A558,$A559)))),
MAX(0,D559-(OFFSET($C559,0,$A559)/(OFFSET($C554,-$A558,$A559))))),0))</f>
        <v>1.0376383761632895</v>
      </c>
      <c r="F559" s="1348">
        <f t="shared" ref="F559:F560" ca="1" si="785">IF(E583="n/a",E559,IFERROR(IF((OFFSET($C559,0,$A559))&lt;0,
MIN(0,E559-(OFFSET($C559,0,$A559)/(OFFSET($C554,-$A558,$A559)))),
MAX(0,E559-(OFFSET($C559,0,$A559)/(OFFSET($C554,-$A558,$A559))))),0))</f>
        <v>0.80848725070929894</v>
      </c>
      <c r="G559" s="1348">
        <f t="shared" ref="G559:G561" ca="1" si="786">IF(F583="n/a",F559,IFERROR(IF((OFFSET($C559,0,$A559))&lt;0,
MIN(0,F559-(OFFSET($C559,0,$A559)/(OFFSET($C554,-$A558,$A559)))),
MAX(0,F559-(OFFSET($C559,0,$A559)/(OFFSET($C554,-$A558,$A559))))),0))</f>
        <v>0.57933612525530842</v>
      </c>
      <c r="H559" s="1348">
        <f t="shared" ref="H559:H562" ca="1" si="787">IF(G583="n/a",G559,IFERROR(IF((OFFSET($C559,0,$A559))&lt;0,
MIN(0,G559-(OFFSET($C559,0,$A559)/(OFFSET($C554,-$A558,$A559)))),
MAX(0,G559-(OFFSET($C559,0,$A559)/(OFFSET($C554,-$A558,$A559))))),0))</f>
        <v>0.3501849998013179</v>
      </c>
      <c r="I559" s="1348">
        <f t="shared" ref="I559:I563" ca="1" si="788">IF(H583="n/a",H559,IFERROR(IF((OFFSET($C559,0,$A559))&lt;0,
MIN(0,H559-(OFFSET($C559,0,$A559)/(OFFSET($C554,-$A558,$A559)))),
MAX(0,H559-(OFFSET($C559,0,$A559)/(OFFSET($C554,-$A558,$A559))))),0))</f>
        <v>0.1210338743473274</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2016-17</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2017-18</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2018-19</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2019-20</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2020-21</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2021-22</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2022-23</v>
      </c>
      <c r="C566" s="1351"/>
      <c r="D566" s="1351"/>
      <c r="E566" s="1351"/>
      <c r="F566" s="1351"/>
      <c r="G566" s="1351"/>
      <c r="H566" s="1351"/>
      <c r="I566" s="1352"/>
      <c r="J566" s="1353">
        <f>(J554*((1+J$11)^0.5)/J$10)</f>
        <v>0</v>
      </c>
      <c r="K566" s="1348">
        <f ca="1">IF(J590="n/a",J566,IFERROR(IF((OFFSET($C566,0,$A566))&lt;0,
MIN(0,J566-(OFFSET($C566,0,$A566)/(OFFSET($C561,-$A565,$A566)))),
MAX(0,J566-(OFFSET($C566,0,$A566)/(OFFSET($C561,-$A565,$A566))))),0))</f>
        <v>0</v>
      </c>
      <c r="L566" s="1348">
        <f t="shared" ca="1" si="791"/>
        <v>0</v>
      </c>
      <c r="M566" s="1348">
        <f t="shared" ca="1" si="792"/>
        <v>0</v>
      </c>
      <c r="N566" s="1348">
        <f t="shared" ca="1" si="793"/>
        <v>0</v>
      </c>
      <c r="O566" s="1348">
        <f t="shared" ca="1" si="794"/>
        <v>0</v>
      </c>
      <c r="P566" s="1348">
        <f t="shared" ca="1" si="795"/>
        <v>0</v>
      </c>
      <c r="Q566" s="1348">
        <f t="shared" ca="1" si="796"/>
        <v>0</v>
      </c>
      <c r="R566" s="1348">
        <f t="shared" ca="1" si="797"/>
        <v>0</v>
      </c>
      <c r="S566" s="1348">
        <f t="shared" ca="1" si="798"/>
        <v>0</v>
      </c>
      <c r="T566" s="1348">
        <f t="shared" ca="1" si="799"/>
        <v>0</v>
      </c>
      <c r="U566" s="1348">
        <f t="shared" ca="1" si="800"/>
        <v>0</v>
      </c>
      <c r="V566" s="1348">
        <f t="shared" ca="1" si="801"/>
        <v>0</v>
      </c>
      <c r="W566" s="1348">
        <f t="shared" ca="1" si="802"/>
        <v>0</v>
      </c>
      <c r="X566" s="228"/>
      <c r="Y566" s="228"/>
      <c r="Z566" s="228"/>
    </row>
    <row r="567" spans="1:26" hidden="1" outlineLevel="1">
      <c r="A567" s="225">
        <v>8</v>
      </c>
      <c r="B567" s="212" t="str">
        <f t="shared" ca="1" si="803"/>
        <v>Depreciated Net Capex 2023-24</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2024-25</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2025-26</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2026-27</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2027-28</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2028-29</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2029-30</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2030-31</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2031-32</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2032-33</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2033-34</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2034-35</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2035-36</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f ca="1">C555</f>
        <v>6.5281836347412083</v>
      </c>
      <c r="D583" s="1348">
        <f t="shared" ref="D583" ca="1" si="823">IF(C583="n/a","n/a",MAX(0,C583-1))</f>
        <v>5.5281836347412083</v>
      </c>
      <c r="E583" s="1348">
        <f t="shared" ref="E583:E584" ca="1" si="824">IF(D583="n/a","n/a",MAX(0,D583-1))</f>
        <v>4.5281836347412083</v>
      </c>
      <c r="F583" s="1348">
        <f t="shared" ref="F583:F585" ca="1" si="825">IF(E583="n/a","n/a",MAX(0,E583-1))</f>
        <v>3.5281836347412083</v>
      </c>
      <c r="G583" s="1348">
        <f t="shared" ref="G583:G586" ca="1" si="826">IF(F583="n/a","n/a",MAX(0,F583-1))</f>
        <v>2.5281836347412083</v>
      </c>
      <c r="H583" s="1348">
        <f t="shared" ref="H583:H587" ca="1" si="827">IF(G583="n/a","n/a",MAX(0,G583-1))</f>
        <v>1.5281836347412083</v>
      </c>
      <c r="I583" s="1348">
        <f t="shared" ref="I583:I588" ca="1" si="828">IF(H583="n/a","n/a",MAX(0,H583-1))</f>
        <v>0.52818363474120833</v>
      </c>
      <c r="J583" s="1348">
        <f t="shared" ref="J583:J589" ca="1" si="829">IF(I583="n/a","n/a",MAX(0,I583-1))</f>
        <v>0</v>
      </c>
      <c r="K583" s="1348">
        <f t="shared" ref="K583:K590" ca="1" si="830">IF(J583="n/a","n/a",MAX(0,J583-1))</f>
        <v>0</v>
      </c>
      <c r="L583" s="1348">
        <f t="shared" ref="L583:L591" ca="1" si="831">IF(K583="n/a","n/a",MAX(0,K583-1))</f>
        <v>0</v>
      </c>
      <c r="M583" s="1348">
        <f t="shared" ref="M583:M592" ca="1" si="832">IF(L583="n/a","n/a",MAX(0,L583-1))</f>
        <v>0</v>
      </c>
      <c r="N583" s="1348">
        <f t="shared" ref="N583:N593" ca="1" si="833">IF(M583="n/a","n/a",MAX(0,M583-1))</f>
        <v>0</v>
      </c>
      <c r="O583" s="1348">
        <f t="shared" ref="O583:O594" ca="1" si="834">IF(N583="n/a","n/a",MAX(0,N583-1))</f>
        <v>0</v>
      </c>
      <c r="P583" s="1348">
        <f t="shared" ref="P583:P595" ca="1" si="835">IF(O583="n/a","n/a",MAX(0,O583-1))</f>
        <v>0</v>
      </c>
      <c r="Q583" s="1348">
        <f t="shared" ref="Q583:Q596" ca="1" si="836">IF(P583="n/a","n/a",MAX(0,P583-1))</f>
        <v>0</v>
      </c>
      <c r="R583" s="1348">
        <f t="shared" ref="R583:R597" ca="1" si="837">IF(Q583="n/a","n/a",MAX(0,Q583-1))</f>
        <v>0</v>
      </c>
      <c r="S583" s="1348">
        <f t="shared" ref="S583:S598" ca="1" si="838">IF(R583="n/a","n/a",MAX(0,R583-1))</f>
        <v>0</v>
      </c>
      <c r="T583" s="1348">
        <f t="shared" ref="T583:T599" ca="1" si="839">IF(S583="n/a","n/a",MAX(0,S583-1))</f>
        <v>0</v>
      </c>
      <c r="U583" s="1348">
        <f t="shared" ref="U583:U600" ca="1" si="840">IF(T583="n/a","n/a",MAX(0,T583-1))</f>
        <v>0</v>
      </c>
      <c r="V583" s="1348">
        <f t="shared" ref="V583:V601" ca="1" si="841">IF(U583="n/a","n/a",MAX(0,U583-1))</f>
        <v>0</v>
      </c>
      <c r="W583" s="1348">
        <f t="shared" ref="W583:W601" ca="1" si="842">IF(V583="n/a","n/a",MAX(0,V583-1))</f>
        <v>0</v>
      </c>
    </row>
    <row r="584" spans="1:26" hidden="1" outlineLevel="1">
      <c r="B584" s="212" t="str">
        <f t="shared" ref="B584:B603" ca="1" si="843">"RL Capex "&amp;OFFSET($C$6,0,A560)</f>
        <v>RL Capex 2016-17</v>
      </c>
      <c r="C584" s="1349"/>
      <c r="D584" s="1353">
        <f>D555</f>
        <v>15.5</v>
      </c>
      <c r="E584" s="1348">
        <f t="shared" si="824"/>
        <v>14.5</v>
      </c>
      <c r="F584" s="1348">
        <f t="shared" si="825"/>
        <v>13.5</v>
      </c>
      <c r="G584" s="1348">
        <f t="shared" si="826"/>
        <v>12.5</v>
      </c>
      <c r="H584" s="1348">
        <f t="shared" si="827"/>
        <v>11.5</v>
      </c>
      <c r="I584" s="1348">
        <f t="shared" si="828"/>
        <v>10.5</v>
      </c>
      <c r="J584" s="1348">
        <f t="shared" si="829"/>
        <v>9.5</v>
      </c>
      <c r="K584" s="1348">
        <f t="shared" si="830"/>
        <v>8.5</v>
      </c>
      <c r="L584" s="1348">
        <f t="shared" si="831"/>
        <v>7.5</v>
      </c>
      <c r="M584" s="1348">
        <f t="shared" si="832"/>
        <v>6.5</v>
      </c>
      <c r="N584" s="1348">
        <f t="shared" si="833"/>
        <v>5.5</v>
      </c>
      <c r="O584" s="1348">
        <f t="shared" si="834"/>
        <v>4.5</v>
      </c>
      <c r="P584" s="1348">
        <f t="shared" si="835"/>
        <v>3.5</v>
      </c>
      <c r="Q584" s="1348">
        <f t="shared" si="836"/>
        <v>2.5</v>
      </c>
      <c r="R584" s="1348">
        <f t="shared" si="837"/>
        <v>1.5</v>
      </c>
      <c r="S584" s="1348">
        <f t="shared" si="838"/>
        <v>0.5</v>
      </c>
      <c r="T584" s="1348">
        <f t="shared" si="839"/>
        <v>0</v>
      </c>
      <c r="U584" s="1348">
        <f t="shared" si="840"/>
        <v>0</v>
      </c>
      <c r="V584" s="1348">
        <f t="shared" si="841"/>
        <v>0</v>
      </c>
      <c r="W584" s="1348">
        <f t="shared" si="842"/>
        <v>0</v>
      </c>
    </row>
    <row r="585" spans="1:26" hidden="1" outlineLevel="1">
      <c r="B585" s="212" t="str">
        <f t="shared" ca="1" si="843"/>
        <v>RL Capex 2017-18</v>
      </c>
      <c r="C585" s="1354"/>
      <c r="D585" s="1349"/>
      <c r="E585" s="1353">
        <f>E555</f>
        <v>15.5</v>
      </c>
      <c r="F585" s="1348">
        <f t="shared" si="825"/>
        <v>14.5</v>
      </c>
      <c r="G585" s="1348">
        <f t="shared" si="826"/>
        <v>13.5</v>
      </c>
      <c r="H585" s="1348">
        <f t="shared" si="827"/>
        <v>12.5</v>
      </c>
      <c r="I585" s="1348">
        <f t="shared" si="828"/>
        <v>11.5</v>
      </c>
      <c r="J585" s="1348">
        <f t="shared" si="829"/>
        <v>10.5</v>
      </c>
      <c r="K585" s="1348">
        <f t="shared" si="830"/>
        <v>9.5</v>
      </c>
      <c r="L585" s="1348">
        <f t="shared" si="831"/>
        <v>8.5</v>
      </c>
      <c r="M585" s="1348">
        <f t="shared" si="832"/>
        <v>7.5</v>
      </c>
      <c r="N585" s="1348">
        <f t="shared" si="833"/>
        <v>6.5</v>
      </c>
      <c r="O585" s="1348">
        <f t="shared" si="834"/>
        <v>5.5</v>
      </c>
      <c r="P585" s="1348">
        <f t="shared" si="835"/>
        <v>4.5</v>
      </c>
      <c r="Q585" s="1348">
        <f t="shared" si="836"/>
        <v>3.5</v>
      </c>
      <c r="R585" s="1348">
        <f t="shared" si="837"/>
        <v>2.5</v>
      </c>
      <c r="S585" s="1348">
        <f t="shared" si="838"/>
        <v>1.5</v>
      </c>
      <c r="T585" s="1348">
        <f t="shared" si="839"/>
        <v>0.5</v>
      </c>
      <c r="U585" s="1348">
        <f t="shared" si="840"/>
        <v>0</v>
      </c>
      <c r="V585" s="1348">
        <f t="shared" si="841"/>
        <v>0</v>
      </c>
      <c r="W585" s="1348">
        <f t="shared" si="842"/>
        <v>0</v>
      </c>
    </row>
    <row r="586" spans="1:26" hidden="1" outlineLevel="1">
      <c r="B586" s="212" t="str">
        <f t="shared" ca="1" si="843"/>
        <v>RL Capex 2018-19</v>
      </c>
      <c r="C586" s="1354"/>
      <c r="D586" s="1354"/>
      <c r="E586" s="1349"/>
      <c r="F586" s="1353">
        <f>F555</f>
        <v>15.5</v>
      </c>
      <c r="G586" s="1348">
        <f t="shared" si="826"/>
        <v>14.5</v>
      </c>
      <c r="H586" s="1348">
        <f t="shared" si="827"/>
        <v>13.5</v>
      </c>
      <c r="I586" s="1348">
        <f t="shared" si="828"/>
        <v>12.5</v>
      </c>
      <c r="J586" s="1348">
        <f t="shared" si="829"/>
        <v>11.5</v>
      </c>
      <c r="K586" s="1348">
        <f t="shared" si="830"/>
        <v>10.5</v>
      </c>
      <c r="L586" s="1348">
        <f t="shared" si="831"/>
        <v>9.5</v>
      </c>
      <c r="M586" s="1348">
        <f t="shared" si="832"/>
        <v>8.5</v>
      </c>
      <c r="N586" s="1348">
        <f t="shared" si="833"/>
        <v>7.5</v>
      </c>
      <c r="O586" s="1348">
        <f t="shared" si="834"/>
        <v>6.5</v>
      </c>
      <c r="P586" s="1348">
        <f t="shared" si="835"/>
        <v>5.5</v>
      </c>
      <c r="Q586" s="1348">
        <f t="shared" si="836"/>
        <v>4.5</v>
      </c>
      <c r="R586" s="1348">
        <f t="shared" si="837"/>
        <v>3.5</v>
      </c>
      <c r="S586" s="1348">
        <f t="shared" si="838"/>
        <v>2.5</v>
      </c>
      <c r="T586" s="1348">
        <f t="shared" si="839"/>
        <v>1.5</v>
      </c>
      <c r="U586" s="1348">
        <f t="shared" si="840"/>
        <v>0.5</v>
      </c>
      <c r="V586" s="1348">
        <f t="shared" si="841"/>
        <v>0</v>
      </c>
      <c r="W586" s="1348">
        <f t="shared" si="842"/>
        <v>0</v>
      </c>
    </row>
    <row r="587" spans="1:26" hidden="1" outlineLevel="1">
      <c r="B587" s="212" t="str">
        <f t="shared" ca="1" si="843"/>
        <v>RL Capex 2019-20</v>
      </c>
      <c r="C587" s="1354"/>
      <c r="D587" s="1354"/>
      <c r="E587" s="1354"/>
      <c r="F587" s="1349"/>
      <c r="G587" s="1353">
        <f>G555</f>
        <v>15.5</v>
      </c>
      <c r="H587" s="1348">
        <f t="shared" si="827"/>
        <v>14.5</v>
      </c>
      <c r="I587" s="1348">
        <f t="shared" si="828"/>
        <v>13.5</v>
      </c>
      <c r="J587" s="1348">
        <f t="shared" si="829"/>
        <v>12.5</v>
      </c>
      <c r="K587" s="1348">
        <f t="shared" si="830"/>
        <v>11.5</v>
      </c>
      <c r="L587" s="1348">
        <f t="shared" si="831"/>
        <v>10.5</v>
      </c>
      <c r="M587" s="1348">
        <f t="shared" si="832"/>
        <v>9.5</v>
      </c>
      <c r="N587" s="1348">
        <f t="shared" si="833"/>
        <v>8.5</v>
      </c>
      <c r="O587" s="1348">
        <f t="shared" si="834"/>
        <v>7.5</v>
      </c>
      <c r="P587" s="1348">
        <f t="shared" si="835"/>
        <v>6.5</v>
      </c>
      <c r="Q587" s="1348">
        <f t="shared" si="836"/>
        <v>5.5</v>
      </c>
      <c r="R587" s="1348">
        <f t="shared" si="837"/>
        <v>4.5</v>
      </c>
      <c r="S587" s="1348">
        <f t="shared" si="838"/>
        <v>3.5</v>
      </c>
      <c r="T587" s="1348">
        <f t="shared" si="839"/>
        <v>2.5</v>
      </c>
      <c r="U587" s="1348">
        <f t="shared" si="840"/>
        <v>1.5</v>
      </c>
      <c r="V587" s="1348">
        <f t="shared" si="841"/>
        <v>0.5</v>
      </c>
      <c r="W587" s="1348">
        <f t="shared" si="842"/>
        <v>0</v>
      </c>
    </row>
    <row r="588" spans="1:26" hidden="1" outlineLevel="1">
      <c r="B588" s="212" t="str">
        <f t="shared" ca="1" si="843"/>
        <v>RL Capex 2020-21</v>
      </c>
      <c r="C588" s="1354"/>
      <c r="D588" s="1354"/>
      <c r="E588" s="1354"/>
      <c r="F588" s="1354"/>
      <c r="G588" s="1349"/>
      <c r="H588" s="1353">
        <f>H555</f>
        <v>15.5</v>
      </c>
      <c r="I588" s="1348">
        <f t="shared" si="828"/>
        <v>14.5</v>
      </c>
      <c r="J588" s="1348">
        <f t="shared" si="829"/>
        <v>13.5</v>
      </c>
      <c r="K588" s="1348">
        <f t="shared" si="830"/>
        <v>12.5</v>
      </c>
      <c r="L588" s="1348">
        <f t="shared" si="831"/>
        <v>11.5</v>
      </c>
      <c r="M588" s="1348">
        <f t="shared" si="832"/>
        <v>10.5</v>
      </c>
      <c r="N588" s="1348">
        <f t="shared" si="833"/>
        <v>9.5</v>
      </c>
      <c r="O588" s="1348">
        <f t="shared" si="834"/>
        <v>8.5</v>
      </c>
      <c r="P588" s="1348">
        <f t="shared" si="835"/>
        <v>7.5</v>
      </c>
      <c r="Q588" s="1348">
        <f t="shared" si="836"/>
        <v>6.5</v>
      </c>
      <c r="R588" s="1348">
        <f t="shared" si="837"/>
        <v>5.5</v>
      </c>
      <c r="S588" s="1348">
        <f t="shared" si="838"/>
        <v>4.5</v>
      </c>
      <c r="T588" s="1348">
        <f t="shared" si="839"/>
        <v>3.5</v>
      </c>
      <c r="U588" s="1348">
        <f t="shared" si="840"/>
        <v>2.5</v>
      </c>
      <c r="V588" s="1348">
        <f t="shared" si="841"/>
        <v>1.5</v>
      </c>
      <c r="W588" s="1348">
        <f t="shared" si="842"/>
        <v>0.5</v>
      </c>
    </row>
    <row r="589" spans="1:26" hidden="1" outlineLevel="1">
      <c r="B589" s="212" t="str">
        <f t="shared" ca="1" si="843"/>
        <v>RL Capex 2021-22</v>
      </c>
      <c r="C589" s="1354"/>
      <c r="D589" s="1354"/>
      <c r="E589" s="1354"/>
      <c r="F589" s="1354"/>
      <c r="G589" s="1354"/>
      <c r="H589" s="1349"/>
      <c r="I589" s="1353">
        <f>I555</f>
        <v>15.5</v>
      </c>
      <c r="J589" s="1348">
        <f t="shared" si="829"/>
        <v>14.5</v>
      </c>
      <c r="K589" s="1348">
        <f t="shared" si="830"/>
        <v>13.5</v>
      </c>
      <c r="L589" s="1348">
        <f t="shared" si="831"/>
        <v>12.5</v>
      </c>
      <c r="M589" s="1348">
        <f t="shared" si="832"/>
        <v>11.5</v>
      </c>
      <c r="N589" s="1348">
        <f t="shared" si="833"/>
        <v>10.5</v>
      </c>
      <c r="O589" s="1348">
        <f t="shared" si="834"/>
        <v>9.5</v>
      </c>
      <c r="P589" s="1348">
        <f t="shared" si="835"/>
        <v>8.5</v>
      </c>
      <c r="Q589" s="1348">
        <f t="shared" si="836"/>
        <v>7.5</v>
      </c>
      <c r="R589" s="1348">
        <f t="shared" si="837"/>
        <v>6.5</v>
      </c>
      <c r="S589" s="1348">
        <f t="shared" si="838"/>
        <v>5.5</v>
      </c>
      <c r="T589" s="1348">
        <f t="shared" si="839"/>
        <v>4.5</v>
      </c>
      <c r="U589" s="1348">
        <f t="shared" si="840"/>
        <v>3.5</v>
      </c>
      <c r="V589" s="1348">
        <f t="shared" si="841"/>
        <v>2.5</v>
      </c>
      <c r="W589" s="1348">
        <f t="shared" si="842"/>
        <v>1.5</v>
      </c>
    </row>
    <row r="590" spans="1:26" hidden="1" outlineLevel="1">
      <c r="B590" s="212" t="str">
        <f t="shared" ca="1" si="843"/>
        <v>RL Capex 2022-23</v>
      </c>
      <c r="C590" s="1354"/>
      <c r="D590" s="1354"/>
      <c r="E590" s="1354"/>
      <c r="F590" s="1354"/>
      <c r="G590" s="1354"/>
      <c r="H590" s="1354"/>
      <c r="I590" s="1349"/>
      <c r="J590" s="1353">
        <f>J555</f>
        <v>15.5</v>
      </c>
      <c r="K590" s="1348">
        <f t="shared" si="830"/>
        <v>14.5</v>
      </c>
      <c r="L590" s="1348">
        <f t="shared" si="831"/>
        <v>13.5</v>
      </c>
      <c r="M590" s="1348">
        <f t="shared" si="832"/>
        <v>12.5</v>
      </c>
      <c r="N590" s="1348">
        <f t="shared" si="833"/>
        <v>11.5</v>
      </c>
      <c r="O590" s="1348">
        <f t="shared" si="834"/>
        <v>10.5</v>
      </c>
      <c r="P590" s="1348">
        <f t="shared" si="835"/>
        <v>9.5</v>
      </c>
      <c r="Q590" s="1348">
        <f t="shared" si="836"/>
        <v>8.5</v>
      </c>
      <c r="R590" s="1348">
        <f t="shared" si="837"/>
        <v>7.5</v>
      </c>
      <c r="S590" s="1348">
        <f t="shared" si="838"/>
        <v>6.5</v>
      </c>
      <c r="T590" s="1348">
        <f t="shared" si="839"/>
        <v>5.5</v>
      </c>
      <c r="U590" s="1348">
        <f t="shared" si="840"/>
        <v>4.5</v>
      </c>
      <c r="V590" s="1348">
        <f t="shared" si="841"/>
        <v>3.5</v>
      </c>
      <c r="W590" s="1348">
        <f t="shared" si="842"/>
        <v>2.5</v>
      </c>
    </row>
    <row r="591" spans="1:26" hidden="1" outlineLevel="1">
      <c r="B591" s="212" t="str">
        <f t="shared" ca="1" si="843"/>
        <v>RL Capex 2023-24</v>
      </c>
      <c r="C591" s="1354"/>
      <c r="D591" s="1354"/>
      <c r="E591" s="1354"/>
      <c r="F591" s="1354"/>
      <c r="G591" s="1354"/>
      <c r="H591" s="1354"/>
      <c r="I591" s="1354"/>
      <c r="J591" s="1349"/>
      <c r="K591" s="1353">
        <f>K555</f>
        <v>15.5</v>
      </c>
      <c r="L591" s="1348">
        <f t="shared" si="831"/>
        <v>14.5</v>
      </c>
      <c r="M591" s="1348">
        <f t="shared" si="832"/>
        <v>13.5</v>
      </c>
      <c r="N591" s="1348">
        <f t="shared" si="833"/>
        <v>12.5</v>
      </c>
      <c r="O591" s="1348">
        <f t="shared" si="834"/>
        <v>11.5</v>
      </c>
      <c r="P591" s="1348">
        <f t="shared" si="835"/>
        <v>10.5</v>
      </c>
      <c r="Q591" s="1348">
        <f t="shared" si="836"/>
        <v>9.5</v>
      </c>
      <c r="R591" s="1348">
        <f t="shared" si="837"/>
        <v>8.5</v>
      </c>
      <c r="S591" s="1348">
        <f t="shared" si="838"/>
        <v>7.5</v>
      </c>
      <c r="T591" s="1348">
        <f t="shared" si="839"/>
        <v>6.5</v>
      </c>
      <c r="U591" s="1348">
        <f t="shared" si="840"/>
        <v>5.5</v>
      </c>
      <c r="V591" s="1348">
        <f t="shared" si="841"/>
        <v>4.5</v>
      </c>
      <c r="W591" s="1348">
        <f t="shared" si="842"/>
        <v>3.5</v>
      </c>
    </row>
    <row r="592" spans="1:26" hidden="1" outlineLevel="1">
      <c r="B592" s="212" t="str">
        <f t="shared" ca="1" si="843"/>
        <v>RL Capex 2024-25</v>
      </c>
      <c r="C592" s="1354"/>
      <c r="D592" s="1354"/>
      <c r="E592" s="1354"/>
      <c r="F592" s="1354"/>
      <c r="G592" s="1354"/>
      <c r="H592" s="1354"/>
      <c r="I592" s="1354"/>
      <c r="J592" s="1354"/>
      <c r="K592" s="1349"/>
      <c r="L592" s="1353">
        <f>L555</f>
        <v>15.5</v>
      </c>
      <c r="M592" s="1348">
        <f t="shared" si="832"/>
        <v>14.5</v>
      </c>
      <c r="N592" s="1348">
        <f t="shared" si="833"/>
        <v>13.5</v>
      </c>
      <c r="O592" s="1348">
        <f t="shared" si="834"/>
        <v>12.5</v>
      </c>
      <c r="P592" s="1348">
        <f t="shared" si="835"/>
        <v>11.5</v>
      </c>
      <c r="Q592" s="1348">
        <f t="shared" si="836"/>
        <v>10.5</v>
      </c>
      <c r="R592" s="1348">
        <f t="shared" si="837"/>
        <v>9.5</v>
      </c>
      <c r="S592" s="1348">
        <f t="shared" si="838"/>
        <v>8.5</v>
      </c>
      <c r="T592" s="1348">
        <f t="shared" si="839"/>
        <v>7.5</v>
      </c>
      <c r="U592" s="1348">
        <f t="shared" si="840"/>
        <v>6.5</v>
      </c>
      <c r="V592" s="1348">
        <f t="shared" si="841"/>
        <v>5.5</v>
      </c>
      <c r="W592" s="1348">
        <f t="shared" si="842"/>
        <v>4.5</v>
      </c>
    </row>
    <row r="593" spans="1:23" hidden="1" outlineLevel="1">
      <c r="B593" s="212" t="str">
        <f t="shared" ca="1" si="843"/>
        <v>RL Capex 2025-26</v>
      </c>
      <c r="C593" s="1354"/>
      <c r="D593" s="1354"/>
      <c r="E593" s="1354"/>
      <c r="F593" s="1354"/>
      <c r="G593" s="1354"/>
      <c r="H593" s="1354"/>
      <c r="I593" s="1354"/>
      <c r="J593" s="1354"/>
      <c r="K593" s="1354"/>
      <c r="L593" s="1349"/>
      <c r="M593" s="1353">
        <f>M555</f>
        <v>15.5</v>
      </c>
      <c r="N593" s="1348">
        <f t="shared" si="833"/>
        <v>14.5</v>
      </c>
      <c r="O593" s="1348">
        <f t="shared" si="834"/>
        <v>13.5</v>
      </c>
      <c r="P593" s="1348">
        <f t="shared" si="835"/>
        <v>12.5</v>
      </c>
      <c r="Q593" s="1348">
        <f t="shared" si="836"/>
        <v>11.5</v>
      </c>
      <c r="R593" s="1348">
        <f t="shared" si="837"/>
        <v>10.5</v>
      </c>
      <c r="S593" s="1348">
        <f t="shared" si="838"/>
        <v>9.5</v>
      </c>
      <c r="T593" s="1348">
        <f t="shared" si="839"/>
        <v>8.5</v>
      </c>
      <c r="U593" s="1348">
        <f t="shared" si="840"/>
        <v>7.5</v>
      </c>
      <c r="V593" s="1348">
        <f t="shared" si="841"/>
        <v>6.5</v>
      </c>
      <c r="W593" s="1348">
        <f t="shared" si="842"/>
        <v>5.5</v>
      </c>
    </row>
    <row r="594" spans="1:23" hidden="1" outlineLevel="1">
      <c r="B594" s="212" t="str">
        <f t="shared" ca="1" si="843"/>
        <v>RL Capex 2026-27</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2027-28</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2028-29</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2029-30</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2030-31</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2031-32</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2032-33</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2033-34</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2034-35</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2035-36</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f ca="1">(IF(OR($C555&lt;&gt;"n/a",C555&lt;&gt;"n/a"),IF(SUM(C558:C580)=0,0,IF((SUMPRODUCT(C558:C580,C582:C604)/SUM(C558:C580))&lt;0,1,(SUMPRODUCT(C558:C580,C582:C604)/SUM(C558:C580)))),"n/a"))</f>
        <v>6.5281836347412074</v>
      </c>
      <c r="D605" s="1356">
        <f ca="1">(IF(OR($C555&lt;&gt;"n/a",D555&lt;&gt;"n/a"),IF(SUM(D558:D580)=0,0,IF((SUMPRODUCT(D558:D580,D582:D604)/SUM(D558:D580))&lt;0,1,(SUMPRODUCT(D558:D580,D582:D604)/SUM(D558:D580)))),"n/a"))</f>
        <v>5.5281836347412083</v>
      </c>
      <c r="E605" s="1356">
        <f t="shared" ref="E605:W605" ca="1" si="844">(IF(OR($C555&lt;&gt;"n/a",E555&lt;&gt;"n/a"),IF(SUM(E558:E580)=0,0,IF((SUMPRODUCT(E558:E580,E582:E604)/SUM(E558:E580))&lt;0,1,(SUMPRODUCT(E558:E580,E582:E604)/SUM(E558:E580)))),"n/a"))</f>
        <v>4.5281836347412083</v>
      </c>
      <c r="F605" s="1356">
        <f t="shared" ca="1" si="844"/>
        <v>3.5281836347412083</v>
      </c>
      <c r="G605" s="1356">
        <f t="shared" ca="1" si="844"/>
        <v>2.5281836347412083</v>
      </c>
      <c r="H605" s="1356">
        <f t="shared" ca="1" si="844"/>
        <v>1.5281836347412083</v>
      </c>
      <c r="I605" s="1356">
        <f t="shared" ca="1" si="844"/>
        <v>0.52818363474120833</v>
      </c>
      <c r="J605" s="1356">
        <f t="shared" ca="1" si="844"/>
        <v>0</v>
      </c>
      <c r="K605" s="1356">
        <f t="shared" ca="1" si="844"/>
        <v>0</v>
      </c>
      <c r="L605" s="1356">
        <f t="shared" ca="1" si="844"/>
        <v>0</v>
      </c>
      <c r="M605" s="1356">
        <f t="shared" ca="1" si="844"/>
        <v>0</v>
      </c>
      <c r="N605" s="1356">
        <f t="shared" ca="1" si="844"/>
        <v>0</v>
      </c>
      <c r="O605" s="1356">
        <f t="shared" ca="1" si="844"/>
        <v>0</v>
      </c>
      <c r="P605" s="1356">
        <f t="shared" ca="1" si="844"/>
        <v>0</v>
      </c>
      <c r="Q605" s="1356">
        <f t="shared" ca="1" si="844"/>
        <v>0</v>
      </c>
      <c r="R605" s="1356">
        <f t="shared" ca="1" si="844"/>
        <v>0</v>
      </c>
      <c r="S605" s="1356">
        <f t="shared" ca="1" si="844"/>
        <v>0</v>
      </c>
      <c r="T605" s="1356">
        <f t="shared" ca="1" si="844"/>
        <v>0</v>
      </c>
      <c r="U605" s="1356">
        <f t="shared" ca="1" si="844"/>
        <v>0</v>
      </c>
      <c r="V605" s="1356">
        <f t="shared" ca="1" si="844"/>
        <v>0</v>
      </c>
      <c r="W605" s="1356">
        <f t="shared" ca="1" si="844"/>
        <v>0</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3.6617975869025572</v>
      </c>
      <c r="D608" s="1344">
        <f>IF(LEFT(D$6,4)&lt;LEFT('RFM input'!$G$60,4),"enter input",IF(LEFT(D$6,4)&gt;LEFT('RFM input'!$Q$60,4),0,
INDEX('RFM input'!$G$223:$Q$272,$A608,MATCH(D$6,'RFM input'!$G$222:$Q$222,0))
-INDEX('RFM input'!$G$277:$Q$326,$A608,MATCH(D$6,'RFM input'!$G$222:$Q$222,0))))</f>
        <v>0.59608960190783655</v>
      </c>
      <c r="E608" s="1344">
        <f>IF(LEFT(E$6,4)&lt;LEFT('RFM input'!$G$60,4),"enter input",IF(LEFT(E$6,4)&gt;LEFT('RFM input'!$Q$60,4),0,
INDEX('RFM input'!$G$223:$Q$272,$A608,MATCH(E$6,'RFM input'!$G$222:$Q$222,0))
-INDEX('RFM input'!$G$277:$Q$326,$A608,MATCH(E$6,'RFM input'!$G$222:$Q$222,0))))</f>
        <v>0.996303131885242</v>
      </c>
      <c r="F608" s="1344">
        <f>IF(LEFT(F$6,4)&lt;LEFT('RFM input'!$G$60,4),"enter input",IF(LEFT(F$6,4)&gt;LEFT('RFM input'!$Q$60,4),0,
INDEX('RFM input'!$G$223:$Q$272,$A608,MATCH(F$6,'RFM input'!$G$222:$Q$222,0))
-INDEX('RFM input'!$G$277:$Q$326,$A608,MATCH(F$6,'RFM input'!$G$222:$Q$222,0))))</f>
        <v>1.5775921696973938</v>
      </c>
      <c r="G608" s="1344">
        <f>IF(LEFT(G$6,4)&lt;LEFT('RFM input'!$G$60,4),"enter input",IF(LEFT(G$6,4)&gt;LEFT('RFM input'!$Q$60,4),0,
INDEX('RFM input'!$G$223:$Q$272,$A608,MATCH(G$6,'RFM input'!$G$222:$Q$222,0))
-INDEX('RFM input'!$G$277:$Q$326,$A608,MATCH(G$6,'RFM input'!$G$222:$Q$222,0))))</f>
        <v>1.0781475856026985</v>
      </c>
      <c r="H608" s="1344">
        <f>IF(LEFT(H$6,4)&lt;LEFT('RFM input'!$G$60,4),"enter input",IF(LEFT(H$6,4)&gt;LEFT('RFM input'!$Q$60,4),0,
INDEX('RFM input'!$G$223:$Q$272,$A608,MATCH(H$6,'RFM input'!$G$222:$Q$222,0))
-INDEX('RFM input'!$G$277:$Q$326,$A608,MATCH(H$6,'RFM input'!$G$222:$Q$222,0))))</f>
        <v>0.62503666124629231</v>
      </c>
      <c r="I608" s="1344">
        <f>IF(LEFT(I$6,4)&lt;LEFT('RFM input'!$G$60,4),"enter input",IF(LEFT(I$6,4)&gt;LEFT('RFM input'!$Q$60,4),0,
INDEX('RFM input'!$G$223:$Q$272,$A608,MATCH(I$6,'RFM input'!$G$222:$Q$222,0))
-INDEX('RFM input'!$G$277:$Q$326,$A608,MATCH(I$6,'RFM input'!$G$222:$Q$222,0))))</f>
        <v>3.0548332362262967</v>
      </c>
      <c r="J608" s="1344">
        <f>IF(LEFT(J$6,4)&lt;LEFT('RFM input'!$G$60,4),"enter input",IF(LEFT(J$6,4)&gt;LEFT('RFM input'!$Q$60,4),0,
INDEX('RFM input'!$G$223:$Q$272,$A608,MATCH(J$6,'RFM input'!$G$222:$Q$222,0))
-INDEX('RFM input'!$G$277:$Q$326,$A608,MATCH(J$6,'RFM input'!$G$222:$Q$222,0))))</f>
        <v>0</v>
      </c>
      <c r="K608" s="1344">
        <f>IF(LEFT(K$6,4)&lt;LEFT('RFM input'!$G$60,4),"enter input",IF(LEFT(K$6,4)&gt;LEFT('RFM input'!$Q$60,4),0,
INDEX('RFM input'!$G$223:$Q$272,$A608,MATCH(K$6,'RFM input'!$G$222:$Q$222,0))
-INDEX('RFM input'!$G$277:$Q$326,$A608,MATCH(K$6,'RFM input'!$G$222:$Q$222,0))))</f>
        <v>0</v>
      </c>
      <c r="L608" s="1344">
        <f>IF(LEFT(L$6,4)&lt;LEFT('RFM input'!$G$60,4),"enter input",IF(LEFT(L$6,4)&gt;LEFT('RFM input'!$Q$60,4),0,
INDEX('RFM input'!$G$223:$Q$272,$A608,MATCH(L$6,'RFM input'!$G$222:$Q$222,0))
-INDEX('RFM input'!$G$277:$Q$326,$A608,MATCH(L$6,'RFM input'!$G$222:$Q$222,0))))</f>
        <v>0</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4.2699981600537242</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3.6617975869025572</v>
      </c>
      <c r="D613" s="1348">
        <f ca="1">IF(C637="n/a",C613,IFERROR(IF((OFFSET($C613,0,$A613))&lt;0,
MIN(0,C613-(OFFSET($C613,0,$A613)/(OFFSET($C608,-$A612,$A613)))),
MAX(0,C613-(OFFSET($C613,0,$A613)/(OFFSET($C608,-$A612,$A613))))),0))</f>
        <v>2.8042333796953844</v>
      </c>
      <c r="E613" s="1348">
        <f t="shared" ref="E613" ca="1" si="864">IF(D637="n/a",D613,IFERROR(IF((OFFSET($C613,0,$A613))&lt;0,
MIN(0,D613-(OFFSET($C613,0,$A613)/(OFFSET($C608,-$A612,$A613)))),
MAX(0,D613-(OFFSET($C613,0,$A613)/(OFFSET($C608,-$A612,$A613))))),0))</f>
        <v>1.9466691724882119</v>
      </c>
      <c r="F613" s="1348">
        <f t="shared" ref="F613:F614" ca="1" si="865">IF(E637="n/a",E613,IFERROR(IF((OFFSET($C613,0,$A613))&lt;0,
MIN(0,E613-(OFFSET($C613,0,$A613)/(OFFSET($C608,-$A612,$A613)))),
MAX(0,E613-(OFFSET($C613,0,$A613)/(OFFSET($C608,-$A612,$A613))))),0))</f>
        <v>1.0891049652810394</v>
      </c>
      <c r="G613" s="1348">
        <f t="shared" ref="G613:G615" ca="1" si="866">IF(F637="n/a",F613,IFERROR(IF((OFFSET($C613,0,$A613))&lt;0,
MIN(0,F613-(OFFSET($C613,0,$A613)/(OFFSET($C608,-$A612,$A613)))),
MAX(0,F613-(OFFSET($C613,0,$A613)/(OFFSET($C608,-$A612,$A613))))),0))</f>
        <v>0.23154075807386687</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2016-17</v>
      </c>
      <c r="C614" s="1349"/>
      <c r="D614" s="1350">
        <f>(D608*((1+D$11)^0.5)/D$10)</f>
        <v>0.60530618892303478</v>
      </c>
      <c r="E614" s="1348">
        <f ca="1">IF(D638="n/a",D614,IFERROR(IF((OFFSET($C614,0,$A614))&lt;0,
MIN(0,D614-(OFFSET($C614,0,$A614)/(OFFSET($C609,-$A613,$A614)))),
MAX(0,D614-(OFFSET($C614,0,$A614)/(OFFSET($C609,-$A613,$A614))))),0))</f>
        <v>0.4842449511384278</v>
      </c>
      <c r="F614" s="1348">
        <f t="shared" ca="1" si="865"/>
        <v>0.36318371335382083</v>
      </c>
      <c r="G614" s="1348">
        <f t="shared" ca="1" si="866"/>
        <v>0.24212247556921387</v>
      </c>
      <c r="H614" s="1348">
        <f t="shared" ca="1" si="867"/>
        <v>0.12106123778460692</v>
      </c>
      <c r="I614" s="1348">
        <f t="shared" ca="1" si="868"/>
        <v>0</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2017-18</v>
      </c>
      <c r="C615" s="1351"/>
      <c r="D615" s="1352"/>
      <c r="E615" s="1350">
        <f>(E608*((1+E$11)^0.5)/E$10)</f>
        <v>0.99232363264037593</v>
      </c>
      <c r="F615" s="1348">
        <f ca="1">IF(E639="n/a",E615,IFERROR(IF((OFFSET($C615,0,$A615))&lt;0,
MIN(0,E615-(OFFSET($C615,0,$A615)/(OFFSET($C610,-$A614,$A615)))),
MAX(0,E615-(OFFSET($C615,0,$A615)/(OFFSET($C610,-$A614,$A615))))),0))</f>
        <v>0.7938589061123007</v>
      </c>
      <c r="G615" s="1348">
        <f t="shared" ca="1" si="866"/>
        <v>0.59539417958422547</v>
      </c>
      <c r="H615" s="1348">
        <f t="shared" ca="1" si="867"/>
        <v>0.39692945305615029</v>
      </c>
      <c r="I615" s="1348">
        <f t="shared" ca="1" si="868"/>
        <v>0.19846472652807512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2018-19</v>
      </c>
      <c r="C616" s="1351"/>
      <c r="D616" s="1351"/>
      <c r="E616" s="1352"/>
      <c r="F616" s="1353">
        <f>($F608*((1+F$11)^0.5)/F$10)</f>
        <v>1.5366431067081374</v>
      </c>
      <c r="G616" s="1348">
        <f ca="1">IF(F640="n/a",F616,IFERROR(IF((OFFSET($C616,0,$A616))&lt;0,
MIN(0,F616-(OFFSET($C616,0,$A616)/(OFFSET($C611,-$A615,$A616)))),
MAX(0,F616-(OFFSET($C616,0,$A616)/(OFFSET($C611,-$A615,$A616))))),0))</f>
        <v>1.2293144853665099</v>
      </c>
      <c r="H616" s="1348">
        <f t="shared" ca="1" si="867"/>
        <v>0.92198586402488236</v>
      </c>
      <c r="I616" s="1348">
        <f t="shared" ca="1" si="868"/>
        <v>0.61465724268325483</v>
      </c>
      <c r="J616" s="1348">
        <f t="shared" ca="1" si="869"/>
        <v>0.30732862134162736</v>
      </c>
      <c r="K616" s="1348">
        <f t="shared" ca="1" si="870"/>
        <v>0</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2019-20</v>
      </c>
      <c r="C617" s="1351"/>
      <c r="D617" s="1351"/>
      <c r="E617" s="1351"/>
      <c r="F617" s="1352"/>
      <c r="G617" s="1353">
        <f>($G608*((1+G$11)^0.5)/G$10)</f>
        <v>1.0191130168188072</v>
      </c>
      <c r="H617" s="1348">
        <f ca="1">IF(G641="n/a",G617,IFERROR(IF((OFFSET($C617,0,$A617))&lt;0,
MIN(0,G617-(OFFSET($C617,0,$A617)/(OFFSET($C612,-$A616,$A617)))),
MAX(0,G617-(OFFSET($C617,0,$A617)/(OFFSET($C612,-$A616,$A617))))),0))</f>
        <v>0.81529041345504571</v>
      </c>
      <c r="I617" s="1348">
        <f t="shared" ca="1" si="868"/>
        <v>0.61146781009128426</v>
      </c>
      <c r="J617" s="1348">
        <f t="shared" ca="1" si="869"/>
        <v>0.4076452067275228</v>
      </c>
      <c r="K617" s="1348">
        <f t="shared" ca="1" si="870"/>
        <v>0.20382260336376137</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2020-21</v>
      </c>
      <c r="C618" s="1351"/>
      <c r="D618" s="1351"/>
      <c r="E618" s="1351"/>
      <c r="F618" s="1351"/>
      <c r="G618" s="1352"/>
      <c r="H618" s="1353">
        <f>(H608*((1+H$11)^0.5)/H$10)</f>
        <v>0.60304033503403254</v>
      </c>
      <c r="I618" s="1348">
        <f ca="1">IF(H642="n/a",H618,IFERROR(IF((OFFSET($C618,0,$A618))&lt;0,
MIN(0,H618-(OFFSET($C618,0,$A618)/(OFFSET($C613,-$A617,$A618)))),
MAX(0,H618-(OFFSET($C618,0,$A618)/(OFFSET($C613,-$A617,$A618))))),0))</f>
        <v>0.48243226802722605</v>
      </c>
      <c r="J618" s="1348">
        <f t="shared" ca="1" si="869"/>
        <v>0.36182420102041957</v>
      </c>
      <c r="K618" s="1348">
        <f t="shared" ca="1" si="870"/>
        <v>0.24121613401361305</v>
      </c>
      <c r="L618" s="1348">
        <f t="shared" ca="1" si="871"/>
        <v>0.12060806700680654</v>
      </c>
      <c r="M618" s="1348">
        <f t="shared" ca="1" si="872"/>
        <v>2.7755575615628914E-17</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2021-22</v>
      </c>
      <c r="C619" s="1351"/>
      <c r="D619" s="1351"/>
      <c r="E619" s="1351"/>
      <c r="F619" s="1351"/>
      <c r="G619" s="1351"/>
      <c r="H619" s="1352"/>
      <c r="I619" s="1353">
        <f>(I608*((1+I$11)^0.5)/I$10)</f>
        <v>2.8858021545258667</v>
      </c>
      <c r="J619" s="1348">
        <f ca="1">IF(I643="n/a",I619,IFERROR(IF((OFFSET($C619,0,$A619))&lt;0,
MIN(0,I619-(OFFSET($C619,0,$A619)/(OFFSET($C614,-$A618,$A619)))),
MAX(0,I619-(OFFSET($C619,0,$A619)/(OFFSET($C614,-$A618,$A619))))),0))</f>
        <v>2.3086417236206933</v>
      </c>
      <c r="K619" s="1348">
        <f t="shared" ca="1" si="870"/>
        <v>1.7314812927155199</v>
      </c>
      <c r="L619" s="1348">
        <f t="shared" ca="1" si="871"/>
        <v>1.1543208618103464</v>
      </c>
      <c r="M619" s="1348">
        <f t="shared" ca="1" si="872"/>
        <v>0.57716043090517311</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2022-23</v>
      </c>
      <c r="C620" s="1351"/>
      <c r="D620" s="1351"/>
      <c r="E620" s="1351"/>
      <c r="F620" s="1351"/>
      <c r="G620" s="1351"/>
      <c r="H620" s="1351"/>
      <c r="I620" s="1352"/>
      <c r="J620" s="1353">
        <f>(J608*((1+J$11)^0.5)/J$10)</f>
        <v>0</v>
      </c>
      <c r="K620" s="1348">
        <f ca="1">IF(J644="n/a",J620,IFERROR(IF((OFFSET($C620,0,$A620))&lt;0,
MIN(0,J620-(OFFSET($C620,0,$A620)/(OFFSET($C615,-$A619,$A620)))),
MAX(0,J620-(OFFSET($C620,0,$A620)/(OFFSET($C615,-$A619,$A620))))),0))</f>
        <v>0</v>
      </c>
      <c r="L620" s="1348">
        <f t="shared" ca="1" si="871"/>
        <v>0</v>
      </c>
      <c r="M620" s="1348">
        <f t="shared" ca="1" si="872"/>
        <v>0</v>
      </c>
      <c r="N620" s="1348">
        <f t="shared" ca="1" si="873"/>
        <v>0</v>
      </c>
      <c r="O620" s="1348">
        <f t="shared" ca="1" si="874"/>
        <v>0</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2023-24</v>
      </c>
      <c r="C621" s="1351"/>
      <c r="D621" s="1351"/>
      <c r="E621" s="1351"/>
      <c r="F621" s="1351"/>
      <c r="G621" s="1351"/>
      <c r="H621" s="1351"/>
      <c r="I621" s="1351"/>
      <c r="J621" s="1352"/>
      <c r="K621" s="1353">
        <f>(K608*((1+K$11)^0.5)/K$10)</f>
        <v>0</v>
      </c>
      <c r="L621" s="1348">
        <f ca="1">IF(K645="n/a",K621,IFERROR(IF((OFFSET($C621,0,$A621))&lt;0,
MIN(0,K621-(OFFSET($C621,0,$A621)/(OFFSET($C616,-$A620,$A621)))),
MAX(0,K621-(OFFSET($C621,0,$A621)/(OFFSET($C616,-$A620,$A621))))),0))</f>
        <v>0</v>
      </c>
      <c r="M621" s="1348">
        <f t="shared" ca="1" si="872"/>
        <v>0</v>
      </c>
      <c r="N621" s="1348">
        <f t="shared" ca="1" si="873"/>
        <v>0</v>
      </c>
      <c r="O621" s="1348">
        <f t="shared" ca="1" si="874"/>
        <v>0</v>
      </c>
      <c r="P621" s="1348">
        <f t="shared" ca="1" si="875"/>
        <v>0</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2024-25</v>
      </c>
      <c r="C622" s="1351"/>
      <c r="D622" s="1351"/>
      <c r="E622" s="1351"/>
      <c r="F622" s="1351"/>
      <c r="G622" s="1351"/>
      <c r="H622" s="1351"/>
      <c r="I622" s="1351"/>
      <c r="J622" s="1351"/>
      <c r="K622" s="1352"/>
      <c r="L622" s="1353">
        <f>(L608*((1+L$11)^0.5)/L$10)</f>
        <v>0</v>
      </c>
      <c r="M622" s="1348">
        <f ca="1">IF(L646="n/a",L622,IFERROR(IF((OFFSET($C622,0,$A622))&lt;0,
MIN(0,L622-(OFFSET($C622,0,$A622)/(OFFSET($C617,-$A621,$A622)))),
MAX(0,L622-(OFFSET($C622,0,$A622)/(OFFSET($C617,-$A621,$A622))))),0))</f>
        <v>0</v>
      </c>
      <c r="N622" s="1348">
        <f t="shared" ca="1" si="873"/>
        <v>0</v>
      </c>
      <c r="O622" s="1348">
        <f t="shared" ca="1" si="874"/>
        <v>0</v>
      </c>
      <c r="P622" s="1348">
        <f t="shared" ca="1" si="875"/>
        <v>0</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2025-26</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2026-27</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2027-28</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2028-29</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2029-30</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2030-31</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2031-32</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2032-33</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2033-34</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2034-35</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2035-36</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4.2699981600537242</v>
      </c>
      <c r="D637" s="1348">
        <f t="shared" ref="D637" ca="1" si="903">IF(C637="n/a","n/a",MAX(0,C637-1))</f>
        <v>3.2699981600537242</v>
      </c>
      <c r="E637" s="1348">
        <f t="shared" ref="E637:E638" ca="1" si="904">IF(D637="n/a","n/a",MAX(0,D637-1))</f>
        <v>2.2699981600537242</v>
      </c>
      <c r="F637" s="1348">
        <f t="shared" ref="F637:F639" ca="1" si="905">IF(E637="n/a","n/a",MAX(0,E637-1))</f>
        <v>1.2699981600537242</v>
      </c>
      <c r="G637" s="1348">
        <f t="shared" ref="G637:G640" ca="1" si="906">IF(F637="n/a","n/a",MAX(0,F637-1))</f>
        <v>0.26999816005372423</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2016-17</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2017-18</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2018-19</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2019-20</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2020-21</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2021-22</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2022-23</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2023-24</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2024-25</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2025-26</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2026-27</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2027-28</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2028-29</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2029-30</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2030-31</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2031-32</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2032-33</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2033-34</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2034-35</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2035-36</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4.2699981600537242</v>
      </c>
      <c r="D659" s="1356">
        <f ca="1">(IF(OR($C609&lt;&gt;"n/a",D609&lt;&gt;"n/a"),IF(SUM(D612:D634)=0,0,IF((SUMPRODUCT(D612:D634,D636:D658)/SUM(D612:D634))&lt;0,1,(SUMPRODUCT(D612:D634,D636:D658)/SUM(D612:D634)))),"n/a"))</f>
        <v>3.577130780013916</v>
      </c>
      <c r="E659" s="1356">
        <f t="shared" ref="E659:W659" ca="1" si="924">(IF(OR($C609&lt;&gt;"n/a",E609&lt;&gt;"n/a"),IF(SUM(E612:E634)=0,0,IF((SUMPRODUCT(E612:E634,E636:E658)/SUM(E612:E634))&lt;0,1,(SUMPRODUCT(E612:E634,E636:E658)/SUM(E612:E634)))),"n/a"))</f>
        <v>3.3060903779814352</v>
      </c>
      <c r="F659" s="1356">
        <f t="shared" ca="1" si="924"/>
        <v>3.5242139170367013</v>
      </c>
      <c r="G659" s="1356">
        <f t="shared" ca="1" si="924"/>
        <v>3.7214234303678886</v>
      </c>
      <c r="H659" s="1356">
        <f t="shared" ca="1" si="924"/>
        <v>3.4836146040964024</v>
      </c>
      <c r="I659" s="1356">
        <f t="shared" ca="1" si="924"/>
        <v>4.0938122619456312</v>
      </c>
      <c r="J659" s="1356">
        <f t="shared" ca="1" si="924"/>
        <v>3.3799622407045105</v>
      </c>
      <c r="K659" s="1356">
        <f t="shared" ca="1" si="924"/>
        <v>2.7018812913412784</v>
      </c>
      <c r="L659" s="1356">
        <f t="shared" ca="1" si="924"/>
        <v>1.9054001644478302</v>
      </c>
      <c r="M659" s="1356">
        <f t="shared" ca="1" si="924"/>
        <v>1</v>
      </c>
      <c r="N659" s="1356">
        <f t="shared" ca="1" si="924"/>
        <v>0</v>
      </c>
      <c r="O659" s="1356">
        <f t="shared" ca="1" si="924"/>
        <v>0</v>
      </c>
      <c r="P659" s="1356">
        <f t="shared" ca="1" si="924"/>
        <v>0</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0</v>
      </c>
      <c r="D662" s="1344">
        <f>IF(LEFT(D$6,4)&lt;LEFT('RFM input'!$G$60,4),"enter input",IF(LEFT(D$6,4)&gt;LEFT('RFM input'!$Q$60,4),0,
INDEX('RFM input'!$G$223:$Q$272,$A662,MATCH(D$6,'RFM input'!$G$222:$Q$222,0))
-INDEX('RFM input'!$G$277:$Q$326,$A662,MATCH(D$6,'RFM input'!$G$222:$Q$222,0))))</f>
        <v>0</v>
      </c>
      <c r="E662" s="1344">
        <f>IF(LEFT(E$6,4)&lt;LEFT('RFM input'!$G$60,4),"enter input",IF(LEFT(E$6,4)&gt;LEFT('RFM input'!$Q$60,4),0,
INDEX('RFM input'!$G$223:$Q$272,$A662,MATCH(E$6,'RFM input'!$G$222:$Q$222,0))
-INDEX('RFM input'!$G$277:$Q$326,$A662,MATCH(E$6,'RFM input'!$G$222:$Q$222,0))))</f>
        <v>0</v>
      </c>
      <c r="F662" s="1344">
        <f>IF(LEFT(F$6,4)&lt;LEFT('RFM input'!$G$60,4),"enter input",IF(LEFT(F$6,4)&gt;LEFT('RFM input'!$Q$60,4),0,
INDEX('RFM input'!$G$223:$Q$272,$A662,MATCH(F$6,'RFM input'!$G$222:$Q$222,0))
-INDEX('RFM input'!$G$277:$Q$326,$A662,MATCH(F$6,'RFM input'!$G$222:$Q$222,0))))</f>
        <v>0</v>
      </c>
      <c r="G662" s="1344">
        <f>IF(LEFT(G$6,4)&lt;LEFT('RFM input'!$G$60,4),"enter input",IF(LEFT(G$6,4)&gt;LEFT('RFM input'!$Q$60,4),0,
INDEX('RFM input'!$G$223:$Q$272,$A662,MATCH(G$6,'RFM input'!$G$222:$Q$222,0))
-INDEX('RFM input'!$G$277:$Q$326,$A662,MATCH(G$6,'RFM input'!$G$222:$Q$222,0))))</f>
        <v>0.8789407222009713</v>
      </c>
      <c r="H662" s="1344">
        <f>IF(LEFT(H$6,4)&lt;LEFT('RFM input'!$G$60,4),"enter input",IF(LEFT(H$6,4)&gt;LEFT('RFM input'!$Q$60,4),0,
INDEX('RFM input'!$G$223:$Q$272,$A662,MATCH(H$6,'RFM input'!$G$222:$Q$222,0))
-INDEX('RFM input'!$G$277:$Q$326,$A662,MATCH(H$6,'RFM input'!$G$222:$Q$222,0))))</f>
        <v>0.20130235316493469</v>
      </c>
      <c r="I662" s="1344">
        <f>IF(LEFT(I$6,4)&lt;LEFT('RFM input'!$G$60,4),"enter input",IF(LEFT(I$6,4)&gt;LEFT('RFM input'!$Q$60,4),0,
INDEX('RFM input'!$G$223:$Q$272,$A662,MATCH(I$6,'RFM input'!$G$222:$Q$222,0))
-INDEX('RFM input'!$G$277:$Q$326,$A662,MATCH(I$6,'RFM input'!$G$222:$Q$222,0))))</f>
        <v>0.23104586098364646</v>
      </c>
      <c r="J662" s="1344">
        <f>IF(LEFT(J$6,4)&lt;LEFT('RFM input'!$G$60,4),"enter input",IF(LEFT(J$6,4)&gt;LEFT('RFM input'!$Q$60,4),0,
INDEX('RFM input'!$G$223:$Q$272,$A662,MATCH(J$6,'RFM input'!$G$222:$Q$222,0))
-INDEX('RFM input'!$G$277:$Q$326,$A662,MATCH(J$6,'RFM input'!$G$222:$Q$222,0))))</f>
        <v>0</v>
      </c>
      <c r="K662" s="1344">
        <f>IF(LEFT(K$6,4)&lt;LEFT('RFM input'!$G$60,4),"enter input",IF(LEFT(K$6,4)&gt;LEFT('RFM input'!$Q$60,4),0,
INDEX('RFM input'!$G$223:$Q$272,$A662,MATCH(K$6,'RFM input'!$G$222:$Q$222,0))
-INDEX('RFM input'!$G$277:$Q$326,$A662,MATCH(K$6,'RFM input'!$G$222:$Q$222,0))))</f>
        <v>0</v>
      </c>
      <c r="L662" s="1344">
        <f>IF(LEFT(L$6,4)&lt;LEFT('RFM input'!$G$60,4),"enter input",IF(LEFT(L$6,4)&gt;LEFT('RFM input'!$Q$60,4),0,
INDEX('RFM input'!$G$223:$Q$272,$A662,MATCH(L$6,'RFM input'!$G$222:$Q$222,0))
-INDEX('RFM input'!$G$277:$Q$326,$A662,MATCH(L$6,'RFM input'!$G$222:$Q$222,0))))</f>
        <v>0</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0</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0</v>
      </c>
      <c r="D667" s="1348">
        <f ca="1">IF(C691="n/a",C667,IFERROR(IF((OFFSET($C667,0,$A667))&lt;0,
MIN(0,C667-(OFFSET($C667,0,$A667)/(OFFSET($C662,-$A666,$A667)))),
MAX(0,C667-(OFFSET($C667,0,$A667)/(OFFSET($C662,-$A666,$A667))))),0))</f>
        <v>0</v>
      </c>
      <c r="E667" s="1348">
        <f t="shared" ref="E667" ca="1" si="944">IF(D691="n/a",D667,IFERROR(IF((OFFSET($C667,0,$A667))&lt;0,
MIN(0,D667-(OFFSET($C667,0,$A667)/(OFFSET($C662,-$A666,$A667)))),
MAX(0,D667-(OFFSET($C667,0,$A667)/(OFFSET($C662,-$A666,$A667))))),0))</f>
        <v>0</v>
      </c>
      <c r="F667" s="1348">
        <f t="shared" ref="F667:F668" ca="1" si="945">IF(E691="n/a",E667,IFERROR(IF((OFFSET($C667,0,$A667))&lt;0,
MIN(0,E667-(OFFSET($C667,0,$A667)/(OFFSET($C662,-$A666,$A667)))),
MAX(0,E667-(OFFSET($C667,0,$A667)/(OFFSET($C662,-$A666,$A667))))),0))</f>
        <v>0</v>
      </c>
      <c r="G667" s="1348">
        <f t="shared" ref="G667:G669" ca="1" si="946">IF(F691="n/a",F667,IFERROR(IF((OFFSET($C667,0,$A667))&lt;0,
MIN(0,F667-(OFFSET($C667,0,$A667)/(OFFSET($C662,-$A666,$A667)))),
MAX(0,F667-(OFFSET($C667,0,$A667)/(OFFSET($C662,-$A666,$A667))))),0))</f>
        <v>0</v>
      </c>
      <c r="H667" s="1348">
        <f t="shared" ref="H667:H670" ca="1" si="947">IF(G691="n/a",G667,IFERROR(IF((OFFSET($C667,0,$A667))&lt;0,
MIN(0,G667-(OFFSET($C667,0,$A667)/(OFFSET($C662,-$A666,$A667)))),
MAX(0,G667-(OFFSET($C667,0,$A667)/(OFFSET($C662,-$A666,$A667))))),0))</f>
        <v>0</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2016-17</v>
      </c>
      <c r="C668" s="1349"/>
      <c r="D668" s="1350">
        <f>(D662*((1+D$11)^0.5)/D$10)</f>
        <v>0</v>
      </c>
      <c r="E668" s="1348">
        <f ca="1">IF(D692="n/a",D668,IFERROR(IF((OFFSET($C668,0,$A668))&lt;0,
MIN(0,D668-(OFFSET($C668,0,$A668)/(OFFSET($C663,-$A667,$A668)))),
MAX(0,D668-(OFFSET($C668,0,$A668)/(OFFSET($C663,-$A667,$A668))))),0))</f>
        <v>0</v>
      </c>
      <c r="F668" s="1348">
        <f t="shared" ca="1" si="945"/>
        <v>0</v>
      </c>
      <c r="G668" s="1348">
        <f t="shared" ca="1" si="946"/>
        <v>0</v>
      </c>
      <c r="H668" s="1348">
        <f t="shared" ca="1" si="947"/>
        <v>0</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2017-18</v>
      </c>
      <c r="C669" s="1351"/>
      <c r="D669" s="1352"/>
      <c r="E669" s="1350">
        <f>(E662*((1+E$11)^0.5)/E$10)</f>
        <v>0</v>
      </c>
      <c r="F669" s="1348">
        <f ca="1">IF(E693="n/a",E669,IFERROR(IF((OFFSET($C669,0,$A669))&lt;0,
MIN(0,E669-(OFFSET($C669,0,$A669)/(OFFSET($C664,-$A668,$A669)))),
MAX(0,E669-(OFFSET($C669,0,$A669)/(OFFSET($C664,-$A668,$A669))))),0))</f>
        <v>0</v>
      </c>
      <c r="G669" s="1348">
        <f t="shared" ca="1" si="946"/>
        <v>0</v>
      </c>
      <c r="H669" s="1348">
        <f t="shared" ca="1" si="947"/>
        <v>0</v>
      </c>
      <c r="I669" s="1348">
        <f t="shared" ca="1" si="948"/>
        <v>0</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2018-19</v>
      </c>
      <c r="C670" s="1351"/>
      <c r="D670" s="1351"/>
      <c r="E670" s="1352"/>
      <c r="F670" s="1353">
        <f>($F662*((1+F$11)^0.5)/F$10)</f>
        <v>0</v>
      </c>
      <c r="G670" s="1348">
        <f ca="1">IF(F694="n/a",F670,IFERROR(IF((OFFSET($C670,0,$A670))&lt;0,
MIN(0,F670-(OFFSET($C670,0,$A670)/(OFFSET($C665,-$A669,$A670)))),
MAX(0,F670-(OFFSET($C670,0,$A670)/(OFFSET($C665,-$A669,$A670))))),0))</f>
        <v>0</v>
      </c>
      <c r="H670" s="1348">
        <f t="shared" ca="1" si="947"/>
        <v>0</v>
      </c>
      <c r="I670" s="1348">
        <f t="shared" ca="1" si="948"/>
        <v>0</v>
      </c>
      <c r="J670" s="1348">
        <f t="shared" ca="1" si="949"/>
        <v>0</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2019-20</v>
      </c>
      <c r="C671" s="1351"/>
      <c r="D671" s="1351"/>
      <c r="E671" s="1351"/>
      <c r="F671" s="1352"/>
      <c r="G671" s="1353">
        <f>($G662*((1+G$11)^0.5)/G$10)</f>
        <v>0.8308138356646253</v>
      </c>
      <c r="H671" s="1348">
        <f ca="1">IF(G695="n/a",G671,IFERROR(IF((OFFSET($C671,0,$A671))&lt;0,
MIN(0,G671-(OFFSET($C671,0,$A671)/(OFFSET($C666,-$A670,$A671)))),
MAX(0,G671-(OFFSET($C671,0,$A671)/(OFFSET($C666,-$A670,$A671))))),0))</f>
        <v>0.6646510685317002</v>
      </c>
      <c r="I671" s="1348">
        <f t="shared" ca="1" si="948"/>
        <v>0.49848830139877515</v>
      </c>
      <c r="J671" s="1348">
        <f t="shared" ca="1" si="949"/>
        <v>0.3323255342658501</v>
      </c>
      <c r="K671" s="1348">
        <f t="shared" ca="1" si="950"/>
        <v>0.16616276713292505</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2020-21</v>
      </c>
      <c r="C672" s="1351"/>
      <c r="D672" s="1351"/>
      <c r="E672" s="1351"/>
      <c r="F672" s="1351"/>
      <c r="G672" s="1352"/>
      <c r="H672" s="1353">
        <f>(H662*((1+H$11)^0.5)/H$10)</f>
        <v>0.19421810914845988</v>
      </c>
      <c r="I672" s="1348">
        <f ca="1">IF(H696="n/a",H672,IFERROR(IF((OFFSET($C672,0,$A672))&lt;0,
MIN(0,H672-(OFFSET($C672,0,$A672)/(OFFSET($C667,-$A671,$A672)))),
MAX(0,H672-(OFFSET($C672,0,$A672)/(OFFSET($C667,-$A671,$A672))))),0))</f>
        <v>0.15537448731876791</v>
      </c>
      <c r="J672" s="1348">
        <f t="shared" ca="1" si="949"/>
        <v>0.11653086548907593</v>
      </c>
      <c r="K672" s="1348">
        <f t="shared" ca="1" si="950"/>
        <v>7.7687243659383953E-2</v>
      </c>
      <c r="L672" s="1348">
        <f t="shared" ca="1" si="951"/>
        <v>3.8843621829691977E-2</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2021-22</v>
      </c>
      <c r="C673" s="1351"/>
      <c r="D673" s="1351"/>
      <c r="E673" s="1351"/>
      <c r="F673" s="1351"/>
      <c r="G673" s="1351"/>
      <c r="H673" s="1352"/>
      <c r="I673" s="1353">
        <f>(I662*((1+I$11)^0.5)/I$10)</f>
        <v>0.2182615520592362</v>
      </c>
      <c r="J673" s="1348">
        <f ca="1">IF(I697="n/a",I673,IFERROR(IF((OFFSET($C673,0,$A673))&lt;0,
MIN(0,I673-(OFFSET($C673,0,$A673)/(OFFSET($C668,-$A672,$A673)))),
MAX(0,I673-(OFFSET($C673,0,$A673)/(OFFSET($C668,-$A672,$A673))))),0))</f>
        <v>0.17460924164738895</v>
      </c>
      <c r="K673" s="1348">
        <f t="shared" ca="1" si="950"/>
        <v>0.1309569312355417</v>
      </c>
      <c r="L673" s="1348">
        <f t="shared" ca="1" si="951"/>
        <v>8.7304620823694459E-2</v>
      </c>
      <c r="M673" s="1348">
        <f t="shared" ca="1" si="952"/>
        <v>4.3652310411847223E-2</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2022-23</v>
      </c>
      <c r="C674" s="1351"/>
      <c r="D674" s="1351"/>
      <c r="E674" s="1351"/>
      <c r="F674" s="1351"/>
      <c r="G674" s="1351"/>
      <c r="H674" s="1351"/>
      <c r="I674" s="1352"/>
      <c r="J674" s="1353">
        <f>(J662*((1+J$11)^0.5)/J$10)</f>
        <v>0</v>
      </c>
      <c r="K674" s="1348">
        <f ca="1">IF(J698="n/a",J674,IFERROR(IF((OFFSET($C674,0,$A674))&lt;0,
MIN(0,J674-(OFFSET($C674,0,$A674)/(OFFSET($C669,-$A673,$A674)))),
MAX(0,J674-(OFFSET($C674,0,$A674)/(OFFSET($C669,-$A673,$A674))))),0))</f>
        <v>0</v>
      </c>
      <c r="L674" s="1348">
        <f t="shared" ca="1" si="951"/>
        <v>0</v>
      </c>
      <c r="M674" s="1348">
        <f t="shared" ca="1" si="952"/>
        <v>0</v>
      </c>
      <c r="N674" s="1348">
        <f t="shared" ca="1" si="953"/>
        <v>0</v>
      </c>
      <c r="O674" s="1348">
        <f t="shared" ca="1" si="954"/>
        <v>0</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2023-24</v>
      </c>
      <c r="C675" s="1351"/>
      <c r="D675" s="1351"/>
      <c r="E675" s="1351"/>
      <c r="F675" s="1351"/>
      <c r="G675" s="1351"/>
      <c r="H675" s="1351"/>
      <c r="I675" s="1351"/>
      <c r="J675" s="1352"/>
      <c r="K675" s="1353">
        <f>(K662*((1+K$11)^0.5)/K$10)</f>
        <v>0</v>
      </c>
      <c r="L675" s="1348">
        <f ca="1">IF(K699="n/a",K675,IFERROR(IF((OFFSET($C675,0,$A675))&lt;0,
MIN(0,K675-(OFFSET($C675,0,$A675)/(OFFSET($C670,-$A674,$A675)))),
MAX(0,K675-(OFFSET($C675,0,$A675)/(OFFSET($C670,-$A674,$A675))))),0))</f>
        <v>0</v>
      </c>
      <c r="M675" s="1348">
        <f t="shared" ca="1" si="952"/>
        <v>0</v>
      </c>
      <c r="N675" s="1348">
        <f t="shared" ca="1" si="953"/>
        <v>0</v>
      </c>
      <c r="O675" s="1348">
        <f t="shared" ca="1" si="954"/>
        <v>0</v>
      </c>
      <c r="P675" s="1348">
        <f t="shared" ca="1" si="955"/>
        <v>0</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2024-25</v>
      </c>
      <c r="C676" s="1351"/>
      <c r="D676" s="1351"/>
      <c r="E676" s="1351"/>
      <c r="F676" s="1351"/>
      <c r="G676" s="1351"/>
      <c r="H676" s="1351"/>
      <c r="I676" s="1351"/>
      <c r="J676" s="1351"/>
      <c r="K676" s="1352"/>
      <c r="L676" s="1353">
        <f>(L662*((1+L$11)^0.5)/L$10)</f>
        <v>0</v>
      </c>
      <c r="M676" s="1348">
        <f ca="1">IF(L700="n/a",L676,IFERROR(IF((OFFSET($C676,0,$A676))&lt;0,
MIN(0,L676-(OFFSET($C676,0,$A676)/(OFFSET($C671,-$A675,$A676)))),
MAX(0,L676-(OFFSET($C676,0,$A676)/(OFFSET($C671,-$A675,$A676))))),0))</f>
        <v>0</v>
      </c>
      <c r="N676" s="1348">
        <f t="shared" ca="1" si="953"/>
        <v>0</v>
      </c>
      <c r="O676" s="1348">
        <f t="shared" ca="1" si="954"/>
        <v>0</v>
      </c>
      <c r="P676" s="1348">
        <f t="shared" ca="1" si="955"/>
        <v>0</v>
      </c>
      <c r="Q676" s="1348">
        <f t="shared" ca="1" si="956"/>
        <v>0</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2025-26</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2026-27</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2027-28</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2028-29</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2029-30</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2030-31</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2031-32</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2032-33</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2033-34</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2034-35</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2035-36</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0</v>
      </c>
      <c r="D691" s="1348">
        <f t="shared" ref="D691" ca="1" si="983">IF(C691="n/a","n/a",MAX(0,C691-1))</f>
        <v>0</v>
      </c>
      <c r="E691" s="1348">
        <f t="shared" ref="E691:E692" ca="1" si="984">IF(D691="n/a","n/a",MAX(0,D691-1))</f>
        <v>0</v>
      </c>
      <c r="F691" s="1348">
        <f t="shared" ref="F691:F693" ca="1" si="985">IF(E691="n/a","n/a",MAX(0,E691-1))</f>
        <v>0</v>
      </c>
      <c r="G691" s="1348">
        <f t="shared" ref="G691:G694" ca="1" si="986">IF(F691="n/a","n/a",MAX(0,F691-1))</f>
        <v>0</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2016-17</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2017-18</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2018-19</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2019-20</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2020-21</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2021-22</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2022-23</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2023-24</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2024-25</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2025-26</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2026-27</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2027-28</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2028-29</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2029-30</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2030-31</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2031-32</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2032-33</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2033-34</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2034-35</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2035-36</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0</v>
      </c>
      <c r="D713" s="1356">
        <f ca="1">(IF(OR($C663&lt;&gt;"n/a",D663&lt;&gt;"n/a"),IF(SUM(D666:D688)=0,0,IF((SUMPRODUCT(D666:D688,D690:D712)/SUM(D666:D688))&lt;0,1,(SUMPRODUCT(D666:D688,D690:D712)/SUM(D666:D688)))),"n/a"))</f>
        <v>0</v>
      </c>
      <c r="E713" s="1356">
        <f t="shared" ref="E713:W713" ca="1" si="1004">(IF(OR($C663&lt;&gt;"n/a",E663&lt;&gt;"n/a"),IF(SUM(E666:E688)=0,0,IF((SUMPRODUCT(E666:E688,E690:E712)/SUM(E666:E688))&lt;0,1,(SUMPRODUCT(E666:E688,E690:E712)/SUM(E666:E688)))),"n/a"))</f>
        <v>0</v>
      </c>
      <c r="F713" s="1356">
        <f t="shared" ca="1" si="1004"/>
        <v>0</v>
      </c>
      <c r="G713" s="1356">
        <f t="shared" ca="1" si="1004"/>
        <v>5</v>
      </c>
      <c r="H713" s="1356">
        <f t="shared" ca="1" si="1004"/>
        <v>4.2261323542580156</v>
      </c>
      <c r="I713" s="1356">
        <f t="shared" ca="1" si="1004"/>
        <v>3.6786848660938096</v>
      </c>
      <c r="J713" s="1356">
        <f t="shared" ca="1" si="1004"/>
        <v>2.7470329042291382</v>
      </c>
      <c r="K713" s="1356">
        <f t="shared" ca="1" si="1004"/>
        <v>1.9060694134774929</v>
      </c>
      <c r="L713" s="1356">
        <f t="shared" ca="1" si="1004"/>
        <v>1.6920795643866291</v>
      </c>
      <c r="M713" s="1356">
        <f t="shared" ca="1" si="1004"/>
        <v>1</v>
      </c>
      <c r="N713" s="1356">
        <f t="shared" ca="1" si="1004"/>
        <v>0</v>
      </c>
      <c r="O713" s="1356">
        <f t="shared" ca="1" si="1004"/>
        <v>0</v>
      </c>
      <c r="P713" s="1356">
        <f t="shared" ca="1" si="1004"/>
        <v>0</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9.6599739523653643</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4</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9.6599739523653643</v>
      </c>
      <c r="D721" s="1348">
        <f ca="1">IF(C745="n/a",C721,IFERROR(IF((OFFSET($C721,0,$A721))&lt;0,
MIN(0,C721-(OFFSET($C721,0,$A721)/(OFFSET($C716,-$A720,$A721)))),
MAX(0,C721-(OFFSET($C721,0,$A721)/(OFFSET($C716,-$A720,$A721))))),0))</f>
        <v>7.2449804642740236</v>
      </c>
      <c r="E721" s="1348">
        <f t="shared" ref="E721" ca="1" si="1024">IF(D745="n/a",D721,IFERROR(IF((OFFSET($C721,0,$A721))&lt;0,
MIN(0,D721-(OFFSET($C721,0,$A721)/(OFFSET($C716,-$A720,$A721)))),
MAX(0,D721-(OFFSET($C721,0,$A721)/(OFFSET($C716,-$A720,$A721))))),0))</f>
        <v>4.829986976182683</v>
      </c>
      <c r="F721" s="1348">
        <f t="shared" ref="F721:F722" ca="1" si="1025">IF(E745="n/a",E721,IFERROR(IF((OFFSET($C721,0,$A721))&lt;0,
MIN(0,E721-(OFFSET($C721,0,$A721)/(OFFSET($C716,-$A720,$A721)))),
MAX(0,E721-(OFFSET($C721,0,$A721)/(OFFSET($C716,-$A720,$A721))))),0))</f>
        <v>2.414993488091342</v>
      </c>
      <c r="G721" s="1348">
        <f t="shared" ref="G721:G723" ca="1" si="1026">IF(F745="n/a",F721,IFERROR(IF((OFFSET($C721,0,$A721))&lt;0,
MIN(0,F721-(OFFSET($C721,0,$A721)/(OFFSET($C716,-$A720,$A721)))),
MAX(0,F721-(OFFSET($C721,0,$A721)/(OFFSET($C716,-$A720,$A721))))),0))</f>
        <v>8.8817841970012523E-16</v>
      </c>
      <c r="H721" s="1348">
        <f t="shared" ref="H721:H724" ca="1" si="1027">IF(G745="n/a",G721,IFERROR(IF((OFFSET($C721,0,$A721))&lt;0,
MIN(0,G721-(OFFSET($C721,0,$A721)/(OFFSET($C716,-$A720,$A721)))),
MAX(0,G721-(OFFSET($C721,0,$A721)/(OFFSET($C716,-$A720,$A721))))),0))</f>
        <v>0</v>
      </c>
      <c r="I721" s="1348">
        <f t="shared" ref="I721:I725" ca="1" si="1028">IF(H745="n/a",H721,IFERROR(IF((OFFSET($C721,0,$A721))&lt;0,
MIN(0,H721-(OFFSET($C721,0,$A721)/(OFFSET($C716,-$A720,$A721)))),
MAX(0,H721-(OFFSET($C721,0,$A721)/(OFFSET($C716,-$A720,$A721))))),0))</f>
        <v>0</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2016-17</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2017-18</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2018-19</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2019-20</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2020-21</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2021-22</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2022-23</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2023-24</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2024-25</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2025-26</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2026-27</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2027-28</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2028-29</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2029-30</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2030-31</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2031-32</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2032-33</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2033-34</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2034-35</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2035-36</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4</v>
      </c>
      <c r="D745" s="1348">
        <f t="shared" ref="D745" ca="1" si="1063">IF(C745="n/a","n/a",MAX(0,C745-1))</f>
        <v>3</v>
      </c>
      <c r="E745" s="1348">
        <f t="shared" ref="E745:E746" ca="1" si="1064">IF(D745="n/a","n/a",MAX(0,D745-1))</f>
        <v>2</v>
      </c>
      <c r="F745" s="1348">
        <f t="shared" ref="F745:F747" ca="1" si="1065">IF(E745="n/a","n/a",MAX(0,E745-1))</f>
        <v>1</v>
      </c>
      <c r="G745" s="1348">
        <f t="shared" ref="G745:G748" ca="1" si="1066">IF(F745="n/a","n/a",MAX(0,F745-1))</f>
        <v>0</v>
      </c>
      <c r="H745" s="1348">
        <f t="shared" ref="H745:H749" ca="1" si="1067">IF(G745="n/a","n/a",MAX(0,G745-1))</f>
        <v>0</v>
      </c>
      <c r="I745" s="1348">
        <f t="shared" ref="I745:I750" ca="1" si="1068">IF(H745="n/a","n/a",MAX(0,H745-1))</f>
        <v>0</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2016-17</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2017-18</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2018-19</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2019-20</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2020-21</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2021-22</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2022-23</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2023-24</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2024-25</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2025-26</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2026-27</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2027-28</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2028-29</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2029-30</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2030-31</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2031-32</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2032-33</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2033-34</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2034-35</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2035-36</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4</v>
      </c>
      <c r="D767" s="1356">
        <f ca="1">(IF(OR($C717&lt;&gt;"n/a",D717&lt;&gt;"n/a"),IF(SUM(D720:D742)=0,0,IF((SUMPRODUCT(D720:D742,D744:D766)/SUM(D720:D742))&lt;0,1,(SUMPRODUCT(D720:D742,D744:D766)/SUM(D720:D742)))),"n/a"))</f>
        <v>3.0000000000000004</v>
      </c>
      <c r="E767" s="1356">
        <f t="shared" ref="E767:W767" ca="1" si="1084">(IF(OR($C717&lt;&gt;"n/a",E717&lt;&gt;"n/a"),IF(SUM(E720:E742)=0,0,IF((SUMPRODUCT(E720:E742,E744:E766)/SUM(E720:E742))&lt;0,1,(SUMPRODUCT(E720:E742,E744:E766)/SUM(E720:E742)))),"n/a"))</f>
        <v>2</v>
      </c>
      <c r="F767" s="1356">
        <f t="shared" ca="1" si="1084"/>
        <v>1</v>
      </c>
      <c r="G767" s="1356">
        <f t="shared" ca="1" si="1084"/>
        <v>0</v>
      </c>
      <c r="H767" s="1356">
        <f t="shared" ca="1" si="1084"/>
        <v>0</v>
      </c>
      <c r="I767" s="1356">
        <f t="shared" ca="1" si="1084"/>
        <v>0</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f>VLOOKUP($A769,'RFM input'!$E$7:$F$56,2,FALSE)</f>
        <v>0</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0</v>
      </c>
      <c r="E771" s="1344">
        <f>IF(LEFT(E$6,4)&lt;=LEFT('RFM input'!$G$60,4),"enter input",IF(LEFT(E$6,4)&gt;LEFT('RFM input'!$Q$60,4),0,
IF(MATCH(E$6,'RFM input'!$H$60:$Q$60,0),INDEX('RFM input'!$L$7:$L$56,$A770,1))))</f>
        <v>0</v>
      </c>
      <c r="F771" s="1344">
        <f>IF(LEFT(F$6,4)&lt;=LEFT('RFM input'!$G$60,4),"enter input",IF(LEFT(F$6,4)&gt;LEFT('RFM input'!$Q$60,4),0,
IF(MATCH(F$6,'RFM input'!$H$60:$Q$60,0),INDEX('RFM input'!$L$7:$L$56,$A770,1))))</f>
        <v>0</v>
      </c>
      <c r="G771" s="1344">
        <f>IF(LEFT(G$6,4)&lt;=LEFT('RFM input'!$G$60,4),"enter input",IF(LEFT(G$6,4)&gt;LEFT('RFM input'!$Q$60,4),0,
IF(MATCH(G$6,'RFM input'!$H$60:$Q$60,0),INDEX('RFM input'!$L$7:$L$56,$A770,1))))</f>
        <v>0</v>
      </c>
      <c r="H771" s="1344">
        <f>IF(LEFT(H$6,4)&lt;=LEFT('RFM input'!$G$60,4),"enter input",IF(LEFT(H$6,4)&gt;LEFT('RFM input'!$Q$60,4),0,
IF(MATCH(H$6,'RFM input'!$H$60:$Q$60,0),INDEX('RFM input'!$L$7:$L$56,$A770,1))))</f>
        <v>0</v>
      </c>
      <c r="I771" s="1344">
        <f>IF(LEFT(I$6,4)&lt;=LEFT('RFM input'!$G$60,4),"enter input",IF(LEFT(I$6,4)&gt;LEFT('RFM input'!$Q$60,4),0,
IF(MATCH(I$6,'RFM input'!$H$60:$Q$60,0),INDEX('RFM input'!$L$7:$L$56,$A770,1))))</f>
        <v>0</v>
      </c>
      <c r="J771" s="1344">
        <f>IF(LEFT(J$6,4)&lt;=LEFT('RFM input'!$G$60,4),"enter input",IF(LEFT(J$6,4)&gt;LEFT('RFM input'!$Q$60,4),0,
IF(MATCH(J$6,'RFM input'!$H$60:$Q$60,0),INDEX('RFM input'!$L$7:$L$56,$A770,1))))</f>
        <v>0</v>
      </c>
      <c r="K771" s="1344">
        <f>IF(LEFT(K$6,4)&lt;=LEFT('RFM input'!$G$60,4),"enter input",IF(LEFT(K$6,4)&gt;LEFT('RFM input'!$Q$60,4),0,
IF(MATCH(K$6,'RFM input'!$H$60:$Q$60,0),INDEX('RFM input'!$L$7:$L$56,$A770,1))))</f>
        <v>0</v>
      </c>
      <c r="L771" s="1344">
        <f>IF(LEFT(L$6,4)&lt;=LEFT('RFM input'!$G$60,4),"enter input",IF(LEFT(L$6,4)&gt;LEFT('RFM input'!$Q$60,4),0,
IF(MATCH(L$6,'RFM input'!$H$60:$Q$60,0),INDEX('RFM input'!$L$7:$L$56,$A770,1))))</f>
        <v>0</v>
      </c>
      <c r="M771" s="1344">
        <f>IF(LEFT(M$6,4)&lt;=LEFT('RFM input'!$G$60,4),"enter input",IF(LEFT(M$6,4)&gt;LEFT('RFM input'!$Q$60,4),0,
IF(MATCH(M$6,'RFM input'!$H$60:$Q$60,0),INDEX('RFM input'!$L$7:$L$56,$A770,1))))</f>
        <v>0</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2016-17</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2017-18</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2018-19</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2019-20</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2020-21</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2021-22</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2022-23</v>
      </c>
      <c r="C782" s="1351"/>
      <c r="D782" s="1351"/>
      <c r="E782" s="1351"/>
      <c r="F782" s="1351"/>
      <c r="G782" s="1351"/>
      <c r="H782" s="1351"/>
      <c r="I782" s="1352"/>
      <c r="J782" s="1353">
        <f>(J770*((1+J$11)^0.5)/J$10)</f>
        <v>0</v>
      </c>
      <c r="K782" s="1348">
        <f ca="1">IF(J806="n/a",J782,IFERROR(IF((OFFSET($C782,0,$A782))&lt;0,
MIN(0,J782-(OFFSET($C782,0,$A782)/(OFFSET($C777,-$A781,$A782)))),
MAX(0,J782-(OFFSET($C782,0,$A782)/(OFFSET($C777,-$A781,$A782))))),0))</f>
        <v>0</v>
      </c>
      <c r="L782" s="1348">
        <f t="shared" ca="1" si="1111"/>
        <v>0</v>
      </c>
      <c r="M782" s="1348">
        <f t="shared" ca="1" si="1112"/>
        <v>0</v>
      </c>
      <c r="N782" s="1348">
        <f t="shared" ca="1" si="1113"/>
        <v>0</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2023-24</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2024-25</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2025-26</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2026-27</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2027-28</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2028-29</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2029-30</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2030-31</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2031-32</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2032-33</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2033-34</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2034-35</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2035-36</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2016-17</v>
      </c>
      <c r="C800" s="1349"/>
      <c r="D800" s="1353">
        <f>D771</f>
        <v>0</v>
      </c>
      <c r="E800" s="1348">
        <f t="shared" si="1144"/>
        <v>0</v>
      </c>
      <c r="F800" s="1348">
        <f t="shared" si="1145"/>
        <v>0</v>
      </c>
      <c r="G800" s="1348">
        <f t="shared" si="1146"/>
        <v>0</v>
      </c>
      <c r="H800" s="1348">
        <f t="shared" si="1147"/>
        <v>0</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2017-18</v>
      </c>
      <c r="C801" s="1354"/>
      <c r="D801" s="1349"/>
      <c r="E801" s="1353">
        <f>E771</f>
        <v>0</v>
      </c>
      <c r="F801" s="1348">
        <f t="shared" si="1145"/>
        <v>0</v>
      </c>
      <c r="G801" s="1348">
        <f t="shared" si="1146"/>
        <v>0</v>
      </c>
      <c r="H801" s="1348">
        <f t="shared" si="1147"/>
        <v>0</v>
      </c>
      <c r="I801" s="1348">
        <f t="shared" si="1148"/>
        <v>0</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2018-19</v>
      </c>
      <c r="C802" s="1354"/>
      <c r="D802" s="1354"/>
      <c r="E802" s="1349"/>
      <c r="F802" s="1353">
        <f>F771</f>
        <v>0</v>
      </c>
      <c r="G802" s="1348">
        <f t="shared" si="1146"/>
        <v>0</v>
      </c>
      <c r="H802" s="1348">
        <f t="shared" si="1147"/>
        <v>0</v>
      </c>
      <c r="I802" s="1348">
        <f t="shared" si="1148"/>
        <v>0</v>
      </c>
      <c r="J802" s="1348">
        <f t="shared" si="1149"/>
        <v>0</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2019-20</v>
      </c>
      <c r="C803" s="1354"/>
      <c r="D803" s="1354"/>
      <c r="E803" s="1354"/>
      <c r="F803" s="1349"/>
      <c r="G803" s="1353">
        <f>G771</f>
        <v>0</v>
      </c>
      <c r="H803" s="1348">
        <f t="shared" si="1147"/>
        <v>0</v>
      </c>
      <c r="I803" s="1348">
        <f t="shared" si="1148"/>
        <v>0</v>
      </c>
      <c r="J803" s="1348">
        <f t="shared" si="1149"/>
        <v>0</v>
      </c>
      <c r="K803" s="1348">
        <f t="shared" si="1150"/>
        <v>0</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2020-21</v>
      </c>
      <c r="C804" s="1354"/>
      <c r="D804" s="1354"/>
      <c r="E804" s="1354"/>
      <c r="F804" s="1354"/>
      <c r="G804" s="1349"/>
      <c r="H804" s="1353">
        <f>H771</f>
        <v>0</v>
      </c>
      <c r="I804" s="1348">
        <f t="shared" si="1148"/>
        <v>0</v>
      </c>
      <c r="J804" s="1348">
        <f t="shared" si="1149"/>
        <v>0</v>
      </c>
      <c r="K804" s="1348">
        <f t="shared" si="1150"/>
        <v>0</v>
      </c>
      <c r="L804" s="1348">
        <f t="shared" si="1151"/>
        <v>0</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2021-22</v>
      </c>
      <c r="C805" s="1354"/>
      <c r="D805" s="1354"/>
      <c r="E805" s="1354"/>
      <c r="F805" s="1354"/>
      <c r="G805" s="1354"/>
      <c r="H805" s="1349"/>
      <c r="I805" s="1353">
        <f>I771</f>
        <v>0</v>
      </c>
      <c r="J805" s="1348">
        <f t="shared" si="1149"/>
        <v>0</v>
      </c>
      <c r="K805" s="1348">
        <f t="shared" si="1150"/>
        <v>0</v>
      </c>
      <c r="L805" s="1348">
        <f t="shared" si="1151"/>
        <v>0</v>
      </c>
      <c r="M805" s="1348">
        <f t="shared" si="1152"/>
        <v>0</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2022-23</v>
      </c>
      <c r="C806" s="1354"/>
      <c r="D806" s="1354"/>
      <c r="E806" s="1354"/>
      <c r="F806" s="1354"/>
      <c r="G806" s="1354"/>
      <c r="H806" s="1354"/>
      <c r="I806" s="1349"/>
      <c r="J806" s="1353">
        <f>J771</f>
        <v>0</v>
      </c>
      <c r="K806" s="1348">
        <f t="shared" si="1150"/>
        <v>0</v>
      </c>
      <c r="L806" s="1348">
        <f t="shared" si="1151"/>
        <v>0</v>
      </c>
      <c r="M806" s="1348">
        <f t="shared" si="1152"/>
        <v>0</v>
      </c>
      <c r="N806" s="1348">
        <f t="shared" si="1153"/>
        <v>0</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2023-24</v>
      </c>
      <c r="C807" s="1354"/>
      <c r="D807" s="1354"/>
      <c r="E807" s="1354"/>
      <c r="F807" s="1354"/>
      <c r="G807" s="1354"/>
      <c r="H807" s="1354"/>
      <c r="I807" s="1354"/>
      <c r="J807" s="1349"/>
      <c r="K807" s="1353">
        <f>K771</f>
        <v>0</v>
      </c>
      <c r="L807" s="1348">
        <f t="shared" si="1151"/>
        <v>0</v>
      </c>
      <c r="M807" s="1348">
        <f t="shared" si="1152"/>
        <v>0</v>
      </c>
      <c r="N807" s="1348">
        <f t="shared" si="1153"/>
        <v>0</v>
      </c>
      <c r="O807" s="1348">
        <f t="shared" si="1154"/>
        <v>0</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2024-25</v>
      </c>
      <c r="C808" s="1354"/>
      <c r="D808" s="1354"/>
      <c r="E808" s="1354"/>
      <c r="F808" s="1354"/>
      <c r="G808" s="1354"/>
      <c r="H808" s="1354"/>
      <c r="I808" s="1354"/>
      <c r="J808" s="1354"/>
      <c r="K808" s="1349"/>
      <c r="L808" s="1353">
        <f>L771</f>
        <v>0</v>
      </c>
      <c r="M808" s="1348">
        <f t="shared" si="1152"/>
        <v>0</v>
      </c>
      <c r="N808" s="1348">
        <f t="shared" si="1153"/>
        <v>0</v>
      </c>
      <c r="O808" s="1348">
        <f t="shared" si="1154"/>
        <v>0</v>
      </c>
      <c r="P808" s="1348">
        <f t="shared" si="1155"/>
        <v>0</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2025-26</v>
      </c>
      <c r="C809" s="1354"/>
      <c r="D809" s="1354"/>
      <c r="E809" s="1354"/>
      <c r="F809" s="1354"/>
      <c r="G809" s="1354"/>
      <c r="H809" s="1354"/>
      <c r="I809" s="1354"/>
      <c r="J809" s="1354"/>
      <c r="K809" s="1354"/>
      <c r="L809" s="1349"/>
      <c r="M809" s="1353">
        <f>M771</f>
        <v>0</v>
      </c>
      <c r="N809" s="1348">
        <f t="shared" si="1153"/>
        <v>0</v>
      </c>
      <c r="O809" s="1348">
        <f t="shared" si="1154"/>
        <v>0</v>
      </c>
      <c r="P809" s="1348">
        <f t="shared" si="1155"/>
        <v>0</v>
      </c>
      <c r="Q809" s="1348">
        <f t="shared" si="1156"/>
        <v>0</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2026-27</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2027-28</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2028-29</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2029-30</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2030-31</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2031-32</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2032-33</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2033-34</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2034-35</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2035-36</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0</v>
      </c>
      <c r="K821" s="1356">
        <f t="shared" ca="1" si="1164"/>
        <v>0</v>
      </c>
      <c r="L821" s="1356">
        <f t="shared" ca="1" si="1164"/>
        <v>0</v>
      </c>
      <c r="M821" s="1356">
        <f t="shared" ca="1" si="1164"/>
        <v>0</v>
      </c>
      <c r="N821" s="1356">
        <f t="shared" ca="1" si="1164"/>
        <v>0</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2016-17</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2017-18</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2018-19</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2019-20</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2020-21</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2021-22</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2022-23</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2023-24</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2024-25</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2025-26</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2026-27</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2027-28</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2028-29</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2029-30</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2030-31</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2031-32</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2032-33</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2033-34</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2034-35</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2035-36</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2016-17</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2017-18</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2018-19</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2019-20</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2020-21</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2021-22</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2022-23</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2023-24</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2024-25</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2025-26</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2026-27</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2027-28</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2028-29</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2029-30</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2030-31</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2031-32</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2032-33</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2033-34</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2034-35</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2035-36</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2016-17</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2017-18</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2018-19</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2019-20</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2020-21</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2021-22</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2022-23</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2023-24</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2024-25</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2025-26</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2026-27</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2027-28</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2028-29</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2029-30</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2030-31</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2031-32</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2032-33</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2033-34</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2034-35</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2035-36</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2016-17</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2017-18</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2018-19</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2019-20</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2020-21</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2021-22</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2022-23</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2023-24</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2024-25</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2025-26</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2026-27</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2027-28</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2028-29</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2029-30</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2030-31</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2031-32</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2032-33</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2033-34</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2034-35</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2035-36</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2016-17</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2017-18</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2018-19</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2019-20</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2020-21</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2021-22</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2022-23</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2023-24</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2024-25</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2025-26</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2026-27</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2027-28</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2028-29</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2029-30</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2030-31</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2031-32</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2032-33</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2033-34</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2034-35</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2035-36</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2016-17</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2017-18</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2018-19</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2019-20</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2020-21</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2021-22</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2022-23</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2023-24</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2024-25</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2025-26</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2026-27</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2027-28</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2028-29</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2029-30</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2030-31</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2031-32</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2032-33</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2033-34</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2034-35</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2035-36</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2016-17</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2017-18</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2018-19</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2019-20</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2020-21</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2021-22</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2022-23</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2023-24</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2024-25</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2025-26</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2026-27</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2027-28</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2028-29</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2029-30</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2030-31</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2031-32</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2032-33</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2033-34</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2034-35</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2035-36</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2016-17</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2017-18</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2018-19</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2019-20</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2020-21</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2021-22</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2022-23</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2023-24</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2024-25</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2025-26</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2026-27</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2027-28</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2028-29</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2029-30</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2030-31</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2031-32</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2032-33</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2033-34</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2034-35</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2035-36</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2016-17</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2017-18</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2018-19</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2019-20</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2020-21</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2021-22</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2022-23</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2023-24</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2024-25</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2025-26</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2026-27</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2027-28</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2028-29</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2029-30</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2030-31</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2031-32</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2032-33</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2033-34</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2034-35</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2035-36</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2016-17</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2017-18</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2018-19</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2019-20</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2020-21</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2021-22</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2022-23</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2023-24</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2024-25</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2025-26</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2026-27</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2027-28</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2028-29</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2029-30</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2030-31</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2031-32</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2032-33</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2033-34</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2034-35</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2035-36</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2016-17</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2017-18</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2018-19</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2019-20</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2020-21</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2021-22</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2022-23</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2023-24</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2024-25</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2025-26</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2026-27</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2027-28</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2028-29</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2029-30</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2030-31</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2031-32</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2032-33</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2033-34</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2034-35</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2035-36</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2016-17</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2017-18</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2018-19</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2019-20</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2020-21</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2021-22</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2022-23</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2023-24</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2024-25</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2025-26</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2026-27</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2027-28</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2028-29</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2029-30</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2030-31</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2031-32</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2032-33</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2033-34</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2034-35</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2035-36</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2016-17</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2017-18</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2018-19</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2019-20</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2020-21</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2021-22</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2022-23</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2023-24</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2024-25</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2025-26</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2026-27</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2027-28</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2028-29</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2029-30</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2030-31</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2031-32</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2032-33</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2033-34</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2034-35</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2035-36</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2016-17</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2017-18</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2018-19</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2019-20</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2020-21</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2021-22</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2022-23</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2023-24</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2024-25</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2025-26</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2026-27</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2027-28</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2028-29</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2029-30</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2030-31</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2031-32</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2032-33</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2033-34</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2034-35</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2035-36</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2016-17</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2017-18</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2018-19</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2019-20</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2020-21</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2021-22</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2022-23</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2023-24</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2024-25</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2025-26</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2026-27</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2027-28</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2028-29</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2029-30</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2030-31</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2031-32</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2032-33</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2033-34</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2034-35</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2035-36</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2016-17</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2017-18</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2018-19</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2019-20</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2020-21</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2021-22</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2022-23</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2023-24</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2024-25</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2025-26</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2026-27</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2027-28</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2028-29</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2029-30</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2030-31</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2031-32</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2032-33</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2033-34</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2034-35</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2035-36</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2016-17</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2017-18</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2018-19</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2019-20</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2020-21</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2021-22</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2022-23</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2023-24</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2024-25</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2025-26</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2026-27</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2027-28</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2028-29</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2029-30</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2030-31</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2031-32</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2032-33</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2033-34</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2034-35</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2035-36</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2016-17</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2017-18</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2018-19</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2019-20</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2020-21</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2021-22</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2022-23</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2023-24</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2024-25</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2025-26</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2026-27</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2027-28</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2028-29</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2029-30</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2030-31</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2031-32</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2032-33</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2033-34</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2034-35</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2035-36</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2016-17</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2017-18</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2018-19</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2019-20</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2020-21</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2021-22</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2022-23</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2023-24</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2024-25</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2025-26</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2026-27</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2027-28</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2028-29</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2029-30</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2030-31</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2031-32</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2032-33</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2033-34</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2034-35</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2035-36</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2016-17</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2017-18</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2018-19</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2019-20</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2020-21</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2021-22</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2022-23</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2023-24</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2024-25</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2025-26</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2026-27</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2027-28</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2028-29</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2029-30</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2030-31</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2031-32</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2032-33</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2033-34</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2034-35</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2035-36</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2016-17</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2017-18</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2018-19</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2019-20</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2020-21</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2021-22</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2022-23</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2023-24</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2024-25</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2025-26</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2026-27</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2027-28</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2028-29</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2029-30</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2030-31</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2031-32</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2032-33</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2033-34</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2034-35</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2035-36</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2016-17</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2017-18</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2018-19</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2019-20</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2020-21</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2021-22</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2022-23</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2023-24</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2024-25</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2025-26</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2026-27</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2027-28</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2028-29</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2029-30</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2030-31</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2031-32</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2032-33</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2033-34</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2034-35</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2035-36</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2016-17</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2017-18</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2018-19</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2019-20</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2020-21</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2021-22</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2022-23</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2023-24</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2024-25</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2025-26</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2026-27</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2027-28</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2028-29</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2029-30</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2030-31</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2031-32</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2032-33</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2033-34</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2034-35</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2035-36</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2016-17</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2017-18</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2018-19</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2019-20</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2020-21</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2021-22</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2022-23</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2023-24</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2024-25</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2025-26</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2026-27</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2027-28</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2028-29</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2029-30</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2030-31</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2031-32</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2032-33</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2033-34</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2034-35</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2035-36</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2016-17</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2017-18</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2018-19</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2019-20</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2020-21</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2021-22</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2022-23</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2023-24</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2024-25</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2025-26</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2026-27</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2027-28</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2028-29</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2029-30</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2030-31</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2031-32</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2032-33</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2033-34</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2034-35</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2035-36</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2016-17</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2017-18</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2018-19</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2019-20</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2020-21</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2021-22</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2022-23</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2023-24</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2024-25</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2025-26</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2026-27</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2027-28</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2028-29</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2029-30</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2030-31</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2031-32</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2032-33</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2033-34</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2034-35</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2035-36</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2016-17</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2017-18</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2018-19</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2019-20</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2020-21</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2021-22</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2022-23</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2023-24</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2024-25</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2025-26</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2026-27</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2027-28</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2028-29</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2029-30</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2030-31</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2031-32</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2032-33</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2033-34</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2034-35</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2035-36</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2016-17</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2017-18</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2018-19</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2019-20</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2020-21</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2021-22</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2022-23</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2023-24</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2024-25</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2025-26</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2026-27</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2027-28</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2028-29</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2029-30</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2030-31</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2031-32</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2032-33</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2033-34</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2034-35</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2035-36</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2016-17</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2017-18</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2018-19</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2019-20</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2020-21</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2021-22</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2022-23</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2023-24</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2024-25</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2025-26</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2026-27</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2027-28</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2028-29</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2029-30</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2030-31</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2031-32</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2032-33</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2033-34</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2034-35</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2035-36</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2016-17</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2017-18</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2018-19</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2019-20</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2020-21</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2021-22</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2022-23</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2023-24</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2024-25</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2025-26</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2026-27</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2027-28</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2028-29</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2029-30</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2030-31</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2031-32</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2032-33</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2033-34</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2034-35</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2035-36</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2016-17</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2017-18</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2018-19</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2019-20</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2020-21</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2021-22</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2022-23</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2023-24</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2024-25</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2025-26</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2026-27</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2027-28</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2028-29</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2029-30</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2030-31</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2031-32</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2032-33</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2033-34</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2034-35</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2035-36</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2016-17</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2017-18</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2018-19</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2019-20</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2020-21</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2021-22</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2022-23</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2023-24</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2024-25</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2025-26</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2026-27</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2027-28</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2028-29</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2029-30</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2030-31</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2031-32</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2032-33</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2033-34</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2034-35</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2035-36</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2016-17</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2017-18</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2018-19</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2019-20</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2020-21</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2021-22</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2022-23</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2023-24</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2024-25</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2025-26</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2026-27</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2027-28</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2028-29</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2029-30</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2030-31</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2031-32</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2032-33</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2033-34</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2034-35</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2035-36</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2016-17</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2017-18</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2018-19</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2019-20</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2020-21</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2021-22</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2022-23</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2023-24</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2024-25</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2025-26</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2026-27</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2027-28</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2028-29</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2029-30</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2030-31</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2031-32</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2032-33</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2033-34</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2034-35</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2035-36</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2016-17</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2017-18</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2018-19</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2019-20</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2020-21</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2021-22</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2022-23</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2023-24</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2024-25</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2025-26</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2026-27</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2027-28</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2028-29</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2029-30</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2030-31</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2031-32</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2032-33</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2033-34</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2034-35</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2035-36</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2016-17</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2017-18</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2018-19</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2019-20</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2020-21</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2021-22</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2022-23</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2023-24</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2024-25</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2025-26</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2026-27</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2027-28</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2028-29</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2029-30</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2030-31</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2031-32</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2032-33</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2033-34</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2034-35</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2035-36</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2016-17</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2017-18</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2018-19</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2019-20</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2020-21</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2021-22</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2022-23</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2023-24</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2024-25</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2025-26</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2026-27</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2027-28</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2028-29</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2029-30</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2030-31</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2031-32</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2032-33</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2033-34</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2034-35</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2035-36</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2016-17</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2017-18</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2018-19</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2019-20</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2020-21</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2021-22</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2022-23</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2023-24</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2024-25</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2025-26</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2026-27</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2027-28</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2028-29</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2029-30</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2030-31</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2031-32</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2032-33</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2033-34</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2034-35</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2035-36</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2016-17</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2017-18</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2018-19</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2019-20</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2020-21</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2021-22</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2022-23</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2023-24</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2024-25</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2025-26</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2026-27</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2027-28</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2028-29</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2029-30</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2030-31</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2031-32</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2032-33</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2033-34</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2034-35</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2035-36</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2016-17</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2017-18</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2018-19</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2019-20</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2020-21</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2021-22</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2022-23</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2023-24</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2024-25</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2025-26</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2026-27</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2027-28</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2028-29</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2029-30</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2030-31</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2031-32</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2032-33</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2033-34</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2034-35</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2035-36</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2016-17</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2017-18</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2018-19</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2019-20</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2020-21</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2021-22</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2022-23</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2023-24</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2024-25</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2025-26</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2026-27</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2027-28</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2028-29</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2029-30</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2030-31</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2031-32</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2032-33</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2033-34</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2034-35</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2035-36</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2016-17</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2017-18</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2018-19</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2019-20</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2020-21</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2021-22</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2022-23</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2023-24</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2024-25</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2025-26</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2026-27</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2027-28</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2028-29</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2029-30</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2030-31</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2031-32</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2032-33</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2033-34</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2034-35</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2035-36</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2016-17</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2017-18</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2018-19</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2019-20</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2020-21</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2021-22</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2022-23</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2023-24</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2024-25</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2025-26</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2026-27</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2027-28</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2028-29</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2029-30</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2030-31</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2031-32</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2032-33</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2033-34</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2034-35</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2035-36</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2016-17</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2017-18</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2018-19</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2019-20</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2020-21</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2021-22</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2022-23</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2023-24</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2024-25</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2025-26</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2026-27</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2027-28</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2028-29</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2029-30</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2030-31</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2031-32</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2032-33</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2033-34</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2034-35</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2035-36</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2016-17</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2017-18</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2018-19</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2019-20</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2020-21</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2021-22</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2022-23</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2023-24</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2024-25</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2025-26</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2026-27</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2027-28</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2028-29</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2029-30</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2030-31</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2031-32</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2032-33</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2033-34</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2034-35</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2035-36</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2016-17</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2017-18</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2018-19</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2019-20</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2020-21</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2021-22</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2022-23</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2023-24</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2024-25</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2025-26</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2026-27</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2027-28</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2028-29</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2029-30</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2030-31</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2031-32</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2032-33</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2033-34</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2034-35</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2035-36</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2016-17</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2017-18</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2018-19</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2019-20</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2020-21</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2021-22</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2022-23</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2023-24</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2024-25</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2025-26</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2026-27</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2027-28</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2028-29</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2029-30</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2030-31</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2031-32</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2032-33</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2033-34</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2034-35</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2035-36</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2016-17</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2017-18</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2018-19</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2019-20</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2020-21</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2021-22</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2022-23</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2023-24</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2024-25</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2025-26</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2026-27</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2027-28</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2028-29</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2029-30</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2030-31</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2031-32</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2032-33</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2033-34</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2034-35</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2035-36</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2016-17</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2017-18</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2018-19</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2019-20</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2020-21</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2021-22</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2022-23</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2023-24</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2024-25</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2025-26</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2026-27</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2027-28</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2028-29</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2029-30</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2030-31</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2031-32</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2032-33</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2033-34</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2034-35</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2035-36</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2016-17</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2017-18</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2018-19</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2019-20</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2020-21</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2021-22</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2022-23</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2023-24</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2024-25</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2025-26</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2026-27</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2027-28</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2028-29</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2029-30</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2030-31</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2031-32</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2032-33</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2033-34</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2034-35</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2035-36</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2016-17</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2017-18</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2018-19</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2019-20</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2020-21</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2021-22</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2022-23</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2023-24</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2024-25</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2025-26</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2026-27</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2027-28</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2028-29</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2029-30</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2030-31</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2031-32</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2032-33</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2033-34</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2034-35</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2035-36</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2016-17</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2017-18</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2018-19</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2019-20</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2020-21</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2021-22</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2022-23</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2023-24</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2024-25</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2025-26</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2026-27</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2027-28</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2028-29</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2029-30</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2030-31</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2031-32</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2032-33</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2033-34</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2034-35</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2035-36</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2016-17</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2017-18</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2018-19</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2019-20</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2020-21</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2021-22</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2022-23</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2023-24</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2024-25</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2025-26</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2026-27</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2027-28</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2028-29</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2029-30</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2030-31</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2031-32</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2032-33</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2033-34</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2034-35</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2035-36</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2016-17</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2017-18</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2018-19</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2019-20</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2020-21</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2021-22</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2022-23</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2023-24</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2024-25</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2025-26</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2026-27</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2027-28</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2028-29</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2029-30</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2030-31</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2031-32</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2032-33</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2033-34</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2034-35</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2035-36</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2016-17</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2017-18</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2018-19</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2019-20</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2020-21</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2021-22</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2022-23</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2023-24</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2024-25</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2025-26</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2026-27</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2027-28</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2028-29</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2029-30</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2030-31</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2031-32</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2032-33</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2033-34</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2034-35</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2035-36</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2016-17</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2017-18</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2018-19</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2019-20</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2020-21</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2021-22</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2022-23</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2023-24</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2024-25</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2025-26</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2026-27</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2027-28</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2028-29</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2029-30</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2030-31</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2031-32</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2032-33</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2033-34</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2034-35</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2035-36</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2016-17</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2017-18</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2018-19</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2019-20</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2020-21</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2021-22</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2022-23</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2023-24</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2024-25</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2025-26</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2026-27</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2027-28</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2028-29</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2029-30</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2030-31</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2031-32</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2032-33</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2033-34</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2034-35</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2035-36</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2016-17</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2017-18</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2018-19</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2019-20</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2020-21</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2021-22</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2022-23</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2023-24</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2024-25</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2025-26</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2026-27</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2027-28</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2028-29</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2029-30</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2030-31</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2031-32</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2032-33</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2033-34</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2034-35</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2035-36</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2016-17</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2017-18</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2018-19</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2019-20</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2020-21</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2021-22</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2022-23</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2023-24</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2024-25</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2025-26</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2026-27</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2027-28</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2028-29</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2029-30</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2030-31</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2031-32</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2032-33</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2033-34</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2034-35</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2035-36</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2016-17</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2017-18</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2018-19</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2019-20</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2020-21</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2021-22</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2022-23</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2023-24</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2024-25</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2025-26</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2026-27</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2027-28</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2028-29</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2029-30</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2030-31</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2031-32</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2032-33</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2033-34</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2034-35</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2035-36</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2016-17</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2017-18</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2018-19</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2019-20</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2020-21</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2021-22</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2022-23</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2023-24</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2024-25</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2025-26</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2026-27</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2027-28</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2028-29</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2029-30</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2030-31</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2031-32</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2032-33</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2033-34</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2034-35</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2035-36</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2016-17</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2017-18</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2018-19</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2019-20</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2020-21</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2021-22</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2022-23</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2023-24</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2024-25</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2025-26</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2026-27</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2027-28</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2028-29</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2029-30</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2030-31</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2031-32</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2032-33</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2033-34</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2034-35</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2035-36</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2016-17</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2017-18</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2018-19</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2019-20</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2020-21</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2021-22</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2022-23</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2023-24</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2024-25</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2025-26</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2026-27</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2027-28</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2028-29</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2029-30</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2030-31</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2031-32</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2032-33</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2033-34</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2034-35</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2035-36</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2016-17</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2017-18</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2018-19</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2019-20</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2020-21</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2021-22</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2022-23</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2023-24</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2024-25</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2025-26</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2026-27</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2027-28</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2028-29</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2029-30</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2030-31</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2031-32</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2032-33</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2033-34</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2034-35</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2035-36</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2016-17</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2017-18</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2018-19</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2019-20</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2020-21</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2021-22</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2022-23</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2023-24</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2024-25</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2025-26</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2026-27</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2027-28</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2028-29</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2029-30</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2030-31</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2031-32</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2032-33</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2033-34</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2034-35</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2035-36</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2016-17</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2017-18</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2018-19</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2019-20</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2020-21</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2021-22</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2022-23</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2023-24</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2024-25</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2025-26</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2026-27</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2027-28</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2028-29</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2029-30</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2030-31</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2031-32</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2032-33</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2033-34</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2034-35</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2035-36</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2016-17</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2017-18</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2018-19</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2019-20</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2020-21</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2021-22</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2022-23</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2023-24</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2024-25</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2025-26</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2026-27</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2027-28</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2028-29</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2029-30</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2030-31</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2031-32</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2032-33</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2033-34</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2034-35</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2035-36</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2016-17</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2017-18</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2018-19</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2019-20</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2020-21</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2021-22</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2022-23</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2023-24</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2024-25</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2025-26</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2026-27</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2027-28</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2028-29</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2029-30</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2030-31</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2031-32</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2032-33</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2033-34</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2034-35</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2035-36</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2016-17</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2017-18</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2018-19</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2019-20</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2020-21</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2021-22</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2022-23</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2023-24</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2024-25</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2025-26</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2026-27</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2027-28</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2028-29</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2029-30</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2030-31</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2031-32</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2032-33</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2033-34</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2034-35</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2035-36</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2016-17</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2017-18</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2018-19</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2019-20</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2020-21</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2021-22</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2022-23</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2023-24</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2024-25</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2025-26</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2026-27</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2027-28</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2028-29</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2029-30</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2030-31</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2031-32</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2032-33</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2033-34</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2034-35</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2035-36</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election activeCell="D7" sqref="D7"/>
    </sheetView>
  </sheetViews>
  <sheetFormatPr defaultRowHeight="13.2" outlineLevelRow="1"/>
  <cols>
    <col min="1" max="1" width="16.44140625" customWidth="1"/>
    <col min="2" max="2" width="32.33203125" customWidth="1"/>
    <col min="3" max="3" width="11.5546875" customWidth="1"/>
    <col min="4" max="23" width="10.554687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6">
      <c r="A2" s="147"/>
      <c r="B2" s="203" t="str">
        <f>'DMS input'!$C$16&amp;" - Tax Asset Lives Roll Forward"&amp;" - TNSP RFM - version "&amp;Intro!$M$4</f>
        <v>Carpentaria Gas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6">
      <c r="A6" s="229"/>
      <c r="B6" s="229"/>
      <c r="C6" s="105" t="s">
        <v>157</v>
      </c>
      <c r="D6" s="105" t="str">
        <f>'Capital base remaining lives'!D6</f>
        <v>2016-17</v>
      </c>
      <c r="E6" s="105" t="str">
        <f>'Capital base remaining lives'!E6</f>
        <v>2017-18</v>
      </c>
      <c r="F6" s="105" t="str">
        <f>'Capital base remaining lives'!F6</f>
        <v>2018-19</v>
      </c>
      <c r="G6" s="105" t="str">
        <f>'Capital base remaining lives'!G6</f>
        <v>2019-20</v>
      </c>
      <c r="H6" s="105" t="str">
        <f>'Capital base remaining lives'!H6</f>
        <v>2020-21</v>
      </c>
      <c r="I6" s="105" t="str">
        <f>'Capital base remaining lives'!I6</f>
        <v>2021-22</v>
      </c>
      <c r="J6" s="105" t="str">
        <f>'Capital base remaining lives'!J6</f>
        <v>2022-23</v>
      </c>
      <c r="K6" s="105" t="str">
        <f>'Capital base remaining lives'!K6</f>
        <v>2023-24</v>
      </c>
      <c r="L6" s="105" t="str">
        <f>'Capital base remaining lives'!L6</f>
        <v>2024-25</v>
      </c>
      <c r="M6" s="105" t="str">
        <f>'Capital base remaining lives'!M6</f>
        <v>2025-26</v>
      </c>
      <c r="N6" s="105" t="str">
        <f>'Capital base remaining lives'!N6</f>
        <v>2026-27</v>
      </c>
      <c r="O6" s="105" t="str">
        <f>'Capital base remaining lives'!O6</f>
        <v>2027-28</v>
      </c>
      <c r="P6" s="105" t="str">
        <f>'Capital base remaining lives'!P6</f>
        <v>2028-29</v>
      </c>
      <c r="Q6" s="105" t="str">
        <f>'Capital base remaining lives'!Q6</f>
        <v>2029-30</v>
      </c>
      <c r="R6" s="105" t="str">
        <f>'Capital base remaining lives'!R6</f>
        <v>2030-31</v>
      </c>
      <c r="S6" s="105" t="str">
        <f>'Capital base remaining lives'!S6</f>
        <v>2031-32</v>
      </c>
      <c r="T6" s="105" t="str">
        <f>'Capital base remaining lives'!T6</f>
        <v>2032-33</v>
      </c>
      <c r="U6" s="105" t="str">
        <f>'Capital base remaining lives'!U6</f>
        <v>2033-34</v>
      </c>
      <c r="V6" s="105" t="str">
        <f>'Capital base remaining lives'!V6</f>
        <v>2034-35</v>
      </c>
      <c r="W6" s="105" t="str">
        <f>'Capital base remaining lives'!W6</f>
        <v>2035-36</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20.927529960699765</v>
      </c>
      <c r="D9" s="1366">
        <f>'Capital base remaining lives'!D14</f>
        <v>0</v>
      </c>
      <c r="E9" s="1366">
        <f>'Capital base remaining lives'!E14</f>
        <v>0</v>
      </c>
      <c r="F9" s="1366">
        <f>'Capital base remaining lives'!F14</f>
        <v>1.7027990000000003E-2</v>
      </c>
      <c r="G9" s="1366">
        <f>'Capital base remaining lives'!G14</f>
        <v>1.3283121499999999</v>
      </c>
      <c r="H9" s="1366">
        <f>'Capital base remaining lives'!H14</f>
        <v>0.61771703</v>
      </c>
      <c r="I9" s="1366">
        <f>'Capital base remaining lives'!I14</f>
        <v>0</v>
      </c>
      <c r="J9" s="1366">
        <f>'Capital base remaining lives'!J14</f>
        <v>0</v>
      </c>
      <c r="K9" s="1366">
        <f>'Capital base remaining lives'!K14</f>
        <v>0</v>
      </c>
      <c r="L9" s="1366">
        <f>'Capital base remaining lives'!L14</f>
        <v>0</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3.7421827083723285</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20.927529960699765</v>
      </c>
      <c r="D14" s="1348">
        <f ca="1">IF(C38="n/a",C14,IFERROR(IF((OFFSET($C14,0,$A14))&lt;0,
MIN(0,C14-(OFFSET($C14,0,$A14)/(OFFSET($C9,-$A13,$A14)))),
MAX(0,C14-(OFFSET($C14,0,$A14)/(OFFSET($C9,-$A13,$A14))))),0))</f>
        <v>15.335197466116078</v>
      </c>
      <c r="E14" s="1348">
        <f t="shared" ref="E14" ca="1" si="5">IF(D38="n/a",D14,IFERROR(IF((OFFSET($C14,0,$A14))&lt;0,
MIN(0,D14-(OFFSET($C14,0,$A14)/(OFFSET($C9,-$A13,$A14)))),
MAX(0,D14-(OFFSET($C14,0,$A14)/(OFFSET($C9,-$A13,$A14))))),0))</f>
        <v>9.7428649715323914</v>
      </c>
      <c r="F14" s="1348">
        <f t="shared" ref="F14:F15" ca="1" si="6">IF(E38="n/a",E14,IFERROR(IF((OFFSET($C14,0,$A14))&lt;0,
MIN(0,E14-(OFFSET($C14,0,$A14)/(OFFSET($C9,-$A13,$A14)))),
MAX(0,E14-(OFFSET($C14,0,$A14)/(OFFSET($C9,-$A13,$A14))))),0))</f>
        <v>4.1505324769487038</v>
      </c>
      <c r="G14" s="1348">
        <f t="shared" ref="G14:G16" ca="1" si="7">IF(F38="n/a",F14,IFERROR(IF((OFFSET($C14,0,$A14))&lt;0,
MIN(0,F14-(OFFSET($C14,0,$A14)/(OFFSET($C9,-$A13,$A14)))),
MAX(0,F14-(OFFSET($C14,0,$A14)/(OFFSET($C9,-$A13,$A14))))),0))</f>
        <v>0</v>
      </c>
      <c r="H14" s="1348">
        <f t="shared" ref="H14:H17" ca="1" si="8">IF(G38="n/a",G14,IFERROR(IF((OFFSET($C14,0,$A14))&lt;0,
MIN(0,G14-(OFFSET($C14,0,$A14)/(OFFSET($C9,-$A13,$A14)))),
MAX(0,G14-(OFFSET($C14,0,$A14)/(OFFSET($C9,-$A13,$A14))))),0))</f>
        <v>0</v>
      </c>
      <c r="I14" s="1348">
        <f t="shared" ref="I14:I18" ca="1" si="9">IF(H38="n/a",H14,IFERROR(IF((OFFSET($C14,0,$A14))&lt;0,
MIN(0,H14-(OFFSET($C14,0,$A14)/(OFFSET($C9,-$A13,$A14)))),
MAX(0,H14-(OFFSET($C14,0,$A14)/(OFFSET($C9,-$A13,$A14))))),0))</f>
        <v>0</v>
      </c>
      <c r="J14" s="1348">
        <f t="shared" ref="J14:J19" ca="1" si="10">IF(I38="n/a",I14,IFERROR(IF((OFFSET($C14,0,$A14))&lt;0,
MIN(0,I14-(OFFSET($C14,0,$A14)/(OFFSET($C9,-$A13,$A14)))),
MAX(0,I14-(OFFSET($C14,0,$A14)/(OFFSET($C9,-$A13,$A14))))),0))</f>
        <v>0</v>
      </c>
      <c r="K14" s="1348">
        <f t="shared" ref="K14:K20" ca="1" si="11">IF(J38="n/a",J14,IFERROR(IF((OFFSET($C14,0,$A14))&lt;0,
MIN(0,J14-(OFFSET($C14,0,$A14)/(OFFSET($C9,-$A13,$A14)))),
MAX(0,J14-(OFFSET($C14,0,$A14)/(OFFSET($C9,-$A13,$A14))))),0))</f>
        <v>0</v>
      </c>
      <c r="L14" s="1348">
        <f t="shared" ref="L14:L21" ca="1" si="12">IF(K38="n/a",K14,IFERROR(IF((OFFSET($C14,0,$A14))&lt;0,
MIN(0,K14-(OFFSET($C14,0,$A14)/(OFFSET($C9,-$A13,$A14)))),
MAX(0,K14-(OFFSET($C14,0,$A14)/(OFFSET($C9,-$A13,$A14))))),0))</f>
        <v>0</v>
      </c>
      <c r="M14" s="1348">
        <f t="shared" ref="M14:M22" ca="1" si="13">IF(L38="n/a",L14,IFERROR(IF((OFFSET($C14,0,$A14))&lt;0,
MIN(0,L14-(OFFSET($C14,0,$A14)/(OFFSET($C9,-$A13,$A14)))),
MAX(0,L14-(OFFSET($C14,0,$A14)/(OFFSET($C9,-$A13,$A14))))),0))</f>
        <v>0</v>
      </c>
      <c r="N14" s="1348">
        <f t="shared" ref="N14:N23" ca="1" si="14">IF(M38="n/a",M14,IFERROR(IF((OFFSET($C14,0,$A14))&lt;0,
MIN(0,M14-(OFFSET($C14,0,$A14)/(OFFSET($C9,-$A13,$A14)))),
MAX(0,M14-(OFFSET($C14,0,$A14)/(OFFSET($C9,-$A13,$A14))))),0))</f>
        <v>0</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2016-17</v>
      </c>
      <c r="C15" s="1349"/>
      <c r="D15" s="1350">
        <f>D9</f>
        <v>0</v>
      </c>
      <c r="E15" s="1348">
        <f ca="1">IF(D39="n/a",D15,IFERROR(IF((OFFSET($C15,0,$A15))&lt;0,
MIN(0,D15-(OFFSET($C15,0,$A15)/(OFFSET($C10,-$A14,$A15)))),
MAX(0,D15-(OFFSET($C15,0,$A15)/(OFFSET($C10,-$A14,$A15))))),0))</f>
        <v>0</v>
      </c>
      <c r="F15" s="1348">
        <f t="shared" ca="1" si="6"/>
        <v>0</v>
      </c>
      <c r="G15" s="1348">
        <f t="shared" ca="1" si="7"/>
        <v>0</v>
      </c>
      <c r="H15" s="1348">
        <f t="shared" ca="1" si="8"/>
        <v>0</v>
      </c>
      <c r="I15" s="1348">
        <f t="shared" ca="1" si="9"/>
        <v>0</v>
      </c>
      <c r="J15" s="1348">
        <f t="shared" ca="1" si="10"/>
        <v>0</v>
      </c>
      <c r="K15" s="1348">
        <f t="shared" ca="1" si="11"/>
        <v>0</v>
      </c>
      <c r="L15" s="1348">
        <f t="shared" ca="1" si="12"/>
        <v>0</v>
      </c>
      <c r="M15" s="1348">
        <f t="shared" ca="1" si="13"/>
        <v>0</v>
      </c>
      <c r="N15" s="1348">
        <f t="shared" ca="1" si="14"/>
        <v>0</v>
      </c>
      <c r="O15" s="1348">
        <f t="shared" ca="1" si="15"/>
        <v>0</v>
      </c>
      <c r="P15" s="1348">
        <f t="shared" ca="1" si="16"/>
        <v>0</v>
      </c>
      <c r="Q15" s="1348">
        <f t="shared" ca="1" si="17"/>
        <v>0</v>
      </c>
      <c r="R15" s="1348">
        <f t="shared" ca="1" si="18"/>
        <v>0</v>
      </c>
      <c r="S15" s="1348">
        <f t="shared" ca="1" si="19"/>
        <v>0</v>
      </c>
      <c r="T15" s="1348">
        <f t="shared" ca="1" si="20"/>
        <v>0</v>
      </c>
      <c r="U15" s="1348">
        <f t="shared" ca="1" si="21"/>
        <v>0</v>
      </c>
      <c r="V15" s="1348">
        <f t="shared" ca="1" si="22"/>
        <v>0</v>
      </c>
      <c r="W15" s="1348">
        <f t="shared" ca="1" si="23"/>
        <v>0</v>
      </c>
      <c r="X15" s="172"/>
      <c r="Y15" s="172"/>
      <c r="Z15" s="172"/>
      <c r="AA15" s="172"/>
      <c r="AB15" s="172"/>
    </row>
    <row r="16" spans="1:28" hidden="1" outlineLevel="1">
      <c r="A16" s="225">
        <v>2</v>
      </c>
      <c r="B16" s="212" t="str">
        <f t="shared" ca="1" si="24"/>
        <v>Depreciated Net Capex 2017-18</v>
      </c>
      <c r="C16" s="1351"/>
      <c r="D16" s="1352"/>
      <c r="E16" s="1350">
        <f>E9</f>
        <v>0</v>
      </c>
      <c r="F16" s="1348">
        <f ca="1">IF(E40="n/a",E16,IFERROR(IF((OFFSET($C16,0,$A16))&lt;0,
MIN(0,E16-(OFFSET($C16,0,$A16)/(OFFSET($C11,-$A15,$A16)))),
MAX(0,E16-(OFFSET($C16,0,$A16)/(OFFSET($C11,-$A15,$A16))))),0))</f>
        <v>0</v>
      </c>
      <c r="G16" s="1348">
        <f t="shared" ca="1" si="7"/>
        <v>0</v>
      </c>
      <c r="H16" s="1348">
        <f t="shared" ca="1" si="8"/>
        <v>0</v>
      </c>
      <c r="I16" s="1348">
        <f t="shared" ca="1" si="9"/>
        <v>0</v>
      </c>
      <c r="J16" s="1348">
        <f t="shared" ca="1" si="10"/>
        <v>0</v>
      </c>
      <c r="K16" s="1348">
        <f t="shared" ca="1" si="11"/>
        <v>0</v>
      </c>
      <c r="L16" s="1348">
        <f t="shared" ca="1" si="12"/>
        <v>0</v>
      </c>
      <c r="M16" s="1348">
        <f t="shared" ca="1" si="13"/>
        <v>0</v>
      </c>
      <c r="N16" s="1348">
        <f t="shared" ca="1" si="14"/>
        <v>0</v>
      </c>
      <c r="O16" s="1348">
        <f t="shared" ca="1" si="15"/>
        <v>0</v>
      </c>
      <c r="P16" s="1348">
        <f t="shared" ca="1" si="16"/>
        <v>0</v>
      </c>
      <c r="Q16" s="1348">
        <f t="shared" ca="1" si="17"/>
        <v>0</v>
      </c>
      <c r="R16" s="1348">
        <f t="shared" ca="1" si="18"/>
        <v>0</v>
      </c>
      <c r="S16" s="1348">
        <f t="shared" ca="1" si="19"/>
        <v>0</v>
      </c>
      <c r="T16" s="1348">
        <f t="shared" ca="1" si="20"/>
        <v>0</v>
      </c>
      <c r="U16" s="1348">
        <f t="shared" ca="1" si="21"/>
        <v>0</v>
      </c>
      <c r="V16" s="1348">
        <f t="shared" ca="1" si="22"/>
        <v>0</v>
      </c>
      <c r="W16" s="1348">
        <f t="shared" ca="1" si="23"/>
        <v>0</v>
      </c>
      <c r="X16" s="228"/>
      <c r="Y16" s="172"/>
      <c r="Z16" s="172"/>
      <c r="AA16" s="172"/>
      <c r="AB16" s="172"/>
    </row>
    <row r="17" spans="1:28" hidden="1" outlineLevel="1">
      <c r="A17" s="225">
        <v>3</v>
      </c>
      <c r="B17" s="212" t="str">
        <f t="shared" ca="1" si="24"/>
        <v>Depreciated Net Capex 2018-19</v>
      </c>
      <c r="C17" s="1351"/>
      <c r="D17" s="1351"/>
      <c r="E17" s="1352"/>
      <c r="F17" s="1353">
        <f>F9</f>
        <v>1.7027990000000003E-2</v>
      </c>
      <c r="G17" s="1348">
        <f ca="1">IF(F41="n/a",F17,IFERROR(IF((OFFSET($C17,0,$A17))&lt;0,
MIN(0,F17-(OFFSET($C17,0,$A17)/(OFFSET($C12,-$A16,$A17)))),
MAX(0,F17-(OFFSET($C17,0,$A17)/(OFFSET($C12,-$A16,$A17))))),0))</f>
        <v>1.6176590500000004E-2</v>
      </c>
      <c r="H17" s="1348">
        <f t="shared" ca="1" si="8"/>
        <v>1.5325191000000004E-2</v>
      </c>
      <c r="I17" s="1348">
        <f t="shared" ca="1" si="9"/>
        <v>1.4473791500000003E-2</v>
      </c>
      <c r="J17" s="1348">
        <f t="shared" ca="1" si="10"/>
        <v>1.3622392000000002E-2</v>
      </c>
      <c r="K17" s="1348">
        <f t="shared" ca="1" si="11"/>
        <v>1.2770992500000002E-2</v>
      </c>
      <c r="L17" s="1348">
        <f t="shared" ca="1" si="12"/>
        <v>1.1919593000000001E-2</v>
      </c>
      <c r="M17" s="1348">
        <f t="shared" ca="1" si="13"/>
        <v>1.10681935E-2</v>
      </c>
      <c r="N17" s="1348">
        <f t="shared" ca="1" si="14"/>
        <v>1.0216794E-2</v>
      </c>
      <c r="O17" s="1348">
        <f t="shared" ca="1" si="15"/>
        <v>9.3653944999999988E-3</v>
      </c>
      <c r="P17" s="1348">
        <f t="shared" ca="1" si="16"/>
        <v>8.5139949999999982E-3</v>
      </c>
      <c r="Q17" s="1348">
        <f t="shared" ca="1" si="17"/>
        <v>7.6625954999999983E-3</v>
      </c>
      <c r="R17" s="1348">
        <f t="shared" ca="1" si="18"/>
        <v>6.8111959999999985E-3</v>
      </c>
      <c r="S17" s="1348">
        <f t="shared" ca="1" si="19"/>
        <v>5.9597964999999987E-3</v>
      </c>
      <c r="T17" s="1348">
        <f t="shared" ca="1" si="20"/>
        <v>5.1083969999999989E-3</v>
      </c>
      <c r="U17" s="1348">
        <f t="shared" ca="1" si="21"/>
        <v>4.2569974999999991E-3</v>
      </c>
      <c r="V17" s="1348">
        <f t="shared" ca="1" si="22"/>
        <v>3.4055979999999988E-3</v>
      </c>
      <c r="W17" s="1348">
        <f t="shared" ca="1" si="23"/>
        <v>2.5541984999999986E-3</v>
      </c>
      <c r="X17" s="228"/>
      <c r="Y17" s="228"/>
      <c r="Z17" s="172"/>
      <c r="AA17" s="172"/>
      <c r="AB17" s="172"/>
    </row>
    <row r="18" spans="1:28" hidden="1" outlineLevel="1">
      <c r="A18" s="225">
        <v>4</v>
      </c>
      <c r="B18" s="212" t="str">
        <f t="shared" ca="1" si="24"/>
        <v>Depreciated Net Capex 2019-20</v>
      </c>
      <c r="C18" s="1351"/>
      <c r="D18" s="1351"/>
      <c r="E18" s="1351"/>
      <c r="F18" s="1352"/>
      <c r="G18" s="1353">
        <f>G9</f>
        <v>1.3283121499999999</v>
      </c>
      <c r="H18" s="1348">
        <f ca="1">IF(G42="n/a",G18,IFERROR(IF((OFFSET($C18,0,$A18))&lt;0,
MIN(0,G18-(OFFSET($C18,0,$A18)/(OFFSET($C13,-$A17,$A18)))),
MAX(0,G18-(OFFSET($C18,0,$A18)/(OFFSET($C13,-$A17,$A18))))),0))</f>
        <v>1.2618965424999999</v>
      </c>
      <c r="I18" s="1348">
        <f t="shared" ca="1" si="9"/>
        <v>1.195480935</v>
      </c>
      <c r="J18" s="1348">
        <f t="shared" ca="1" si="10"/>
        <v>1.1290653275</v>
      </c>
      <c r="K18" s="1348">
        <f t="shared" ca="1" si="11"/>
        <v>1.06264972</v>
      </c>
      <c r="L18" s="1348">
        <f t="shared" ca="1" si="12"/>
        <v>0.99623411250000005</v>
      </c>
      <c r="M18" s="1348">
        <f t="shared" ca="1" si="13"/>
        <v>0.92981850500000007</v>
      </c>
      <c r="N18" s="1348">
        <f t="shared" ca="1" si="14"/>
        <v>0.8634028975000001</v>
      </c>
      <c r="O18" s="1348">
        <f t="shared" ca="1" si="15"/>
        <v>0.79698729000000013</v>
      </c>
      <c r="P18" s="1348">
        <f t="shared" ca="1" si="16"/>
        <v>0.73057168250000015</v>
      </c>
      <c r="Q18" s="1348">
        <f t="shared" ca="1" si="17"/>
        <v>0.66415607500000018</v>
      </c>
      <c r="R18" s="1348">
        <f t="shared" ca="1" si="18"/>
        <v>0.59774046750000021</v>
      </c>
      <c r="S18" s="1348">
        <f t="shared" ca="1" si="19"/>
        <v>0.53132486000000023</v>
      </c>
      <c r="T18" s="1348">
        <f t="shared" ca="1" si="20"/>
        <v>0.46490925250000026</v>
      </c>
      <c r="U18" s="1348">
        <f t="shared" ca="1" si="21"/>
        <v>0.39849364500000028</v>
      </c>
      <c r="V18" s="1348">
        <f t="shared" ca="1" si="22"/>
        <v>0.33207803750000031</v>
      </c>
      <c r="W18" s="1348">
        <f t="shared" ca="1" si="23"/>
        <v>0.26566243000000034</v>
      </c>
      <c r="X18" s="228"/>
      <c r="Y18" s="228"/>
      <c r="Z18" s="228"/>
      <c r="AA18" s="172"/>
      <c r="AB18" s="172"/>
    </row>
    <row r="19" spans="1:28" hidden="1" outlineLevel="1">
      <c r="A19" s="225">
        <v>5</v>
      </c>
      <c r="B19" s="212" t="str">
        <f t="shared" ca="1" si="24"/>
        <v>Depreciated Net Capex 2020-21</v>
      </c>
      <c r="C19" s="1351"/>
      <c r="D19" s="1351"/>
      <c r="E19" s="1351"/>
      <c r="F19" s="1351"/>
      <c r="G19" s="1352"/>
      <c r="H19" s="1353">
        <f>H9</f>
        <v>0.61771703</v>
      </c>
      <c r="I19" s="1348">
        <f ca="1">IF(H43="n/a",H19,IFERROR(IF((OFFSET($C19,0,$A19))&lt;0,
MIN(0,H19-(OFFSET($C19,0,$A19)/(OFFSET($C14,-$A18,$A19)))),
MAX(0,H19-(OFFSET($C19,0,$A19)/(OFFSET($C14,-$A18,$A19))))),0))</f>
        <v>0.58683117849999999</v>
      </c>
      <c r="J19" s="1348">
        <f t="shared" ca="1" si="10"/>
        <v>0.55594532699999999</v>
      </c>
      <c r="K19" s="1348">
        <f t="shared" ca="1" si="11"/>
        <v>0.52505947549999998</v>
      </c>
      <c r="L19" s="1348">
        <f t="shared" ca="1" si="12"/>
        <v>0.49417362399999998</v>
      </c>
      <c r="M19" s="1348">
        <f t="shared" ca="1" si="13"/>
        <v>0.46328777249999997</v>
      </c>
      <c r="N19" s="1348">
        <f t="shared" ca="1" si="14"/>
        <v>0.43240192099999997</v>
      </c>
      <c r="O19" s="1348">
        <f t="shared" ca="1" si="15"/>
        <v>0.40151606949999996</v>
      </c>
      <c r="P19" s="1348">
        <f t="shared" ca="1" si="16"/>
        <v>0.37063021799999996</v>
      </c>
      <c r="Q19" s="1348">
        <f t="shared" ca="1" si="17"/>
        <v>0.33974436649999995</v>
      </c>
      <c r="R19" s="1348">
        <f t="shared" ca="1" si="18"/>
        <v>0.30885851499999994</v>
      </c>
      <c r="S19" s="1348">
        <f t="shared" ca="1" si="19"/>
        <v>0.27797266349999994</v>
      </c>
      <c r="T19" s="1348">
        <f t="shared" ca="1" si="20"/>
        <v>0.24708681199999993</v>
      </c>
      <c r="U19" s="1348">
        <f t="shared" ca="1" si="21"/>
        <v>0.21620096049999993</v>
      </c>
      <c r="V19" s="1348">
        <f t="shared" ca="1" si="22"/>
        <v>0.18531510899999992</v>
      </c>
      <c r="W19" s="1348">
        <f t="shared" ca="1" si="23"/>
        <v>0.15442925749999992</v>
      </c>
      <c r="X19" s="228"/>
      <c r="Y19" s="228"/>
      <c r="Z19" s="228"/>
      <c r="AA19" s="172"/>
      <c r="AB19" s="172"/>
    </row>
    <row r="20" spans="1:28" hidden="1" outlineLevel="1">
      <c r="A20" s="225">
        <v>6</v>
      </c>
      <c r="B20" s="212" t="str">
        <f t="shared" ca="1" si="24"/>
        <v>Depreciated Net Capex 2021-22</v>
      </c>
      <c r="C20" s="1351"/>
      <c r="D20" s="1351"/>
      <c r="E20" s="1351"/>
      <c r="F20" s="1351"/>
      <c r="G20" s="1351"/>
      <c r="H20" s="1352"/>
      <c r="I20" s="1353">
        <f>I9</f>
        <v>0</v>
      </c>
      <c r="J20" s="1348">
        <f ca="1">IF(I44="n/a",I20,IFERROR(IF((OFFSET($C20,0,$A20))&lt;0,
MIN(0,I20-(OFFSET($C20,0,$A20)/(OFFSET($C15,-$A19,$A20)))),
MAX(0,I20-(OFFSET($C20,0,$A20)/(OFFSET($C15,-$A19,$A20))))),0))</f>
        <v>0</v>
      </c>
      <c r="K20" s="1348">
        <f t="shared" ca="1" si="11"/>
        <v>0</v>
      </c>
      <c r="L20" s="1348">
        <f t="shared" ca="1" si="12"/>
        <v>0</v>
      </c>
      <c r="M20" s="1348">
        <f t="shared" ca="1" si="13"/>
        <v>0</v>
      </c>
      <c r="N20" s="1348">
        <f t="shared" ca="1" si="14"/>
        <v>0</v>
      </c>
      <c r="O20" s="1348">
        <f t="shared" ca="1" si="15"/>
        <v>0</v>
      </c>
      <c r="P20" s="1348">
        <f t="shared" ca="1" si="16"/>
        <v>0</v>
      </c>
      <c r="Q20" s="1348">
        <f t="shared" ca="1" si="17"/>
        <v>0</v>
      </c>
      <c r="R20" s="1348">
        <f t="shared" ca="1" si="18"/>
        <v>0</v>
      </c>
      <c r="S20" s="1348">
        <f t="shared" ca="1" si="19"/>
        <v>0</v>
      </c>
      <c r="T20" s="1348">
        <f t="shared" ca="1" si="20"/>
        <v>0</v>
      </c>
      <c r="U20" s="1348">
        <f t="shared" ca="1" si="21"/>
        <v>0</v>
      </c>
      <c r="V20" s="1348">
        <f t="shared" ca="1" si="22"/>
        <v>0</v>
      </c>
      <c r="W20" s="1348">
        <f t="shared" ca="1" si="23"/>
        <v>0</v>
      </c>
      <c r="X20" s="228"/>
      <c r="Y20" s="228"/>
      <c r="Z20" s="228"/>
      <c r="AA20" s="172"/>
      <c r="AB20" s="172"/>
    </row>
    <row r="21" spans="1:28" hidden="1" outlineLevel="1">
      <c r="A21" s="225">
        <v>7</v>
      </c>
      <c r="B21" s="212" t="str">
        <f t="shared" ca="1" si="24"/>
        <v>Depreciated Net Capex 2022-23</v>
      </c>
      <c r="C21" s="1351"/>
      <c r="D21" s="1351"/>
      <c r="E21" s="1351"/>
      <c r="F21" s="1351"/>
      <c r="G21" s="1351"/>
      <c r="H21" s="1351"/>
      <c r="I21" s="1352"/>
      <c r="J21" s="1353">
        <f>J9</f>
        <v>0</v>
      </c>
      <c r="K21" s="1348">
        <f ca="1">IF(J45="n/a",J21,IFERROR(IF((OFFSET($C21,0,$A21))&lt;0,
MIN(0,J21-(OFFSET($C21,0,$A21)/(OFFSET($C16,-$A20,$A21)))),
MAX(0,J21-(OFFSET($C21,0,$A21)/(OFFSET($C16,-$A20,$A21))))),0))</f>
        <v>0</v>
      </c>
      <c r="L21" s="1348">
        <f t="shared" ca="1" si="12"/>
        <v>0</v>
      </c>
      <c r="M21" s="1348">
        <f t="shared" ca="1" si="13"/>
        <v>0</v>
      </c>
      <c r="N21" s="1348">
        <f t="shared" ca="1" si="14"/>
        <v>0</v>
      </c>
      <c r="O21" s="1348">
        <f t="shared" ca="1" si="15"/>
        <v>0</v>
      </c>
      <c r="P21" s="1348">
        <f t="shared" ca="1" si="16"/>
        <v>0</v>
      </c>
      <c r="Q21" s="1348">
        <f t="shared" ca="1" si="17"/>
        <v>0</v>
      </c>
      <c r="R21" s="1348">
        <f t="shared" ca="1" si="18"/>
        <v>0</v>
      </c>
      <c r="S21" s="1348">
        <f t="shared" ca="1" si="19"/>
        <v>0</v>
      </c>
      <c r="T21" s="1348">
        <f t="shared" ca="1" si="20"/>
        <v>0</v>
      </c>
      <c r="U21" s="1348">
        <f t="shared" ca="1" si="21"/>
        <v>0</v>
      </c>
      <c r="V21" s="1348">
        <f t="shared" ca="1" si="22"/>
        <v>0</v>
      </c>
      <c r="W21" s="1348">
        <f t="shared" ca="1" si="23"/>
        <v>0</v>
      </c>
      <c r="X21" s="228"/>
      <c r="Y21" s="228"/>
      <c r="Z21" s="228"/>
      <c r="AA21" s="172"/>
      <c r="AB21" s="172"/>
    </row>
    <row r="22" spans="1:28" hidden="1" outlineLevel="1">
      <c r="A22" s="225">
        <v>8</v>
      </c>
      <c r="B22" s="212" t="str">
        <f t="shared" ca="1" si="24"/>
        <v>Depreciated Net Capex 2023-24</v>
      </c>
      <c r="C22" s="1351"/>
      <c r="D22" s="1351"/>
      <c r="E22" s="1351"/>
      <c r="F22" s="1351"/>
      <c r="G22" s="1351"/>
      <c r="H22" s="1351"/>
      <c r="I22" s="1351"/>
      <c r="J22" s="1352"/>
      <c r="K22" s="1353">
        <f>K9</f>
        <v>0</v>
      </c>
      <c r="L22" s="1348">
        <f ca="1">IF(K46="n/a",K22,IFERROR(IF((OFFSET($C22,0,$A22))&lt;0,
MIN(0,K22-(OFFSET($C22,0,$A22)/(OFFSET($C17,-$A21,$A22)))),
MAX(0,K22-(OFFSET($C22,0,$A22)/(OFFSET($C17,-$A21,$A22))))),0))</f>
        <v>0</v>
      </c>
      <c r="M22" s="1348">
        <f t="shared" ca="1" si="13"/>
        <v>0</v>
      </c>
      <c r="N22" s="1348">
        <f t="shared" ca="1" si="14"/>
        <v>0</v>
      </c>
      <c r="O22" s="1348">
        <f t="shared" ca="1" si="15"/>
        <v>0</v>
      </c>
      <c r="P22" s="1348">
        <f t="shared" ca="1" si="16"/>
        <v>0</v>
      </c>
      <c r="Q22" s="1348">
        <f t="shared" ca="1" si="17"/>
        <v>0</v>
      </c>
      <c r="R22" s="1348">
        <f t="shared" ca="1" si="18"/>
        <v>0</v>
      </c>
      <c r="S22" s="1348">
        <f t="shared" ca="1" si="19"/>
        <v>0</v>
      </c>
      <c r="T22" s="1348">
        <f t="shared" ca="1" si="20"/>
        <v>0</v>
      </c>
      <c r="U22" s="1348">
        <f t="shared" ca="1" si="21"/>
        <v>0</v>
      </c>
      <c r="V22" s="1348">
        <f t="shared" ca="1" si="22"/>
        <v>0</v>
      </c>
      <c r="W22" s="1348">
        <f t="shared" ca="1" si="23"/>
        <v>0</v>
      </c>
      <c r="X22" s="228"/>
      <c r="Y22" s="228"/>
      <c r="Z22" s="228"/>
      <c r="AA22" s="172"/>
      <c r="AB22" s="172"/>
    </row>
    <row r="23" spans="1:28" hidden="1" outlineLevel="1">
      <c r="A23" s="225">
        <v>9</v>
      </c>
      <c r="B23" s="212" t="str">
        <f t="shared" ca="1" si="24"/>
        <v>Depreciated Net Capex 2024-25</v>
      </c>
      <c r="C23" s="1351"/>
      <c r="D23" s="1351"/>
      <c r="E23" s="1351"/>
      <c r="F23" s="1351"/>
      <c r="G23" s="1351"/>
      <c r="H23" s="1351"/>
      <c r="I23" s="1351"/>
      <c r="J23" s="1351"/>
      <c r="K23" s="1352"/>
      <c r="L23" s="1353">
        <f>L9</f>
        <v>0</v>
      </c>
      <c r="M23" s="1348">
        <f ca="1">IF(L47="n/a",L23,IFERROR(IF((OFFSET($C23,0,$A23))&lt;0,
MIN(0,L23-(OFFSET($C23,0,$A23)/(OFFSET($C18,-$A22,$A23)))),
MAX(0,L23-(OFFSET($C23,0,$A23)/(OFFSET($C18,-$A22,$A23))))),0))</f>
        <v>0</v>
      </c>
      <c r="N23" s="1348">
        <f t="shared" ca="1" si="14"/>
        <v>0</v>
      </c>
      <c r="O23" s="1348">
        <f t="shared" ca="1" si="15"/>
        <v>0</v>
      </c>
      <c r="P23" s="1348">
        <f t="shared" ca="1" si="16"/>
        <v>0</v>
      </c>
      <c r="Q23" s="1348">
        <f t="shared" ca="1" si="17"/>
        <v>0</v>
      </c>
      <c r="R23" s="1348">
        <f t="shared" ca="1" si="18"/>
        <v>0</v>
      </c>
      <c r="S23" s="1348">
        <f t="shared" ca="1" si="19"/>
        <v>0</v>
      </c>
      <c r="T23" s="1348">
        <f t="shared" ca="1" si="20"/>
        <v>0</v>
      </c>
      <c r="U23" s="1348">
        <f t="shared" ca="1" si="21"/>
        <v>0</v>
      </c>
      <c r="V23" s="1348">
        <f t="shared" ca="1" si="22"/>
        <v>0</v>
      </c>
      <c r="W23" s="1348">
        <f t="shared" ca="1" si="23"/>
        <v>0</v>
      </c>
      <c r="X23" s="228"/>
      <c r="Y23" s="228"/>
      <c r="Z23" s="228"/>
      <c r="AA23" s="172"/>
      <c r="AB23" s="172"/>
    </row>
    <row r="24" spans="1:28" hidden="1" outlineLevel="1">
      <c r="A24" s="225">
        <v>10</v>
      </c>
      <c r="B24" s="212" t="str">
        <f t="shared" ca="1" si="24"/>
        <v>Depreciated Net Capex 2025-26</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2026-27</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2027-28</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2028-29</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2029-30</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2030-31</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2031-32</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2032-33</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2033-34</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2034-35</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2035-36</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3.7421827083723285</v>
      </c>
      <c r="D38" s="1348">
        <f t="shared" ref="D38:W53" ca="1" si="27">IF(C38="n/a","n/a",MAX(0,C38-1))</f>
        <v>2.7421827083723285</v>
      </c>
      <c r="E38" s="1348">
        <f t="shared" ca="1" si="27"/>
        <v>1.7421827083723285</v>
      </c>
      <c r="F38" s="1348">
        <f t="shared" ca="1" si="27"/>
        <v>0.74218270837232847</v>
      </c>
      <c r="G38" s="1348">
        <f t="shared" ca="1" si="27"/>
        <v>0</v>
      </c>
      <c r="H38" s="1348">
        <f t="shared" ca="1" si="27"/>
        <v>0</v>
      </c>
      <c r="I38" s="1348">
        <f t="shared" ca="1" si="27"/>
        <v>0</v>
      </c>
      <c r="J38" s="1348">
        <f t="shared" ca="1" si="27"/>
        <v>0</v>
      </c>
      <c r="K38" s="1348">
        <f t="shared" ca="1" si="27"/>
        <v>0</v>
      </c>
      <c r="L38" s="1348">
        <f t="shared" ca="1" si="27"/>
        <v>0</v>
      </c>
      <c r="M38" s="1348">
        <f t="shared" ca="1" si="27"/>
        <v>0</v>
      </c>
      <c r="N38" s="1348">
        <f t="shared" ca="1" si="27"/>
        <v>0</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2016-17</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2017-18</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2018-19</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2019-20</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2020-21</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2021-22</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2022-23</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2023-24</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2024-25</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2025-26</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2026-27</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2027-28</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2028-29</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2029-30</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2030-31</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2031-32</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2032-33</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2033-34</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2034-35</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2035-36</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3.7421827083723285</v>
      </c>
      <c r="D60" s="1356">
        <f ca="1">(IF(OR($C10&lt;&gt;"n/a",D10&lt;&gt;"n/a"),IF(SUM(D13:D35)=0,0,IF((SUMPRODUCT(D13:D35,D37:D59)/SUM(D13:D35))&lt;0,1,(SUMPRODUCT(D13:D35,D37:D59)/SUM(D13:D35)))),"n/a"))</f>
        <v>2.7421827083723285</v>
      </c>
      <c r="E60" s="1356">
        <f t="shared" ref="E60:W60" ca="1" si="30">(IF(OR($C10&lt;&gt;"n/a",E10&lt;&gt;"n/a"),IF(SUM(E13:E35)=0,0,IF((SUMPRODUCT(E13:E35,E37:E59)/SUM(E13:E35))&lt;0,1,(SUMPRODUCT(E13:E35,E37:E59)/SUM(E13:E35)))),"n/a"))</f>
        <v>1.7421827083723285</v>
      </c>
      <c r="F60" s="1356">
        <f t="shared" ca="1" si="30"/>
        <v>0.82086709048610551</v>
      </c>
      <c r="G60" s="1356">
        <f t="shared" ca="1" si="30"/>
        <v>19.987968221664705</v>
      </c>
      <c r="H60" s="1356">
        <f t="shared" ca="1" si="30"/>
        <v>19.317895148172159</v>
      </c>
      <c r="I60" s="1356">
        <f t="shared" ca="1" si="30"/>
        <v>18.31854512293717</v>
      </c>
      <c r="J60" s="1356">
        <f t="shared" ca="1" si="30"/>
        <v>17.31927021325615</v>
      </c>
      <c r="K60" s="1356">
        <f t="shared" ca="1" si="30"/>
        <v>16.320084238993406</v>
      </c>
      <c r="L60" s="1356">
        <f t="shared" ca="1" si="30"/>
        <v>15.321004631634109</v>
      </c>
      <c r="M60" s="1356">
        <f t="shared" ca="1" si="30"/>
        <v>14.322053696559477</v>
      </c>
      <c r="N60" s="1356">
        <f t="shared" ca="1" si="30"/>
        <v>13.323260444512744</v>
      </c>
      <c r="O60" s="1356">
        <f t="shared" ca="1" si="30"/>
        <v>12.324663316027793</v>
      </c>
      <c r="P60" s="1356">
        <f t="shared" ca="1" si="30"/>
        <v>11.326314351689845</v>
      </c>
      <c r="Q60" s="1356">
        <f t="shared" ca="1" si="30"/>
        <v>10.32828579026064</v>
      </c>
      <c r="R60" s="1356">
        <f t="shared" ca="1" si="30"/>
        <v>9.3306809209155297</v>
      </c>
      <c r="S60" s="1356">
        <f t="shared" ca="1" si="30"/>
        <v>8.3336527748073461</v>
      </c>
      <c r="T60" s="1356">
        <f t="shared" ca="1" si="30"/>
        <v>7.337438166949684</v>
      </c>
      <c r="U60" s="1356">
        <f t="shared" ca="1" si="30"/>
        <v>6.3424241281107081</v>
      </c>
      <c r="V60" s="1356">
        <f t="shared" ca="1" si="30"/>
        <v>5.3492894576284833</v>
      </c>
      <c r="W60" s="1356">
        <f t="shared" ca="1" si="30"/>
        <v>4.359343516714131</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26.111481568902246</v>
      </c>
      <c r="D63" s="1366">
        <f>'Capital base remaining lives'!D68</f>
        <v>0.58380155999999994</v>
      </c>
      <c r="E63" s="1366">
        <f>'Capital base remaining lives'!E68</f>
        <v>8.1422299999999951E-3</v>
      </c>
      <c r="F63" s="1366">
        <f>'Capital base remaining lives'!F68</f>
        <v>0.29607051000000001</v>
      </c>
      <c r="G63" s="1366">
        <f>'Capital base remaining lives'!G68</f>
        <v>0.21128007000000001</v>
      </c>
      <c r="H63" s="1366">
        <f>'Capital base remaining lives'!H68</f>
        <v>0.60571891999999994</v>
      </c>
      <c r="I63" s="1366">
        <f>'Capital base remaining lives'!I68</f>
        <v>2.9103830456733702E-17</v>
      </c>
      <c r="J63" s="1366">
        <f>'Capital base remaining lives'!J68</f>
        <v>0</v>
      </c>
      <c r="K63" s="1366">
        <f>'Capital base remaining lives'!K68</f>
        <v>0</v>
      </c>
      <c r="L63" s="1366">
        <f>'Capital base remaining lives'!L68</f>
        <v>0</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12.241729721257878</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26.111481568902246</v>
      </c>
      <c r="D68" s="1348">
        <f ca="1">IF(C92="n/a",C68,IFERROR(IF((OFFSET($C68,0,$A68))&lt;0,
MIN(0,C68-(OFFSET($C68,0,$A68)/(OFFSET($C63,-$A67,$A68)))),
MAX(0,C68-(OFFSET($C68,0,$A68)/(OFFSET($C63,-$A67,$A68))))),0))</f>
        <v>23.978492018940248</v>
      </c>
      <c r="E68" s="1348">
        <f t="shared" ref="E68" ca="1" si="50">IF(D92="n/a",D68,IFERROR(IF((OFFSET($C68,0,$A68))&lt;0,
MIN(0,D68-(OFFSET($C68,0,$A68)/(OFFSET($C63,-$A67,$A68)))),
MAX(0,D68-(OFFSET($C68,0,$A68)/(OFFSET($C63,-$A67,$A68))))),0))</f>
        <v>21.84550246897825</v>
      </c>
      <c r="F68" s="1348">
        <f t="shared" ref="F68:F69" ca="1" si="51">IF(E92="n/a",E68,IFERROR(IF((OFFSET($C68,0,$A68))&lt;0,
MIN(0,E68-(OFFSET($C68,0,$A68)/(OFFSET($C63,-$A67,$A68)))),
MAX(0,E68-(OFFSET($C68,0,$A68)/(OFFSET($C63,-$A67,$A68))))),0))</f>
        <v>19.712512919016252</v>
      </c>
      <c r="G68" s="1348">
        <f t="shared" ref="G68:G70" ca="1" si="52">IF(F92="n/a",F68,IFERROR(IF((OFFSET($C68,0,$A68))&lt;0,
MIN(0,F68-(OFFSET($C68,0,$A68)/(OFFSET($C63,-$A67,$A68)))),
MAX(0,F68-(OFFSET($C68,0,$A68)/(OFFSET($C63,-$A67,$A68))))),0))</f>
        <v>17.579523369054254</v>
      </c>
      <c r="H68" s="1348">
        <f t="shared" ref="H68:H71" ca="1" si="53">IF(G92="n/a",G68,IFERROR(IF((OFFSET($C68,0,$A68))&lt;0,
MIN(0,G68-(OFFSET($C68,0,$A68)/(OFFSET($C63,-$A67,$A68)))),
MAX(0,G68-(OFFSET($C68,0,$A68)/(OFFSET($C63,-$A67,$A68))))),0))</f>
        <v>15.446533819092256</v>
      </c>
      <c r="I68" s="1348">
        <f t="shared" ref="I68:I72" ca="1" si="54">IF(H92="n/a",H68,IFERROR(IF((OFFSET($C68,0,$A68))&lt;0,
MIN(0,H68-(OFFSET($C68,0,$A68)/(OFFSET($C63,-$A67,$A68)))),
MAX(0,H68-(OFFSET($C68,0,$A68)/(OFFSET($C63,-$A67,$A68))))),0))</f>
        <v>13.313544269130258</v>
      </c>
      <c r="J68" s="1348">
        <f t="shared" ref="J68:J73" ca="1" si="55">IF(I92="n/a",I68,IFERROR(IF((OFFSET($C68,0,$A68))&lt;0,
MIN(0,I68-(OFFSET($C68,0,$A68)/(OFFSET($C63,-$A67,$A68)))),
MAX(0,I68-(OFFSET($C68,0,$A68)/(OFFSET($C63,-$A67,$A68))))),0))</f>
        <v>11.18055471916826</v>
      </c>
      <c r="K68" s="1348">
        <f t="shared" ref="K68:K74" ca="1" si="56">IF(J92="n/a",J68,IFERROR(IF((OFFSET($C68,0,$A68))&lt;0,
MIN(0,J68-(OFFSET($C68,0,$A68)/(OFFSET($C63,-$A67,$A68)))),
MAX(0,J68-(OFFSET($C68,0,$A68)/(OFFSET($C63,-$A67,$A68))))),0))</f>
        <v>9.047565169206262</v>
      </c>
      <c r="L68" s="1348">
        <f t="shared" ref="L68:L75" ca="1" si="57">IF(K92="n/a",K68,IFERROR(IF((OFFSET($C68,0,$A68))&lt;0,
MIN(0,K68-(OFFSET($C68,0,$A68)/(OFFSET($C63,-$A67,$A68)))),
MAX(0,K68-(OFFSET($C68,0,$A68)/(OFFSET($C63,-$A67,$A68))))),0))</f>
        <v>6.9145756192442649</v>
      </c>
      <c r="M68" s="1348">
        <f t="shared" ref="M68:M76" ca="1" si="58">IF(L92="n/a",L68,IFERROR(IF((OFFSET($C68,0,$A68))&lt;0,
MIN(0,L68-(OFFSET($C68,0,$A68)/(OFFSET($C63,-$A67,$A68)))),
MAX(0,L68-(OFFSET($C68,0,$A68)/(OFFSET($C63,-$A67,$A68))))),0))</f>
        <v>4.7815860692822678</v>
      </c>
      <c r="N68" s="1348">
        <f t="shared" ref="N68:N77" ca="1" si="59">IF(M92="n/a",M68,IFERROR(IF((OFFSET($C68,0,$A68))&lt;0,
MIN(0,M68-(OFFSET($C68,0,$A68)/(OFFSET($C63,-$A67,$A68)))),
MAX(0,M68-(OFFSET($C68,0,$A68)/(OFFSET($C63,-$A67,$A68))))),0))</f>
        <v>2.6485965193202707</v>
      </c>
      <c r="O68" s="1348">
        <f t="shared" ref="O68:O78" ca="1" si="60">IF(N92="n/a",N68,IFERROR(IF((OFFSET($C68,0,$A68))&lt;0,
MIN(0,N68-(OFFSET($C68,0,$A68)/(OFFSET($C63,-$A67,$A68)))),
MAX(0,N68-(OFFSET($C68,0,$A68)/(OFFSET($C63,-$A67,$A68))))),0))</f>
        <v>0.51560696935827366</v>
      </c>
      <c r="P68" s="1348">
        <f t="shared" ref="P68:P79" ca="1" si="61">IF(O92="n/a",O68,IFERROR(IF((OFFSET($C68,0,$A68))&lt;0,
MIN(0,O68-(OFFSET($C68,0,$A68)/(OFFSET($C63,-$A67,$A68)))),
MAX(0,O68-(OFFSET($C68,0,$A68)/(OFFSET($C63,-$A67,$A68))))),0))</f>
        <v>0</v>
      </c>
      <c r="Q68" s="1348">
        <f t="shared" ref="Q68:Q80" ca="1" si="62">IF(P92="n/a",P68,IFERROR(IF((OFFSET($C68,0,$A68))&lt;0,
MIN(0,P68-(OFFSET($C68,0,$A68)/(OFFSET($C63,-$A67,$A68)))),
MAX(0,P68-(OFFSET($C68,0,$A68)/(OFFSET($C63,-$A67,$A68))))),0))</f>
        <v>0</v>
      </c>
      <c r="R68" s="1348">
        <f t="shared" ref="R68:R81" ca="1" si="63">IF(Q92="n/a",Q68,IFERROR(IF((OFFSET($C68,0,$A68))&lt;0,
MIN(0,Q68-(OFFSET($C68,0,$A68)/(OFFSET($C63,-$A67,$A68)))),
MAX(0,Q68-(OFFSET($C68,0,$A68)/(OFFSET($C63,-$A67,$A68))))),0))</f>
        <v>0</v>
      </c>
      <c r="S68" s="1348">
        <f t="shared" ref="S68:S82" ca="1" si="64">IF(R92="n/a",R68,IFERROR(IF((OFFSET($C68,0,$A68))&lt;0,
MIN(0,R68-(OFFSET($C68,0,$A68)/(OFFSET($C63,-$A67,$A68)))),
MAX(0,R68-(OFFSET($C68,0,$A68)/(OFFSET($C63,-$A67,$A68))))),0))</f>
        <v>0</v>
      </c>
      <c r="T68" s="1348">
        <f t="shared" ref="T68:T83" ca="1" si="65">IF(S92="n/a",S68,IFERROR(IF((OFFSET($C68,0,$A68))&lt;0,
MIN(0,S68-(OFFSET($C68,0,$A68)/(OFFSET($C63,-$A67,$A68)))),
MAX(0,S68-(OFFSET($C68,0,$A68)/(OFFSET($C63,-$A67,$A68))))),0))</f>
        <v>0</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2016-17</v>
      </c>
      <c r="C69" s="1349"/>
      <c r="D69" s="1350">
        <f>D63</f>
        <v>0.58380155999999994</v>
      </c>
      <c r="E69" s="1348">
        <f ca="1">IF(D93="n/a",D69,IFERROR(IF((OFFSET($C69,0,$A69))&lt;0,
MIN(0,D69-(OFFSET($C69,0,$A69)/(OFFSET($C64,-$A68,$A69)))),
MAX(0,D69-(OFFSET($C69,0,$A69)/(OFFSET($C64,-$A68,$A69))))),0))</f>
        <v>0.55461148199999999</v>
      </c>
      <c r="F69" s="1348">
        <f t="shared" ca="1" si="51"/>
        <v>0.52542140400000004</v>
      </c>
      <c r="G69" s="1348">
        <f t="shared" ca="1" si="52"/>
        <v>0.49623132600000003</v>
      </c>
      <c r="H69" s="1348">
        <f t="shared" ca="1" si="53"/>
        <v>0.46704124800000002</v>
      </c>
      <c r="I69" s="1348">
        <f t="shared" ca="1" si="54"/>
        <v>0.43785117000000001</v>
      </c>
      <c r="J69" s="1348">
        <f t="shared" ca="1" si="55"/>
        <v>0.408661092</v>
      </c>
      <c r="K69" s="1348">
        <f t="shared" ca="1" si="56"/>
        <v>0.379471014</v>
      </c>
      <c r="L69" s="1348">
        <f t="shared" ca="1" si="57"/>
        <v>0.35028093599999999</v>
      </c>
      <c r="M69" s="1348">
        <f t="shared" ca="1" si="58"/>
        <v>0.32109085799999998</v>
      </c>
      <c r="N69" s="1348">
        <f t="shared" ca="1" si="59"/>
        <v>0.29190077999999997</v>
      </c>
      <c r="O69" s="1348">
        <f t="shared" ca="1" si="60"/>
        <v>0.26271070199999996</v>
      </c>
      <c r="P69" s="1348">
        <f t="shared" ca="1" si="61"/>
        <v>0.23352062399999995</v>
      </c>
      <c r="Q69" s="1348">
        <f t="shared" ca="1" si="62"/>
        <v>0.20433054599999995</v>
      </c>
      <c r="R69" s="1348">
        <f t="shared" ca="1" si="63"/>
        <v>0.17514046799999994</v>
      </c>
      <c r="S69" s="1348">
        <f t="shared" ca="1" si="64"/>
        <v>0.14595038999999993</v>
      </c>
      <c r="T69" s="1348">
        <f t="shared" ca="1" si="65"/>
        <v>0.11676031199999994</v>
      </c>
      <c r="U69" s="1348">
        <f t="shared" ca="1" si="66"/>
        <v>8.7570233999999941E-2</v>
      </c>
      <c r="V69" s="1348">
        <f t="shared" ca="1" si="67"/>
        <v>5.8380155999999947E-2</v>
      </c>
      <c r="W69" s="1348">
        <f t="shared" ca="1" si="68"/>
        <v>2.9190077999999949E-2</v>
      </c>
      <c r="X69" s="172"/>
      <c r="Y69" s="172"/>
      <c r="Z69" s="172"/>
      <c r="AA69" s="172"/>
      <c r="AB69" s="172"/>
    </row>
    <row r="70" spans="1:28" ht="12.75" hidden="1" customHeight="1" outlineLevel="1">
      <c r="A70" s="225">
        <v>2</v>
      </c>
      <c r="B70" s="212" t="str">
        <f t="shared" ca="1" si="69"/>
        <v>Depreciated Net Capex 2017-18</v>
      </c>
      <c r="C70" s="1351"/>
      <c r="D70" s="1352"/>
      <c r="E70" s="1350">
        <f>E63</f>
        <v>8.1422299999999951E-3</v>
      </c>
      <c r="F70" s="1348">
        <f ca="1">IF(E94="n/a",E70,IFERROR(IF((OFFSET($C70,0,$A70))&lt;0,
MIN(0,E70-(OFFSET($C70,0,$A70)/(OFFSET($C65,-$A69,$A70)))),
MAX(0,E70-(OFFSET($C70,0,$A70)/(OFFSET($C65,-$A69,$A70))))),0))</f>
        <v>7.7351184999999954E-3</v>
      </c>
      <c r="G70" s="1348">
        <f t="shared" ca="1" si="52"/>
        <v>7.3280069999999958E-3</v>
      </c>
      <c r="H70" s="1348">
        <f t="shared" ca="1" si="53"/>
        <v>6.9208954999999961E-3</v>
      </c>
      <c r="I70" s="1348">
        <f t="shared" ca="1" si="54"/>
        <v>6.5137839999999964E-3</v>
      </c>
      <c r="J70" s="1348">
        <f t="shared" ca="1" si="55"/>
        <v>6.1066724999999968E-3</v>
      </c>
      <c r="K70" s="1348">
        <f t="shared" ca="1" si="56"/>
        <v>5.6995609999999971E-3</v>
      </c>
      <c r="L70" s="1348">
        <f t="shared" ca="1" si="57"/>
        <v>5.2924494999999974E-3</v>
      </c>
      <c r="M70" s="1348">
        <f t="shared" ca="1" si="58"/>
        <v>4.8853379999999978E-3</v>
      </c>
      <c r="N70" s="1348">
        <f t="shared" ca="1" si="59"/>
        <v>4.4782264999999981E-3</v>
      </c>
      <c r="O70" s="1348">
        <f t="shared" ca="1" si="60"/>
        <v>4.0711149999999984E-3</v>
      </c>
      <c r="P70" s="1348">
        <f t="shared" ca="1" si="61"/>
        <v>3.6640034999999987E-3</v>
      </c>
      <c r="Q70" s="1348">
        <f t="shared" ca="1" si="62"/>
        <v>3.2568919999999991E-3</v>
      </c>
      <c r="R70" s="1348">
        <f t="shared" ca="1" si="63"/>
        <v>2.8497804999999994E-3</v>
      </c>
      <c r="S70" s="1348">
        <f t="shared" ca="1" si="64"/>
        <v>2.4426689999999997E-3</v>
      </c>
      <c r="T70" s="1348">
        <f t="shared" ca="1" si="65"/>
        <v>2.0355575000000001E-3</v>
      </c>
      <c r="U70" s="1348">
        <f t="shared" ca="1" si="66"/>
        <v>1.6284460000000004E-3</v>
      </c>
      <c r="V70" s="1348">
        <f t="shared" ca="1" si="67"/>
        <v>1.2213345000000007E-3</v>
      </c>
      <c r="W70" s="1348">
        <f t="shared" ca="1" si="68"/>
        <v>8.1422300000000096E-4</v>
      </c>
      <c r="X70" s="228"/>
      <c r="Y70" s="172"/>
      <c r="Z70" s="172"/>
      <c r="AA70" s="172"/>
      <c r="AB70" s="172"/>
    </row>
    <row r="71" spans="1:28" ht="12.75" hidden="1" customHeight="1" outlineLevel="1">
      <c r="A71" s="225">
        <v>3</v>
      </c>
      <c r="B71" s="212" t="str">
        <f t="shared" ca="1" si="69"/>
        <v>Depreciated Net Capex 2018-19</v>
      </c>
      <c r="C71" s="1351"/>
      <c r="D71" s="1351"/>
      <c r="E71" s="1352"/>
      <c r="F71" s="1353">
        <f>F63</f>
        <v>0.29607051000000001</v>
      </c>
      <c r="G71" s="1348">
        <f ca="1">IF(F95="n/a",F71,IFERROR(IF((OFFSET($C71,0,$A71))&lt;0,
MIN(0,F71-(OFFSET($C71,0,$A71)/(OFFSET($C66,-$A70,$A71)))),
MAX(0,F71-(OFFSET($C71,0,$A71)/(OFFSET($C66,-$A70,$A71))))),0))</f>
        <v>0.28126698449999998</v>
      </c>
      <c r="H71" s="1348">
        <f t="shared" ca="1" si="53"/>
        <v>0.26646345899999996</v>
      </c>
      <c r="I71" s="1348">
        <f t="shared" ca="1" si="54"/>
        <v>0.25165993349999993</v>
      </c>
      <c r="J71" s="1348">
        <f t="shared" ca="1" si="55"/>
        <v>0.23685640799999993</v>
      </c>
      <c r="K71" s="1348">
        <f t="shared" ca="1" si="56"/>
        <v>0.22205288249999994</v>
      </c>
      <c r="L71" s="1348">
        <f t="shared" ca="1" si="57"/>
        <v>0.20724935699999994</v>
      </c>
      <c r="M71" s="1348">
        <f t="shared" ca="1" si="58"/>
        <v>0.19244583149999994</v>
      </c>
      <c r="N71" s="1348">
        <f t="shared" ca="1" si="59"/>
        <v>0.17764230599999994</v>
      </c>
      <c r="O71" s="1348">
        <f t="shared" ca="1" si="60"/>
        <v>0.16283878049999995</v>
      </c>
      <c r="P71" s="1348">
        <f t="shared" ca="1" si="61"/>
        <v>0.14803525499999995</v>
      </c>
      <c r="Q71" s="1348">
        <f t="shared" ca="1" si="62"/>
        <v>0.13323172949999995</v>
      </c>
      <c r="R71" s="1348">
        <f t="shared" ca="1" si="63"/>
        <v>0.11842820399999995</v>
      </c>
      <c r="S71" s="1348">
        <f t="shared" ca="1" si="64"/>
        <v>0.10362467849999996</v>
      </c>
      <c r="T71" s="1348">
        <f t="shared" ca="1" si="65"/>
        <v>8.8821152999999958E-2</v>
      </c>
      <c r="U71" s="1348">
        <f t="shared" ca="1" si="66"/>
        <v>7.4017627499999961E-2</v>
      </c>
      <c r="V71" s="1348">
        <f t="shared" ca="1" si="67"/>
        <v>5.9214101999999963E-2</v>
      </c>
      <c r="W71" s="1348">
        <f t="shared" ca="1" si="68"/>
        <v>4.4410576499999965E-2</v>
      </c>
      <c r="X71" s="228"/>
      <c r="Y71" s="228"/>
      <c r="Z71" s="172"/>
      <c r="AA71" s="172"/>
      <c r="AB71" s="172"/>
    </row>
    <row r="72" spans="1:28" ht="12.75" hidden="1" customHeight="1" outlineLevel="1">
      <c r="A72" s="225">
        <v>4</v>
      </c>
      <c r="B72" s="212" t="str">
        <f t="shared" ca="1" si="69"/>
        <v>Depreciated Net Capex 2019-20</v>
      </c>
      <c r="C72" s="1351"/>
      <c r="D72" s="1351"/>
      <c r="E72" s="1351"/>
      <c r="F72" s="1352"/>
      <c r="G72" s="1353">
        <f>G63</f>
        <v>0.21128007000000001</v>
      </c>
      <c r="H72" s="1348">
        <f ca="1">IF(G96="n/a",G72,IFERROR(IF((OFFSET($C72,0,$A72))&lt;0,
MIN(0,G72-(OFFSET($C72,0,$A72)/(OFFSET($C67,-$A71,$A72)))),
MAX(0,G72-(OFFSET($C72,0,$A72)/(OFFSET($C67,-$A71,$A72))))),0))</f>
        <v>0.20071606650000001</v>
      </c>
      <c r="I72" s="1348">
        <f t="shared" ca="1" si="54"/>
        <v>0.19015206300000001</v>
      </c>
      <c r="J72" s="1348">
        <f t="shared" ca="1" si="55"/>
        <v>0.17958805950000001</v>
      </c>
      <c r="K72" s="1348">
        <f t="shared" ca="1" si="56"/>
        <v>0.16902405600000001</v>
      </c>
      <c r="L72" s="1348">
        <f t="shared" ca="1" si="57"/>
        <v>0.1584600525</v>
      </c>
      <c r="M72" s="1348">
        <f t="shared" ca="1" si="58"/>
        <v>0.147896049</v>
      </c>
      <c r="N72" s="1348">
        <f t="shared" ca="1" si="59"/>
        <v>0.1373320455</v>
      </c>
      <c r="O72" s="1348">
        <f t="shared" ca="1" si="60"/>
        <v>0.126768042</v>
      </c>
      <c r="P72" s="1348">
        <f t="shared" ca="1" si="61"/>
        <v>0.1162040385</v>
      </c>
      <c r="Q72" s="1348">
        <f t="shared" ca="1" si="62"/>
        <v>0.10564003499999999</v>
      </c>
      <c r="R72" s="1348">
        <f t="shared" ca="1" si="63"/>
        <v>9.5076031499999991E-2</v>
      </c>
      <c r="S72" s="1348">
        <f t="shared" ca="1" si="64"/>
        <v>8.4512027999999989E-2</v>
      </c>
      <c r="T72" s="1348">
        <f t="shared" ca="1" si="65"/>
        <v>7.3948024499999987E-2</v>
      </c>
      <c r="U72" s="1348">
        <f t="shared" ca="1" si="66"/>
        <v>6.3384020999999985E-2</v>
      </c>
      <c r="V72" s="1348">
        <f t="shared" ca="1" si="67"/>
        <v>5.2820017499999983E-2</v>
      </c>
      <c r="W72" s="1348">
        <f t="shared" ca="1" si="68"/>
        <v>4.2256013999999981E-2</v>
      </c>
      <c r="X72" s="228"/>
      <c r="Y72" s="228"/>
      <c r="Z72" s="228"/>
      <c r="AA72" s="172"/>
      <c r="AB72" s="172"/>
    </row>
    <row r="73" spans="1:28" ht="12.75" hidden="1" customHeight="1" outlineLevel="1">
      <c r="A73" s="225">
        <v>5</v>
      </c>
      <c r="B73" s="212" t="str">
        <f t="shared" ca="1" si="69"/>
        <v>Depreciated Net Capex 2020-21</v>
      </c>
      <c r="C73" s="1351"/>
      <c r="D73" s="1351"/>
      <c r="E73" s="1351"/>
      <c r="F73" s="1351"/>
      <c r="G73" s="1352"/>
      <c r="H73" s="1353">
        <f>H63</f>
        <v>0.60571891999999994</v>
      </c>
      <c r="I73" s="1348">
        <f ca="1">IF(H97="n/a",H73,IFERROR(IF((OFFSET($C73,0,$A73))&lt;0,
MIN(0,H73-(OFFSET($C73,0,$A73)/(OFFSET($C68,-$A72,$A73)))),
MAX(0,H73-(OFFSET($C73,0,$A73)/(OFFSET($C68,-$A72,$A73))))),0))</f>
        <v>0.57543297399999993</v>
      </c>
      <c r="J73" s="1348">
        <f t="shared" ca="1" si="55"/>
        <v>0.54514702799999992</v>
      </c>
      <c r="K73" s="1348">
        <f t="shared" ca="1" si="56"/>
        <v>0.51486108199999991</v>
      </c>
      <c r="L73" s="1348">
        <f t="shared" ca="1" si="57"/>
        <v>0.48457513599999991</v>
      </c>
      <c r="M73" s="1348">
        <f t="shared" ca="1" si="58"/>
        <v>0.4542891899999999</v>
      </c>
      <c r="N73" s="1348">
        <f t="shared" ca="1" si="59"/>
        <v>0.42400324399999989</v>
      </c>
      <c r="O73" s="1348">
        <f t="shared" ca="1" si="60"/>
        <v>0.39371729799999988</v>
      </c>
      <c r="P73" s="1348">
        <f t="shared" ca="1" si="61"/>
        <v>0.36343135199999987</v>
      </c>
      <c r="Q73" s="1348">
        <f t="shared" ca="1" si="62"/>
        <v>0.33314540599999987</v>
      </c>
      <c r="R73" s="1348">
        <f t="shared" ca="1" si="63"/>
        <v>0.30285945999999986</v>
      </c>
      <c r="S73" s="1348">
        <f t="shared" ca="1" si="64"/>
        <v>0.27257351399999985</v>
      </c>
      <c r="T73" s="1348">
        <f t="shared" ca="1" si="65"/>
        <v>0.24228756799999984</v>
      </c>
      <c r="U73" s="1348">
        <f t="shared" ca="1" si="66"/>
        <v>0.21200162199999983</v>
      </c>
      <c r="V73" s="1348">
        <f t="shared" ca="1" si="67"/>
        <v>0.18171567599999983</v>
      </c>
      <c r="W73" s="1348">
        <f t="shared" ca="1" si="68"/>
        <v>0.15142972999999982</v>
      </c>
      <c r="X73" s="228"/>
      <c r="Y73" s="228"/>
      <c r="Z73" s="228"/>
      <c r="AA73" s="172"/>
      <c r="AB73" s="172"/>
    </row>
    <row r="74" spans="1:28" ht="12.75" hidden="1" customHeight="1" outlineLevel="1">
      <c r="A74" s="225">
        <v>6</v>
      </c>
      <c r="B74" s="212" t="str">
        <f t="shared" ca="1" si="69"/>
        <v>Depreciated Net Capex 2021-22</v>
      </c>
      <c r="C74" s="1351"/>
      <c r="D74" s="1351"/>
      <c r="E74" s="1351"/>
      <c r="F74" s="1351"/>
      <c r="G74" s="1351"/>
      <c r="H74" s="1352"/>
      <c r="I74" s="1353">
        <f>I63</f>
        <v>2.9103830456733702E-17</v>
      </c>
      <c r="J74" s="1348">
        <f ca="1">IF(I98="n/a",I74,IFERROR(IF((OFFSET($C74,0,$A74))&lt;0,
MIN(0,I74-(OFFSET($C74,0,$A74)/(OFFSET($C69,-$A73,$A74)))),
MAX(0,I74-(OFFSET($C74,0,$A74)/(OFFSET($C69,-$A73,$A74))))),0))</f>
        <v>2.7648638933897019E-17</v>
      </c>
      <c r="K74" s="1348">
        <f t="shared" ca="1" si="56"/>
        <v>2.6193447411060335E-17</v>
      </c>
      <c r="L74" s="1348">
        <f t="shared" ca="1" si="57"/>
        <v>2.4738255888223652E-17</v>
      </c>
      <c r="M74" s="1348">
        <f t="shared" ca="1" si="58"/>
        <v>2.3283064365386968E-17</v>
      </c>
      <c r="N74" s="1348">
        <f t="shared" ca="1" si="59"/>
        <v>2.1827872842550284E-17</v>
      </c>
      <c r="O74" s="1348">
        <f t="shared" ca="1" si="60"/>
        <v>2.0372681319713601E-17</v>
      </c>
      <c r="P74" s="1348">
        <f t="shared" ca="1" si="61"/>
        <v>1.8917489796876917E-17</v>
      </c>
      <c r="Q74" s="1348">
        <f t="shared" ca="1" si="62"/>
        <v>1.7462298274040234E-17</v>
      </c>
      <c r="R74" s="1348">
        <f t="shared" ca="1" si="63"/>
        <v>1.600710675120355E-17</v>
      </c>
      <c r="S74" s="1348">
        <f t="shared" ca="1" si="64"/>
        <v>1.4551915228366867E-17</v>
      </c>
      <c r="T74" s="1348">
        <f t="shared" ca="1" si="65"/>
        <v>1.3096723705530181E-17</v>
      </c>
      <c r="U74" s="1348">
        <f t="shared" ca="1" si="66"/>
        <v>1.1641532182693496E-17</v>
      </c>
      <c r="V74" s="1348">
        <f t="shared" ca="1" si="67"/>
        <v>1.0186340659856811E-17</v>
      </c>
      <c r="W74" s="1348">
        <f t="shared" ca="1" si="68"/>
        <v>8.7311491370201261E-18</v>
      </c>
      <c r="X74" s="228"/>
      <c r="Y74" s="228"/>
      <c r="Z74" s="228"/>
      <c r="AA74" s="172"/>
      <c r="AB74" s="172"/>
    </row>
    <row r="75" spans="1:28" ht="12.75" hidden="1" customHeight="1" outlineLevel="1">
      <c r="A75" s="225">
        <v>7</v>
      </c>
      <c r="B75" s="212" t="str">
        <f t="shared" ca="1" si="69"/>
        <v>Depreciated Net Capex 2022-23</v>
      </c>
      <c r="C75" s="1351"/>
      <c r="D75" s="1351"/>
      <c r="E75" s="1351"/>
      <c r="F75" s="1351"/>
      <c r="G75" s="1351"/>
      <c r="H75" s="1351"/>
      <c r="I75" s="1352"/>
      <c r="J75" s="1353">
        <f>J63</f>
        <v>0</v>
      </c>
      <c r="K75" s="1348">
        <f ca="1">IF(J99="n/a",J75,IFERROR(IF((OFFSET($C75,0,$A75))&lt;0,
MIN(0,J75-(OFFSET($C75,0,$A75)/(OFFSET($C70,-$A74,$A75)))),
MAX(0,J75-(OFFSET($C75,0,$A75)/(OFFSET($C70,-$A74,$A75))))),0))</f>
        <v>0</v>
      </c>
      <c r="L75" s="1348">
        <f t="shared" ca="1" si="57"/>
        <v>0</v>
      </c>
      <c r="M75" s="1348">
        <f t="shared" ca="1" si="58"/>
        <v>0</v>
      </c>
      <c r="N75" s="1348">
        <f t="shared" ca="1" si="59"/>
        <v>0</v>
      </c>
      <c r="O75" s="1348">
        <f t="shared" ca="1" si="60"/>
        <v>0</v>
      </c>
      <c r="P75" s="1348">
        <f t="shared" ca="1" si="61"/>
        <v>0</v>
      </c>
      <c r="Q75" s="1348">
        <f t="shared" ca="1" si="62"/>
        <v>0</v>
      </c>
      <c r="R75" s="1348">
        <f t="shared" ca="1" si="63"/>
        <v>0</v>
      </c>
      <c r="S75" s="1348">
        <f t="shared" ca="1" si="64"/>
        <v>0</v>
      </c>
      <c r="T75" s="1348">
        <f t="shared" ca="1" si="65"/>
        <v>0</v>
      </c>
      <c r="U75" s="1348">
        <f t="shared" ca="1" si="66"/>
        <v>0</v>
      </c>
      <c r="V75" s="1348">
        <f t="shared" ca="1" si="67"/>
        <v>0</v>
      </c>
      <c r="W75" s="1348">
        <f t="shared" ca="1" si="68"/>
        <v>0</v>
      </c>
      <c r="X75" s="228"/>
      <c r="Y75" s="228"/>
      <c r="Z75" s="228"/>
      <c r="AA75" s="172"/>
      <c r="AB75" s="172"/>
    </row>
    <row r="76" spans="1:28" ht="12.75" hidden="1" customHeight="1" outlineLevel="1">
      <c r="A76" s="225">
        <v>8</v>
      </c>
      <c r="B76" s="212" t="str">
        <f t="shared" ca="1" si="69"/>
        <v>Depreciated Net Capex 2023-24</v>
      </c>
      <c r="C76" s="1351"/>
      <c r="D76" s="1351"/>
      <c r="E76" s="1351"/>
      <c r="F76" s="1351"/>
      <c r="G76" s="1351"/>
      <c r="H76" s="1351"/>
      <c r="I76" s="1351"/>
      <c r="J76" s="1352"/>
      <c r="K76" s="1353">
        <f>K63</f>
        <v>0</v>
      </c>
      <c r="L76" s="1348">
        <f ca="1">IF(K100="n/a",K76,IFERROR(IF((OFFSET($C76,0,$A76))&lt;0,
MIN(0,K76-(OFFSET($C76,0,$A76)/(OFFSET($C71,-$A75,$A76)))),
MAX(0,K76-(OFFSET($C76,0,$A76)/(OFFSET($C71,-$A75,$A76))))),0))</f>
        <v>0</v>
      </c>
      <c r="M76" s="1348">
        <f t="shared" ca="1" si="58"/>
        <v>0</v>
      </c>
      <c r="N76" s="1348">
        <f t="shared" ca="1" si="59"/>
        <v>0</v>
      </c>
      <c r="O76" s="1348">
        <f t="shared" ca="1" si="60"/>
        <v>0</v>
      </c>
      <c r="P76" s="1348">
        <f t="shared" ca="1" si="61"/>
        <v>0</v>
      </c>
      <c r="Q76" s="1348">
        <f t="shared" ca="1" si="62"/>
        <v>0</v>
      </c>
      <c r="R76" s="1348">
        <f t="shared" ca="1" si="63"/>
        <v>0</v>
      </c>
      <c r="S76" s="1348">
        <f t="shared" ca="1" si="64"/>
        <v>0</v>
      </c>
      <c r="T76" s="1348">
        <f t="shared" ca="1" si="65"/>
        <v>0</v>
      </c>
      <c r="U76" s="1348">
        <f t="shared" ca="1" si="66"/>
        <v>0</v>
      </c>
      <c r="V76" s="1348">
        <f t="shared" ca="1" si="67"/>
        <v>0</v>
      </c>
      <c r="W76" s="1348">
        <f t="shared" ca="1" si="68"/>
        <v>0</v>
      </c>
      <c r="X76" s="228"/>
      <c r="Y76" s="228"/>
      <c r="Z76" s="228"/>
      <c r="AA76" s="172"/>
      <c r="AB76" s="172"/>
    </row>
    <row r="77" spans="1:28" ht="12.75" hidden="1" customHeight="1" outlineLevel="1">
      <c r="A77" s="225">
        <v>9</v>
      </c>
      <c r="B77" s="212" t="str">
        <f t="shared" ca="1" si="69"/>
        <v>Depreciated Net Capex 2024-25</v>
      </c>
      <c r="C77" s="1351"/>
      <c r="D77" s="1351"/>
      <c r="E77" s="1351"/>
      <c r="F77" s="1351"/>
      <c r="G77" s="1351"/>
      <c r="H77" s="1351"/>
      <c r="I77" s="1351"/>
      <c r="J77" s="1351"/>
      <c r="K77" s="1352"/>
      <c r="L77" s="1353">
        <f>L63</f>
        <v>0</v>
      </c>
      <c r="M77" s="1348">
        <f ca="1">IF(L101="n/a",L77,IFERROR(IF((OFFSET($C77,0,$A77))&lt;0,
MIN(0,L77-(OFFSET($C77,0,$A77)/(OFFSET($C72,-$A76,$A77)))),
MAX(0,L77-(OFFSET($C77,0,$A77)/(OFFSET($C72,-$A76,$A77))))),0))</f>
        <v>0</v>
      </c>
      <c r="N77" s="1348">
        <f t="shared" ca="1" si="59"/>
        <v>0</v>
      </c>
      <c r="O77" s="1348">
        <f t="shared" ca="1" si="60"/>
        <v>0</v>
      </c>
      <c r="P77" s="1348">
        <f t="shared" ca="1" si="61"/>
        <v>0</v>
      </c>
      <c r="Q77" s="1348">
        <f t="shared" ca="1" si="62"/>
        <v>0</v>
      </c>
      <c r="R77" s="1348">
        <f t="shared" ca="1" si="63"/>
        <v>0</v>
      </c>
      <c r="S77" s="1348">
        <f t="shared" ca="1" si="64"/>
        <v>0</v>
      </c>
      <c r="T77" s="1348">
        <f t="shared" ca="1" si="65"/>
        <v>0</v>
      </c>
      <c r="U77" s="1348">
        <f t="shared" ca="1" si="66"/>
        <v>0</v>
      </c>
      <c r="V77" s="1348">
        <f t="shared" ca="1" si="67"/>
        <v>0</v>
      </c>
      <c r="W77" s="1348">
        <f t="shared" ca="1" si="68"/>
        <v>0</v>
      </c>
      <c r="X77" s="228"/>
      <c r="Y77" s="228"/>
      <c r="Z77" s="228"/>
      <c r="AA77" s="172"/>
      <c r="AB77" s="172"/>
    </row>
    <row r="78" spans="1:28" ht="12.75" hidden="1" customHeight="1" outlineLevel="1">
      <c r="A78" s="225">
        <v>10</v>
      </c>
      <c r="B78" s="212" t="str">
        <f t="shared" ca="1" si="69"/>
        <v>Depreciated Net Capex 2025-26</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2026-27</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2027-28</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2028-29</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2029-30</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2030-31</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2031-32</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2032-33</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2033-34</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2034-35</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2035-36</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12.241729721257878</v>
      </c>
      <c r="D92" s="1348">
        <f t="shared" ref="D92" ca="1" si="88">IF(C92="n/a","n/a",MAX(0,C92-1))</f>
        <v>11.241729721257878</v>
      </c>
      <c r="E92" s="1348">
        <f t="shared" ref="E92:E93" ca="1" si="89">IF(D92="n/a","n/a",MAX(0,D92-1))</f>
        <v>10.241729721257878</v>
      </c>
      <c r="F92" s="1348">
        <f t="shared" ref="F92:F94" ca="1" si="90">IF(E92="n/a","n/a",MAX(0,E92-1))</f>
        <v>9.2417297212578777</v>
      </c>
      <c r="G92" s="1348">
        <f t="shared" ref="G92:G95" ca="1" si="91">IF(F92="n/a","n/a",MAX(0,F92-1))</f>
        <v>8.2417297212578777</v>
      </c>
      <c r="H92" s="1348">
        <f t="shared" ref="H92:H96" ca="1" si="92">IF(G92="n/a","n/a",MAX(0,G92-1))</f>
        <v>7.2417297212578777</v>
      </c>
      <c r="I92" s="1348">
        <f t="shared" ref="I92:I97" ca="1" si="93">IF(H92="n/a","n/a",MAX(0,H92-1))</f>
        <v>6.2417297212578777</v>
      </c>
      <c r="J92" s="1348">
        <f t="shared" ref="J92:J98" ca="1" si="94">IF(I92="n/a","n/a",MAX(0,I92-1))</f>
        <v>5.2417297212578777</v>
      </c>
      <c r="K92" s="1348">
        <f t="shared" ref="K92:K99" ca="1" si="95">IF(J92="n/a","n/a",MAX(0,J92-1))</f>
        <v>4.2417297212578777</v>
      </c>
      <c r="L92" s="1348">
        <f t="shared" ref="L92:L100" ca="1" si="96">IF(K92="n/a","n/a",MAX(0,K92-1))</f>
        <v>3.2417297212578777</v>
      </c>
      <c r="M92" s="1348">
        <f t="shared" ref="M92:M101" ca="1" si="97">IF(L92="n/a","n/a",MAX(0,L92-1))</f>
        <v>2.2417297212578777</v>
      </c>
      <c r="N92" s="1348">
        <f t="shared" ref="N92:N102" ca="1" si="98">IF(M92="n/a","n/a",MAX(0,M92-1))</f>
        <v>1.2417297212578777</v>
      </c>
      <c r="O92" s="1348">
        <f t="shared" ref="O92:O103" ca="1" si="99">IF(N92="n/a","n/a",MAX(0,N92-1))</f>
        <v>0.24172972125787773</v>
      </c>
      <c r="P92" s="1348">
        <f t="shared" ref="P92:P104" ca="1" si="100">IF(O92="n/a","n/a",MAX(0,O92-1))</f>
        <v>0</v>
      </c>
      <c r="Q92" s="1348">
        <f t="shared" ref="Q92:Q105" ca="1" si="101">IF(P92="n/a","n/a",MAX(0,P92-1))</f>
        <v>0</v>
      </c>
      <c r="R92" s="1348">
        <f t="shared" ref="R92:R106" ca="1" si="102">IF(Q92="n/a","n/a",MAX(0,Q92-1))</f>
        <v>0</v>
      </c>
      <c r="S92" s="1348">
        <f t="shared" ref="S92:S107" ca="1" si="103">IF(R92="n/a","n/a",MAX(0,R92-1))</f>
        <v>0</v>
      </c>
      <c r="T92" s="1348">
        <f t="shared" ref="T92:T108" ca="1" si="104">IF(S92="n/a","n/a",MAX(0,S92-1))</f>
        <v>0</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2016-17</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2017-18</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2018-19</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2019-20</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2020-21</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2021-22</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2022-23</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2023-24</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2024-25</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2025-26</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2026-27</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2027-28</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2028-29</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2029-30</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2030-31</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2031-32</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2032-33</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2033-34</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2034-35</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2035-36</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12.241729721257878</v>
      </c>
      <c r="D114" s="1356">
        <f ca="1">(IF(OR($C64&lt;&gt;"n/a",D64&lt;&gt;"n/a"),IF(SUM(D67:D89)=0,0,IF((SUMPRODUCT(D67:D89,D91:D113)/SUM(D67:D89))&lt;0,1,(SUMPRODUCT(D67:D89,D91:D113)/SUM(D67:D89)))),"n/a"))</f>
        <v>11.449898060065426</v>
      </c>
      <c r="E114" s="1356">
        <f t="shared" ref="E114:W114" ca="1" si="109">(IF(OR($C64&lt;&gt;"n/a",E64&lt;&gt;"n/a"),IF(SUM(E67:E89)=0,0,IF((SUMPRODUCT(E67:E89,E91:E113)/SUM(E67:E89))&lt;0,1,(SUMPRODUCT(E67:E89,E91:E113)/SUM(E67:E89)))),"n/a"))</f>
        <v>10.462045452218335</v>
      </c>
      <c r="F114" s="1356">
        <f t="shared" ca="1" si="109"/>
        <v>9.6244855457465377</v>
      </c>
      <c r="G114" s="1356">
        <f t="shared" ca="1" si="109"/>
        <v>8.776186495225577</v>
      </c>
      <c r="H114" s="1356">
        <f t="shared" ca="1" si="109"/>
        <v>8.2487501201281077</v>
      </c>
      <c r="I114" s="1356">
        <f t="shared" ca="1" si="109"/>
        <v>7.3370276981710152</v>
      </c>
      <c r="J114" s="1356">
        <f t="shared" ca="1" si="109"/>
        <v>6.4564946072828331</v>
      </c>
      <c r="K114" s="1356">
        <f t="shared" ca="1" si="109"/>
        <v>5.627226564140714</v>
      </c>
      <c r="L114" s="1356">
        <f t="shared" ca="1" si="109"/>
        <v>4.891235435402888</v>
      </c>
      <c r="M114" s="1356">
        <f t="shared" ca="1" si="109"/>
        <v>4.353690905036566</v>
      </c>
      <c r="N114" s="1356">
        <f t="shared" ca="1" si="109"/>
        <v>4.373068401827684</v>
      </c>
      <c r="O114" s="1356">
        <f t="shared" ca="1" si="109"/>
        <v>7.4779398538389321</v>
      </c>
      <c r="P114" s="1356">
        <f t="shared" ca="1" si="109"/>
        <v>10.430547748998924</v>
      </c>
      <c r="Q114" s="1356">
        <f t="shared" ca="1" si="109"/>
        <v>9.461789039052352</v>
      </c>
      <c r="R114" s="1356">
        <f t="shared" ca="1" si="109"/>
        <v>8.5007017501725315</v>
      </c>
      <c r="S114" s="1356">
        <f t="shared" ca="1" si="109"/>
        <v>7.5505069801549141</v>
      </c>
      <c r="T114" s="1356">
        <f t="shared" ca="1" si="109"/>
        <v>6.616522605313329</v>
      </c>
      <c r="U114" s="1356">
        <f t="shared" ca="1" si="109"/>
        <v>5.7082010252026905</v>
      </c>
      <c r="V114" s="1356">
        <f t="shared" ca="1" si="109"/>
        <v>4.844116704304283</v>
      </c>
      <c r="W114" s="1356">
        <f t="shared" ca="1" si="109"/>
        <v>4.0664693479645662</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7.9006287693868041E-2</v>
      </c>
      <c r="D117" s="1366">
        <f>'Capital base remaining lives'!D122</f>
        <v>0</v>
      </c>
      <c r="E117" s="1366">
        <f>'Capital base remaining lives'!E122</f>
        <v>0</v>
      </c>
      <c r="F117" s="1366">
        <f>'Capital base remaining lives'!F122</f>
        <v>0</v>
      </c>
      <c r="G117" s="1366">
        <f>'Capital base remaining lives'!G122</f>
        <v>0</v>
      </c>
      <c r="H117" s="1366">
        <f>'Capital base remaining lives'!H122</f>
        <v>0</v>
      </c>
      <c r="I117" s="1366">
        <f>'Capital base remaining lives'!I122</f>
        <v>0</v>
      </c>
      <c r="J117" s="1366">
        <f>'Capital base remaining lives'!J122</f>
        <v>0</v>
      </c>
      <c r="K117" s="1366">
        <f>'Capital base remaining lives'!K122</f>
        <v>0</v>
      </c>
      <c r="L117" s="1366">
        <f>'Capital base remaining lives'!L122</f>
        <v>0</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14.887846193002515</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7.9006287693868041E-2</v>
      </c>
      <c r="D122" s="1348">
        <f ca="1">IF(C146="n/a",C122,IFERROR(IF((OFFSET($C122,0,$A122))&lt;0,
MIN(0,C122-(OFFSET($C122,0,$A122)/(OFFSET($C117,-$A121,$A122)))),
MAX(0,C122-(OFFSET($C122,0,$A122)/(OFFSET($C117,-$A121,$A122))))),0))</f>
        <v>7.3699523594504754E-2</v>
      </c>
      <c r="E122" s="1348">
        <f t="shared" ref="E122:W122" ca="1" si="129">IF(D146="n/a",D122,IFERROR(IF((OFFSET($C122,0,$A122))&lt;0,
MIN(0,D122-(OFFSET($C122,0,$A122)/(OFFSET($C117,-$A121,$A122)))),
MAX(0,D122-(OFFSET($C122,0,$A122)/(OFFSET($C117,-$A121,$A122))))),0))</f>
        <v>6.8392759495141467E-2</v>
      </c>
      <c r="F122" s="1348">
        <f t="shared" ca="1" si="129"/>
        <v>6.308599539577818E-2</v>
      </c>
      <c r="G122" s="1348">
        <f t="shared" ca="1" si="129"/>
        <v>5.77792312964149E-2</v>
      </c>
      <c r="H122" s="1348">
        <f t="shared" ca="1" si="129"/>
        <v>5.247246719705162E-2</v>
      </c>
      <c r="I122" s="1348">
        <f t="shared" ca="1" si="129"/>
        <v>4.716570309768834E-2</v>
      </c>
      <c r="J122" s="1348">
        <f t="shared" ca="1" si="129"/>
        <v>4.185893899832506E-2</v>
      </c>
      <c r="K122" s="1348">
        <f t="shared" ca="1" si="129"/>
        <v>3.655217489896178E-2</v>
      </c>
      <c r="L122" s="1348">
        <f t="shared" ca="1" si="129"/>
        <v>3.12454107995985E-2</v>
      </c>
      <c r="M122" s="1348">
        <f t="shared" ca="1" si="129"/>
        <v>2.593864670023522E-2</v>
      </c>
      <c r="N122" s="1348">
        <f t="shared" ca="1" si="129"/>
        <v>2.063188260087194E-2</v>
      </c>
      <c r="O122" s="1348">
        <f t="shared" ca="1" si="129"/>
        <v>1.532511850150866E-2</v>
      </c>
      <c r="P122" s="1348">
        <f t="shared" ca="1" si="129"/>
        <v>1.001835440214538E-2</v>
      </c>
      <c r="Q122" s="1348">
        <f t="shared" ca="1" si="129"/>
        <v>4.7115903027820987E-3</v>
      </c>
      <c r="R122" s="1348">
        <f t="shared" ca="1" si="129"/>
        <v>0</v>
      </c>
      <c r="S122" s="1348">
        <f t="shared" ca="1" si="129"/>
        <v>0</v>
      </c>
      <c r="T122" s="1348">
        <f t="shared" ca="1" si="129"/>
        <v>0</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2016-17</v>
      </c>
      <c r="C123" s="1349"/>
      <c r="D123" s="1350">
        <f>D117</f>
        <v>0</v>
      </c>
      <c r="E123" s="1348">
        <f ca="1">IF(D147="n/a",D123,IFERROR(IF((OFFSET($C123,0,$A123))&lt;0,
MIN(0,D123-(OFFSET($C123,0,$A123)/(OFFSET($C118,-$A122,$A123)))),
MAX(0,D123-(OFFSET($C123,0,$A123)/(OFFSET($C118,-$A122,$A123))))),0))</f>
        <v>0</v>
      </c>
      <c r="F123" s="1348">
        <f t="shared" ref="F123:W123" ca="1" si="131">IF(E147="n/a",E123,IFERROR(IF((OFFSET($C123,0,$A123))&lt;0,
MIN(0,E123-(OFFSET($C123,0,$A123)/(OFFSET($C118,-$A122,$A123)))),
MAX(0,E123-(OFFSET($C123,0,$A123)/(OFFSET($C118,-$A122,$A123))))),0))</f>
        <v>0</v>
      </c>
      <c r="G123" s="1348">
        <f t="shared" ca="1" si="131"/>
        <v>0</v>
      </c>
      <c r="H123" s="1348">
        <f t="shared" ca="1" si="131"/>
        <v>0</v>
      </c>
      <c r="I123" s="1348">
        <f t="shared" ca="1" si="131"/>
        <v>0</v>
      </c>
      <c r="J123" s="1348">
        <f t="shared" ca="1" si="131"/>
        <v>0</v>
      </c>
      <c r="K123" s="1348">
        <f t="shared" ca="1" si="131"/>
        <v>0</v>
      </c>
      <c r="L123" s="1348">
        <f t="shared" ca="1" si="131"/>
        <v>0</v>
      </c>
      <c r="M123" s="1348">
        <f t="shared" ca="1" si="131"/>
        <v>0</v>
      </c>
      <c r="N123" s="1348">
        <f t="shared" ca="1" si="131"/>
        <v>0</v>
      </c>
      <c r="O123" s="1348">
        <f t="shared" ca="1" si="131"/>
        <v>0</v>
      </c>
      <c r="P123" s="1348">
        <f t="shared" ca="1" si="131"/>
        <v>0</v>
      </c>
      <c r="Q123" s="1348">
        <f t="shared" ca="1" si="131"/>
        <v>0</v>
      </c>
      <c r="R123" s="1348">
        <f t="shared" ca="1" si="131"/>
        <v>0</v>
      </c>
      <c r="S123" s="1348">
        <f t="shared" ca="1" si="131"/>
        <v>0</v>
      </c>
      <c r="T123" s="1348">
        <f t="shared" ca="1" si="131"/>
        <v>0</v>
      </c>
      <c r="U123" s="1348">
        <f t="shared" ca="1" si="131"/>
        <v>0</v>
      </c>
      <c r="V123" s="1348">
        <f t="shared" ca="1" si="131"/>
        <v>0</v>
      </c>
      <c r="W123" s="1348">
        <f t="shared" ca="1" si="131"/>
        <v>0</v>
      </c>
      <c r="X123" s="172"/>
      <c r="Y123" s="172"/>
      <c r="Z123" s="172"/>
      <c r="AA123" s="172"/>
      <c r="AB123" s="172"/>
    </row>
    <row r="124" spans="1:28" ht="12.75" hidden="1" customHeight="1" outlineLevel="1">
      <c r="A124" s="225">
        <v>2</v>
      </c>
      <c r="B124" s="212" t="str">
        <f t="shared" ca="1" si="130"/>
        <v>Depreciated Net Capex 2017-18</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2018-19</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2019-20</v>
      </c>
      <c r="C126" s="1351"/>
      <c r="D126" s="1351"/>
      <c r="E126" s="1351"/>
      <c r="F126" s="1352"/>
      <c r="G126" s="1353">
        <f>G117</f>
        <v>0</v>
      </c>
      <c r="H126" s="1348">
        <f ca="1">IF(G150="n/a",G126,IFERROR(IF((OFFSET($C126,0,$A126))&lt;0,
MIN(0,G126-(OFFSET($C126,0,$A126)/(OFFSET($C121,-$A125,$A126)))),
MAX(0,G126-(OFFSET($C126,0,$A126)/(OFFSET($C121,-$A125,$A126))))),0))</f>
        <v>0</v>
      </c>
      <c r="I126" s="1348">
        <f t="shared" ca="1" si="134"/>
        <v>0</v>
      </c>
      <c r="J126" s="1348">
        <f t="shared" ca="1" si="135"/>
        <v>0</v>
      </c>
      <c r="K126" s="1348">
        <f t="shared" ca="1" si="136"/>
        <v>0</v>
      </c>
      <c r="L126" s="1348">
        <f t="shared" ca="1" si="137"/>
        <v>0</v>
      </c>
      <c r="M126" s="1348">
        <f t="shared" ca="1" si="138"/>
        <v>0</v>
      </c>
      <c r="N126" s="1348">
        <f t="shared" ca="1" si="139"/>
        <v>0</v>
      </c>
      <c r="O126" s="1348">
        <f t="shared" ca="1" si="140"/>
        <v>0</v>
      </c>
      <c r="P126" s="1348">
        <f t="shared" ca="1" si="141"/>
        <v>0</v>
      </c>
      <c r="Q126" s="1348">
        <f t="shared" ca="1" si="142"/>
        <v>0</v>
      </c>
      <c r="R126" s="1348">
        <f t="shared" ca="1" si="143"/>
        <v>0</v>
      </c>
      <c r="S126" s="1348">
        <f t="shared" ca="1" si="144"/>
        <v>0</v>
      </c>
      <c r="T126" s="1348">
        <f t="shared" ca="1" si="145"/>
        <v>0</v>
      </c>
      <c r="U126" s="1348">
        <f t="shared" ca="1" si="146"/>
        <v>0</v>
      </c>
      <c r="V126" s="1348">
        <f t="shared" ca="1" si="147"/>
        <v>0</v>
      </c>
      <c r="W126" s="1348">
        <f t="shared" ca="1" si="148"/>
        <v>0</v>
      </c>
      <c r="X126" s="228"/>
      <c r="Y126" s="228"/>
      <c r="Z126" s="228"/>
      <c r="AA126" s="172"/>
      <c r="AB126" s="172"/>
    </row>
    <row r="127" spans="1:28" ht="12.75" hidden="1" customHeight="1" outlineLevel="1">
      <c r="A127" s="225">
        <v>5</v>
      </c>
      <c r="B127" s="212" t="str">
        <f t="shared" ca="1" si="130"/>
        <v>Depreciated Net Capex 2020-21</v>
      </c>
      <c r="C127" s="1351"/>
      <c r="D127" s="1351"/>
      <c r="E127" s="1351"/>
      <c r="F127" s="1351"/>
      <c r="G127" s="1352"/>
      <c r="H127" s="1353">
        <f>H117</f>
        <v>0</v>
      </c>
      <c r="I127" s="1348">
        <f ca="1">IF(H151="n/a",H127,IFERROR(IF((OFFSET($C127,0,$A127))&lt;0,
MIN(0,H127-(OFFSET($C127,0,$A127)/(OFFSET($C122,-$A126,$A127)))),
MAX(0,H127-(OFFSET($C127,0,$A127)/(OFFSET($C122,-$A126,$A127))))),0))</f>
        <v>0</v>
      </c>
      <c r="J127" s="1348">
        <f t="shared" ca="1" si="135"/>
        <v>0</v>
      </c>
      <c r="K127" s="1348">
        <f t="shared" ca="1" si="136"/>
        <v>0</v>
      </c>
      <c r="L127" s="1348">
        <f t="shared" ca="1" si="137"/>
        <v>0</v>
      </c>
      <c r="M127" s="1348">
        <f t="shared" ca="1" si="138"/>
        <v>0</v>
      </c>
      <c r="N127" s="1348">
        <f t="shared" ca="1" si="139"/>
        <v>0</v>
      </c>
      <c r="O127" s="1348">
        <f t="shared" ca="1" si="140"/>
        <v>0</v>
      </c>
      <c r="P127" s="1348">
        <f t="shared" ca="1" si="141"/>
        <v>0</v>
      </c>
      <c r="Q127" s="1348">
        <f t="shared" ca="1" si="142"/>
        <v>0</v>
      </c>
      <c r="R127" s="1348">
        <f t="shared" ca="1" si="143"/>
        <v>0</v>
      </c>
      <c r="S127" s="1348">
        <f t="shared" ca="1" si="144"/>
        <v>0</v>
      </c>
      <c r="T127" s="1348">
        <f t="shared" ca="1" si="145"/>
        <v>0</v>
      </c>
      <c r="U127" s="1348">
        <f t="shared" ca="1" si="146"/>
        <v>0</v>
      </c>
      <c r="V127" s="1348">
        <f t="shared" ca="1" si="147"/>
        <v>0</v>
      </c>
      <c r="W127" s="1348">
        <f t="shared" ca="1" si="148"/>
        <v>0</v>
      </c>
      <c r="X127" s="228"/>
      <c r="Y127" s="228"/>
      <c r="Z127" s="228"/>
      <c r="AA127" s="172"/>
      <c r="AB127" s="172"/>
    </row>
    <row r="128" spans="1:28" ht="12.75" hidden="1" customHeight="1" outlineLevel="1">
      <c r="A128" s="225">
        <v>6</v>
      </c>
      <c r="B128" s="212" t="str">
        <f t="shared" ca="1" si="130"/>
        <v>Depreciated Net Capex 2021-22</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2022-23</v>
      </c>
      <c r="C129" s="1351"/>
      <c r="D129" s="1351"/>
      <c r="E129" s="1351"/>
      <c r="F129" s="1351"/>
      <c r="G129" s="1351"/>
      <c r="H129" s="1351"/>
      <c r="I129" s="1352"/>
      <c r="J129" s="1353">
        <f>J117</f>
        <v>0</v>
      </c>
      <c r="K129" s="1348">
        <f ca="1">IF(J153="n/a",J129,IFERROR(IF((OFFSET($C129,0,$A129))&lt;0,
MIN(0,J129-(OFFSET($C129,0,$A129)/(OFFSET($C124,-$A128,$A129)))),
MAX(0,J129-(OFFSET($C129,0,$A129)/(OFFSET($C124,-$A128,$A129))))),0))</f>
        <v>0</v>
      </c>
      <c r="L129" s="1348">
        <f t="shared" ca="1" si="137"/>
        <v>0</v>
      </c>
      <c r="M129" s="1348">
        <f t="shared" ca="1" si="138"/>
        <v>0</v>
      </c>
      <c r="N129" s="1348">
        <f t="shared" ca="1" si="139"/>
        <v>0</v>
      </c>
      <c r="O129" s="1348">
        <f t="shared" ca="1" si="140"/>
        <v>0</v>
      </c>
      <c r="P129" s="1348">
        <f t="shared" ca="1" si="141"/>
        <v>0</v>
      </c>
      <c r="Q129" s="1348">
        <f t="shared" ca="1" si="142"/>
        <v>0</v>
      </c>
      <c r="R129" s="1348">
        <f t="shared" ca="1" si="143"/>
        <v>0</v>
      </c>
      <c r="S129" s="1348">
        <f t="shared" ca="1" si="144"/>
        <v>0</v>
      </c>
      <c r="T129" s="1348">
        <f t="shared" ca="1" si="145"/>
        <v>0</v>
      </c>
      <c r="U129" s="1348">
        <f t="shared" ca="1" si="146"/>
        <v>0</v>
      </c>
      <c r="V129" s="1348">
        <f t="shared" ca="1" si="147"/>
        <v>0</v>
      </c>
      <c r="W129" s="1348">
        <f t="shared" ca="1" si="148"/>
        <v>0</v>
      </c>
      <c r="X129" s="228"/>
      <c r="Y129" s="228"/>
      <c r="Z129" s="228"/>
      <c r="AA129" s="172"/>
      <c r="AB129" s="172"/>
    </row>
    <row r="130" spans="1:28" ht="12.75" hidden="1" customHeight="1" outlineLevel="1">
      <c r="A130" s="225">
        <v>8</v>
      </c>
      <c r="B130" s="212" t="str">
        <f t="shared" ca="1" si="130"/>
        <v>Depreciated Net Capex 2023-24</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2024-25</v>
      </c>
      <c r="C131" s="1351"/>
      <c r="D131" s="1351"/>
      <c r="E131" s="1351"/>
      <c r="F131" s="1351"/>
      <c r="G131" s="1351"/>
      <c r="H131" s="1351"/>
      <c r="I131" s="1351"/>
      <c r="J131" s="1351"/>
      <c r="K131" s="1352"/>
      <c r="L131" s="1353">
        <f>L117</f>
        <v>0</v>
      </c>
      <c r="M131" s="1348">
        <f ca="1">IF(L155="n/a",L131,IFERROR(IF((OFFSET($C131,0,$A131))&lt;0,
MIN(0,L131-(OFFSET($C131,0,$A131)/(OFFSET($C126,-$A130,$A131)))),
MAX(0,L131-(OFFSET($C131,0,$A131)/(OFFSET($C126,-$A130,$A131))))),0))</f>
        <v>0</v>
      </c>
      <c r="N131" s="1348">
        <f t="shared" ca="1" si="139"/>
        <v>0</v>
      </c>
      <c r="O131" s="1348">
        <f t="shared" ca="1" si="140"/>
        <v>0</v>
      </c>
      <c r="P131" s="1348">
        <f t="shared" ca="1" si="141"/>
        <v>0</v>
      </c>
      <c r="Q131" s="1348">
        <f t="shared" ca="1" si="142"/>
        <v>0</v>
      </c>
      <c r="R131" s="1348">
        <f t="shared" ca="1" si="143"/>
        <v>0</v>
      </c>
      <c r="S131" s="1348">
        <f t="shared" ca="1" si="144"/>
        <v>0</v>
      </c>
      <c r="T131" s="1348">
        <f t="shared" ca="1" si="145"/>
        <v>0</v>
      </c>
      <c r="U131" s="1348">
        <f t="shared" ca="1" si="146"/>
        <v>0</v>
      </c>
      <c r="V131" s="1348">
        <f t="shared" ca="1" si="147"/>
        <v>0</v>
      </c>
      <c r="W131" s="1348">
        <f t="shared" ca="1" si="148"/>
        <v>0</v>
      </c>
      <c r="X131" s="228"/>
      <c r="Y131" s="228"/>
      <c r="Z131" s="228"/>
      <c r="AA131" s="172"/>
      <c r="AB131" s="172"/>
    </row>
    <row r="132" spans="1:28" ht="12.75" hidden="1" customHeight="1" outlineLevel="1">
      <c r="A132" s="225">
        <v>10</v>
      </c>
      <c r="B132" s="212" t="str">
        <f t="shared" ca="1" si="130"/>
        <v>Depreciated Net Capex 2025-26</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2026-27</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2027-28</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2028-29</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2029-30</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2030-31</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2031-32</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2032-33</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2033-34</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2034-35</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2035-36</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14.887846193002515</v>
      </c>
      <c r="D146" s="1348">
        <f t="shared" ref="D146" ca="1" si="167">IF(C146="n/a","n/a",MAX(0,C146-1))</f>
        <v>13.887846193002515</v>
      </c>
      <c r="E146" s="1348">
        <f t="shared" ref="E146:E147" ca="1" si="168">IF(D146="n/a","n/a",MAX(0,D146-1))</f>
        <v>12.887846193002515</v>
      </c>
      <c r="F146" s="1348">
        <f t="shared" ref="F146:F148" ca="1" si="169">IF(E146="n/a","n/a",MAX(0,E146-1))</f>
        <v>11.887846193002515</v>
      </c>
      <c r="G146" s="1348">
        <f t="shared" ref="G146:G149" ca="1" si="170">IF(F146="n/a","n/a",MAX(0,F146-1))</f>
        <v>10.887846193002515</v>
      </c>
      <c r="H146" s="1348">
        <f t="shared" ref="H146:H150" ca="1" si="171">IF(G146="n/a","n/a",MAX(0,G146-1))</f>
        <v>9.887846193002515</v>
      </c>
      <c r="I146" s="1348">
        <f t="shared" ref="I146:I151" ca="1" si="172">IF(H146="n/a","n/a",MAX(0,H146-1))</f>
        <v>8.887846193002515</v>
      </c>
      <c r="J146" s="1348">
        <f t="shared" ref="J146:J152" ca="1" si="173">IF(I146="n/a","n/a",MAX(0,I146-1))</f>
        <v>7.887846193002515</v>
      </c>
      <c r="K146" s="1348">
        <f t="shared" ref="K146:K153" ca="1" si="174">IF(J146="n/a","n/a",MAX(0,J146-1))</f>
        <v>6.887846193002515</v>
      </c>
      <c r="L146" s="1348">
        <f t="shared" ref="L146:L154" ca="1" si="175">IF(K146="n/a","n/a",MAX(0,K146-1))</f>
        <v>5.887846193002515</v>
      </c>
      <c r="M146" s="1348">
        <f t="shared" ref="M146:M155" ca="1" si="176">IF(L146="n/a","n/a",MAX(0,L146-1))</f>
        <v>4.887846193002515</v>
      </c>
      <c r="N146" s="1348">
        <f t="shared" ref="N146:N156" ca="1" si="177">IF(M146="n/a","n/a",MAX(0,M146-1))</f>
        <v>3.887846193002515</v>
      </c>
      <c r="O146" s="1348">
        <f t="shared" ref="O146:O157" ca="1" si="178">IF(N146="n/a","n/a",MAX(0,N146-1))</f>
        <v>2.887846193002515</v>
      </c>
      <c r="P146" s="1348">
        <f t="shared" ref="P146:P158" ca="1" si="179">IF(O146="n/a","n/a",MAX(0,O146-1))</f>
        <v>1.887846193002515</v>
      </c>
      <c r="Q146" s="1348">
        <f t="shared" ref="Q146:Q159" ca="1" si="180">IF(P146="n/a","n/a",MAX(0,P146-1))</f>
        <v>0.88784619300251499</v>
      </c>
      <c r="R146" s="1348">
        <f t="shared" ref="R146:R160" ca="1" si="181">IF(Q146="n/a","n/a",MAX(0,Q146-1))</f>
        <v>0</v>
      </c>
      <c r="S146" s="1348">
        <f t="shared" ref="S146:S161" ca="1" si="182">IF(R146="n/a","n/a",MAX(0,R146-1))</f>
        <v>0</v>
      </c>
      <c r="T146" s="1348">
        <f t="shared" ref="T146:T162" ca="1" si="183">IF(S146="n/a","n/a",MAX(0,S146-1))</f>
        <v>0</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2016-17</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2017-18</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2018-19</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2019-20</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2020-21</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2021-22</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2022-23</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2023-24</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2024-25</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2025-26</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2026-27</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2027-28</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2028-29</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2029-30</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2030-31</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2031-32</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2032-33</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2033-34</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2034-35</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2035-36</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14.887846193002515</v>
      </c>
      <c r="D168" s="1356">
        <f ca="1">(IF(OR($C118&lt;&gt;"n/a",D118&lt;&gt;"n/a"),IF(SUM(D121:D143)=0,0,IF((SUMPRODUCT(D121:D143,D145:D167)/SUM(D121:D143))&lt;0,1,(SUMPRODUCT(D121:D143,D145:D167)/SUM(D121:D143)))),"n/a"))</f>
        <v>13.887846193002517</v>
      </c>
      <c r="E168" s="1356">
        <f t="shared" ref="E168:W168" ca="1" si="188">(IF(OR($C118&lt;&gt;"n/a",E118&lt;&gt;"n/a"),IF(SUM(E121:E143)=0,0,IF((SUMPRODUCT(E121:E143,E145:E167)/SUM(E121:E143))&lt;0,1,(SUMPRODUCT(E121:E143,E145:E167)/SUM(E121:E143)))),"n/a"))</f>
        <v>12.887846193002515</v>
      </c>
      <c r="F168" s="1356">
        <f t="shared" ca="1" si="188"/>
        <v>11.887846193002515</v>
      </c>
      <c r="G168" s="1356">
        <f t="shared" ca="1" si="188"/>
        <v>10.887846193002515</v>
      </c>
      <c r="H168" s="1356">
        <f t="shared" ca="1" si="188"/>
        <v>9.887846193002515</v>
      </c>
      <c r="I168" s="1356">
        <f t="shared" ca="1" si="188"/>
        <v>8.887846193002515</v>
      </c>
      <c r="J168" s="1356">
        <f t="shared" ca="1" si="188"/>
        <v>7.887846193002515</v>
      </c>
      <c r="K168" s="1356">
        <f t="shared" ca="1" si="188"/>
        <v>6.887846193002515</v>
      </c>
      <c r="L168" s="1356">
        <f t="shared" ca="1" si="188"/>
        <v>5.887846193002515</v>
      </c>
      <c r="M168" s="1356">
        <f t="shared" ca="1" si="188"/>
        <v>4.887846193002515</v>
      </c>
      <c r="N168" s="1356">
        <f t="shared" ca="1" si="188"/>
        <v>3.887846193002515</v>
      </c>
      <c r="O168" s="1356">
        <f t="shared" ca="1" si="188"/>
        <v>2.887846193002515</v>
      </c>
      <c r="P168" s="1356">
        <f t="shared" ca="1" si="188"/>
        <v>1.8878461930025148</v>
      </c>
      <c r="Q168" s="1356">
        <f t="shared" ca="1" si="188"/>
        <v>0.88784619300251499</v>
      </c>
      <c r="R168" s="1356">
        <f t="shared" ca="1" si="188"/>
        <v>0</v>
      </c>
      <c r="S168" s="1356">
        <f t="shared" ca="1" si="188"/>
        <v>0</v>
      </c>
      <c r="T168" s="1356">
        <f t="shared" ca="1" si="188"/>
        <v>0</v>
      </c>
      <c r="U168" s="1356">
        <f t="shared" ca="1" si="188"/>
        <v>0</v>
      </c>
      <c r="V168" s="1356">
        <f t="shared" ca="1" si="188"/>
        <v>0</v>
      </c>
      <c r="W168" s="1356">
        <f t="shared" ca="1" si="188"/>
        <v>0</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2.0957609108168089</v>
      </c>
      <c r="D171" s="1366">
        <f>'Capital base remaining lives'!D176</f>
        <v>0</v>
      </c>
      <c r="E171" s="1366">
        <f>'Capital base remaining lives'!E176</f>
        <v>0</v>
      </c>
      <c r="F171" s="1366">
        <f>'Capital base remaining lives'!F176</f>
        <v>0</v>
      </c>
      <c r="G171" s="1366">
        <f>'Capital base remaining lives'!G176</f>
        <v>0</v>
      </c>
      <c r="H171" s="1366">
        <f>'Capital base remaining lives'!H176</f>
        <v>0</v>
      </c>
      <c r="I171" s="1366">
        <f>'Capital base remaining lives'!I176</f>
        <v>0.41405203000000002</v>
      </c>
      <c r="J171" s="1366">
        <f>'Capital base remaining lives'!J176</f>
        <v>0</v>
      </c>
      <c r="K171" s="1366">
        <f>'Capital base remaining lives'!K176</f>
        <v>0</v>
      </c>
      <c r="L171" s="1366">
        <f>'Capital base remaining lives'!L176</f>
        <v>0</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12.613456333398785</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2.0957609108168089</v>
      </c>
      <c r="D176" s="1348">
        <f ca="1">IF(C200="n/a",C176,IFERROR(IF((OFFSET($C176,0,$A176))&lt;0,
MIN(0,C176-(OFFSET($C176,0,$A176)/(OFFSET($C171,-$A175,$A176)))),
MAX(0,C176-(OFFSET($C176,0,$A176)/(OFFSET($C171,-$A175,$A176))))),0))</f>
        <v>1.9296081248221004</v>
      </c>
      <c r="E176" s="1348">
        <f t="shared" ref="E176" ca="1" si="208">IF(D200="n/a",D176,IFERROR(IF((OFFSET($C176,0,$A176))&lt;0,
MIN(0,D176-(OFFSET($C176,0,$A176)/(OFFSET($C171,-$A175,$A176)))),
MAX(0,D176-(OFFSET($C176,0,$A176)/(OFFSET($C171,-$A175,$A176))))),0))</f>
        <v>1.7634553388273919</v>
      </c>
      <c r="F176" s="1348">
        <f t="shared" ref="F176:F177" ca="1" si="209">IF(E200="n/a",E176,IFERROR(IF((OFFSET($C176,0,$A176))&lt;0,
MIN(0,E176-(OFFSET($C176,0,$A176)/(OFFSET($C171,-$A175,$A176)))),
MAX(0,E176-(OFFSET($C176,0,$A176)/(OFFSET($C171,-$A175,$A176))))),0))</f>
        <v>1.5973025528326834</v>
      </c>
      <c r="G176" s="1348">
        <f t="shared" ref="G176:G178" ca="1" si="210">IF(F200="n/a",F176,IFERROR(IF((OFFSET($C176,0,$A176))&lt;0,
MIN(0,F176-(OFFSET($C176,0,$A176)/(OFFSET($C171,-$A175,$A176)))),
MAX(0,F176-(OFFSET($C176,0,$A176)/(OFFSET($C171,-$A175,$A176))))),0))</f>
        <v>1.4311497668379749</v>
      </c>
      <c r="H176" s="1348">
        <f t="shared" ref="H176:H179" ca="1" si="211">IF(G200="n/a",G176,IFERROR(IF((OFFSET($C176,0,$A176))&lt;0,
MIN(0,G176-(OFFSET($C176,0,$A176)/(OFFSET($C171,-$A175,$A176)))),
MAX(0,G176-(OFFSET($C176,0,$A176)/(OFFSET($C171,-$A175,$A176))))),0))</f>
        <v>1.2649969808432664</v>
      </c>
      <c r="I176" s="1348">
        <f t="shared" ref="I176:I180" ca="1" si="212">IF(H200="n/a",H176,IFERROR(IF((OFFSET($C176,0,$A176))&lt;0,
MIN(0,H176-(OFFSET($C176,0,$A176)/(OFFSET($C171,-$A175,$A176)))),
MAX(0,H176-(OFFSET($C176,0,$A176)/(OFFSET($C171,-$A175,$A176))))),0))</f>
        <v>1.0988441948485579</v>
      </c>
      <c r="J176" s="1348">
        <f t="shared" ref="J176:J181" ca="1" si="213">IF(I200="n/a",I176,IFERROR(IF((OFFSET($C176,0,$A176))&lt;0,
MIN(0,I176-(OFFSET($C176,0,$A176)/(OFFSET($C171,-$A175,$A176)))),
MAX(0,I176-(OFFSET($C176,0,$A176)/(OFFSET($C171,-$A175,$A176))))),0))</f>
        <v>0.93269140885384938</v>
      </c>
      <c r="K176" s="1348">
        <f t="shared" ref="K176:K182" ca="1" si="214">IF(J200="n/a",J176,IFERROR(IF((OFFSET($C176,0,$A176))&lt;0,
MIN(0,J176-(OFFSET($C176,0,$A176)/(OFFSET($C171,-$A175,$A176)))),
MAX(0,J176-(OFFSET($C176,0,$A176)/(OFFSET($C171,-$A175,$A176))))),0))</f>
        <v>0.76653862285914087</v>
      </c>
      <c r="L176" s="1348">
        <f t="shared" ref="L176:L183" ca="1" si="215">IF(K200="n/a",K176,IFERROR(IF((OFFSET($C176,0,$A176))&lt;0,
MIN(0,K176-(OFFSET($C176,0,$A176)/(OFFSET($C171,-$A175,$A176)))),
MAX(0,K176-(OFFSET($C176,0,$A176)/(OFFSET($C171,-$A175,$A176))))),0))</f>
        <v>0.60038583686443237</v>
      </c>
      <c r="M176" s="1348">
        <f t="shared" ref="M176:M184" ca="1" si="216">IF(L200="n/a",L176,IFERROR(IF((OFFSET($C176,0,$A176))&lt;0,
MIN(0,L176-(OFFSET($C176,0,$A176)/(OFFSET($C171,-$A175,$A176)))),
MAX(0,L176-(OFFSET($C176,0,$A176)/(OFFSET($C171,-$A175,$A176))))),0))</f>
        <v>0.43423305086972386</v>
      </c>
      <c r="N176" s="1348">
        <f t="shared" ref="N176:N185" ca="1" si="217">IF(M200="n/a",M176,IFERROR(IF((OFFSET($C176,0,$A176))&lt;0,
MIN(0,M176-(OFFSET($C176,0,$A176)/(OFFSET($C171,-$A175,$A176)))),
MAX(0,M176-(OFFSET($C176,0,$A176)/(OFFSET($C171,-$A175,$A176))))),0))</f>
        <v>0.26808026487501535</v>
      </c>
      <c r="O176" s="1348">
        <f t="shared" ref="O176:O186" ca="1" si="218">IF(N200="n/a",N176,IFERROR(IF((OFFSET($C176,0,$A176))&lt;0,
MIN(0,N176-(OFFSET($C176,0,$A176)/(OFFSET($C171,-$A175,$A176)))),
MAX(0,N176-(OFFSET($C176,0,$A176)/(OFFSET($C171,-$A175,$A176))))),0))</f>
        <v>0.10192747888030684</v>
      </c>
      <c r="P176" s="1348">
        <f t="shared" ref="P176:P187" ca="1" si="219">IF(O200="n/a",O176,IFERROR(IF((OFFSET($C176,0,$A176))&lt;0,
MIN(0,O176-(OFFSET($C176,0,$A176)/(OFFSET($C171,-$A175,$A176)))),
MAX(0,O176-(OFFSET($C176,0,$A176)/(OFFSET($C171,-$A175,$A176))))),0))</f>
        <v>0</v>
      </c>
      <c r="Q176" s="1348">
        <f t="shared" ref="Q176:Q188" ca="1" si="220">IF(P200="n/a",P176,IFERROR(IF((OFFSET($C176,0,$A176))&lt;0,
MIN(0,P176-(OFFSET($C176,0,$A176)/(OFFSET($C171,-$A175,$A176)))),
MAX(0,P176-(OFFSET($C176,0,$A176)/(OFFSET($C171,-$A175,$A176))))),0))</f>
        <v>0</v>
      </c>
      <c r="R176" s="1348">
        <f t="shared" ref="R176:R189" ca="1" si="221">IF(Q200="n/a",Q176,IFERROR(IF((OFFSET($C176,0,$A176))&lt;0,
MIN(0,Q176-(OFFSET($C176,0,$A176)/(OFFSET($C171,-$A175,$A176)))),
MAX(0,Q176-(OFFSET($C176,0,$A176)/(OFFSET($C171,-$A175,$A176))))),0))</f>
        <v>0</v>
      </c>
      <c r="S176" s="1348">
        <f t="shared" ref="S176:S190" ca="1" si="222">IF(R200="n/a",R176,IFERROR(IF((OFFSET($C176,0,$A176))&lt;0,
MIN(0,R176-(OFFSET($C176,0,$A176)/(OFFSET($C171,-$A175,$A176)))),
MAX(0,R176-(OFFSET($C176,0,$A176)/(OFFSET($C171,-$A175,$A176))))),0))</f>
        <v>0</v>
      </c>
      <c r="T176" s="1348">
        <f t="shared" ref="T176:T191" ca="1" si="223">IF(S200="n/a",S176,IFERROR(IF((OFFSET($C176,0,$A176))&lt;0,
MIN(0,S176-(OFFSET($C176,0,$A176)/(OFFSET($C171,-$A175,$A176)))),
MAX(0,S176-(OFFSET($C176,0,$A176)/(OFFSET($C171,-$A175,$A176))))),0))</f>
        <v>0</v>
      </c>
      <c r="U176" s="1348">
        <f t="shared" ref="U176:U192" ca="1" si="224">IF(T200="n/a",T176,IFERROR(IF((OFFSET($C176,0,$A176))&lt;0,
MIN(0,T176-(OFFSET($C176,0,$A176)/(OFFSET($C171,-$A175,$A176)))),
MAX(0,T176-(OFFSET($C176,0,$A176)/(OFFSET($C171,-$A175,$A176))))),0))</f>
        <v>0</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2016-17</v>
      </c>
      <c r="C177" s="1349"/>
      <c r="D177" s="1350">
        <f>D171</f>
        <v>0</v>
      </c>
      <c r="E177" s="1348">
        <f ca="1">IF(D201="n/a",D177,IFERROR(IF((OFFSET($C177,0,$A177))&lt;0,
MIN(0,D177-(OFFSET($C177,0,$A177)/(OFFSET($C172,-$A176,$A177)))),
MAX(0,D177-(OFFSET($C177,0,$A177)/(OFFSET($C172,-$A176,$A177))))),0))</f>
        <v>0</v>
      </c>
      <c r="F177" s="1348">
        <f t="shared" ca="1" si="209"/>
        <v>0</v>
      </c>
      <c r="G177" s="1348">
        <f t="shared" ca="1" si="210"/>
        <v>0</v>
      </c>
      <c r="H177" s="1348">
        <f t="shared" ca="1" si="211"/>
        <v>0</v>
      </c>
      <c r="I177" s="1348">
        <f t="shared" ca="1" si="212"/>
        <v>0</v>
      </c>
      <c r="J177" s="1348">
        <f t="shared" ca="1" si="213"/>
        <v>0</v>
      </c>
      <c r="K177" s="1348">
        <f t="shared" ca="1" si="214"/>
        <v>0</v>
      </c>
      <c r="L177" s="1348">
        <f t="shared" ca="1" si="215"/>
        <v>0</v>
      </c>
      <c r="M177" s="1348">
        <f t="shared" ca="1" si="216"/>
        <v>0</v>
      </c>
      <c r="N177" s="1348">
        <f t="shared" ca="1" si="217"/>
        <v>0</v>
      </c>
      <c r="O177" s="1348">
        <f t="shared" ca="1" si="218"/>
        <v>0</v>
      </c>
      <c r="P177" s="1348">
        <f t="shared" ca="1" si="219"/>
        <v>0</v>
      </c>
      <c r="Q177" s="1348">
        <f t="shared" ca="1" si="220"/>
        <v>0</v>
      </c>
      <c r="R177" s="1348">
        <f t="shared" ca="1" si="221"/>
        <v>0</v>
      </c>
      <c r="S177" s="1348">
        <f t="shared" ca="1" si="222"/>
        <v>0</v>
      </c>
      <c r="T177" s="1348">
        <f t="shared" ca="1" si="223"/>
        <v>0</v>
      </c>
      <c r="U177" s="1348">
        <f t="shared" ca="1" si="224"/>
        <v>0</v>
      </c>
      <c r="V177" s="1348">
        <f t="shared" ca="1" si="225"/>
        <v>0</v>
      </c>
      <c r="W177" s="1348">
        <f t="shared" ca="1" si="226"/>
        <v>0</v>
      </c>
      <c r="X177" s="172"/>
      <c r="Y177" s="172"/>
      <c r="Z177" s="172"/>
      <c r="AA177" s="172"/>
      <c r="AB177" s="172"/>
    </row>
    <row r="178" spans="1:28" ht="12.75" hidden="1" customHeight="1" outlineLevel="1">
      <c r="A178" s="225">
        <v>2</v>
      </c>
      <c r="B178" s="212" t="str">
        <f t="shared" ca="1" si="227"/>
        <v>Depreciated Net Capex 2017-18</v>
      </c>
      <c r="C178" s="1351"/>
      <c r="D178" s="1352"/>
      <c r="E178" s="1350">
        <f>E171</f>
        <v>0</v>
      </c>
      <c r="F178" s="1348">
        <f ca="1">IF(E202="n/a",E178,IFERROR(IF((OFFSET($C178,0,$A178))&lt;0,
MIN(0,E178-(OFFSET($C178,0,$A178)/(OFFSET($C173,-$A177,$A178)))),
MAX(0,E178-(OFFSET($C178,0,$A178)/(OFFSET($C173,-$A177,$A178))))),0))</f>
        <v>0</v>
      </c>
      <c r="G178" s="1348">
        <f t="shared" ca="1" si="210"/>
        <v>0</v>
      </c>
      <c r="H178" s="1348">
        <f t="shared" ca="1" si="211"/>
        <v>0</v>
      </c>
      <c r="I178" s="1348">
        <f t="shared" ca="1" si="212"/>
        <v>0</v>
      </c>
      <c r="J178" s="1348">
        <f t="shared" ca="1" si="213"/>
        <v>0</v>
      </c>
      <c r="K178" s="1348">
        <f t="shared" ca="1" si="214"/>
        <v>0</v>
      </c>
      <c r="L178" s="1348">
        <f t="shared" ca="1" si="215"/>
        <v>0</v>
      </c>
      <c r="M178" s="1348">
        <f t="shared" ca="1" si="216"/>
        <v>0</v>
      </c>
      <c r="N178" s="1348">
        <f t="shared" ca="1" si="217"/>
        <v>0</v>
      </c>
      <c r="O178" s="1348">
        <f t="shared" ca="1" si="218"/>
        <v>0</v>
      </c>
      <c r="P178" s="1348">
        <f t="shared" ca="1" si="219"/>
        <v>0</v>
      </c>
      <c r="Q178" s="1348">
        <f t="shared" ca="1" si="220"/>
        <v>0</v>
      </c>
      <c r="R178" s="1348">
        <f t="shared" ca="1" si="221"/>
        <v>0</v>
      </c>
      <c r="S178" s="1348">
        <f t="shared" ca="1" si="222"/>
        <v>0</v>
      </c>
      <c r="T178" s="1348">
        <f t="shared" ca="1" si="223"/>
        <v>0</v>
      </c>
      <c r="U178" s="1348">
        <f t="shared" ca="1" si="224"/>
        <v>0</v>
      </c>
      <c r="V178" s="1348">
        <f t="shared" ca="1" si="225"/>
        <v>0</v>
      </c>
      <c r="W178" s="1348">
        <f t="shared" ca="1" si="226"/>
        <v>0</v>
      </c>
      <c r="X178" s="228"/>
      <c r="Y178" s="172"/>
      <c r="Z178" s="172"/>
      <c r="AA178" s="172"/>
      <c r="AB178" s="172"/>
    </row>
    <row r="179" spans="1:28" ht="12.75" hidden="1" customHeight="1" outlineLevel="1">
      <c r="A179" s="225">
        <v>3</v>
      </c>
      <c r="B179" s="212" t="str">
        <f t="shared" ca="1" si="227"/>
        <v>Depreciated Net Capex 2018-19</v>
      </c>
      <c r="C179" s="1351"/>
      <c r="D179" s="1351"/>
      <c r="E179" s="1352"/>
      <c r="F179" s="1353">
        <f>F171</f>
        <v>0</v>
      </c>
      <c r="G179" s="1348">
        <f ca="1">IF(F203="n/a",F179,IFERROR(IF((OFFSET($C179,0,$A179))&lt;0,
MIN(0,F179-(OFFSET($C179,0,$A179)/(OFFSET($C174,-$A178,$A179)))),
MAX(0,F179-(OFFSET($C179,0,$A179)/(OFFSET($C174,-$A178,$A179))))),0))</f>
        <v>0</v>
      </c>
      <c r="H179" s="1348">
        <f t="shared" ca="1" si="211"/>
        <v>0</v>
      </c>
      <c r="I179" s="1348">
        <f t="shared" ca="1" si="212"/>
        <v>0</v>
      </c>
      <c r="J179" s="1348">
        <f t="shared" ca="1" si="213"/>
        <v>0</v>
      </c>
      <c r="K179" s="1348">
        <f t="shared" ca="1" si="214"/>
        <v>0</v>
      </c>
      <c r="L179" s="1348">
        <f t="shared" ca="1" si="215"/>
        <v>0</v>
      </c>
      <c r="M179" s="1348">
        <f t="shared" ca="1" si="216"/>
        <v>0</v>
      </c>
      <c r="N179" s="1348">
        <f t="shared" ca="1" si="217"/>
        <v>0</v>
      </c>
      <c r="O179" s="1348">
        <f t="shared" ca="1" si="218"/>
        <v>0</v>
      </c>
      <c r="P179" s="1348">
        <f t="shared" ca="1" si="219"/>
        <v>0</v>
      </c>
      <c r="Q179" s="1348">
        <f t="shared" ca="1" si="220"/>
        <v>0</v>
      </c>
      <c r="R179" s="1348">
        <f t="shared" ca="1" si="221"/>
        <v>0</v>
      </c>
      <c r="S179" s="1348">
        <f t="shared" ca="1" si="222"/>
        <v>0</v>
      </c>
      <c r="T179" s="1348">
        <f t="shared" ca="1" si="223"/>
        <v>0</v>
      </c>
      <c r="U179" s="1348">
        <f t="shared" ca="1" si="224"/>
        <v>0</v>
      </c>
      <c r="V179" s="1348">
        <f t="shared" ca="1" si="225"/>
        <v>0</v>
      </c>
      <c r="W179" s="1348">
        <f t="shared" ca="1" si="226"/>
        <v>0</v>
      </c>
      <c r="X179" s="228"/>
      <c r="Y179" s="228"/>
      <c r="Z179" s="172"/>
      <c r="AA179" s="172"/>
      <c r="AB179" s="172"/>
    </row>
    <row r="180" spans="1:28" ht="12.75" hidden="1" customHeight="1" outlineLevel="1">
      <c r="A180" s="225">
        <v>4</v>
      </c>
      <c r="B180" s="212" t="str">
        <f t="shared" ca="1" si="227"/>
        <v>Depreciated Net Capex 2019-20</v>
      </c>
      <c r="C180" s="1351"/>
      <c r="D180" s="1351"/>
      <c r="E180" s="1351"/>
      <c r="F180" s="1352"/>
      <c r="G180" s="1353">
        <f>G171</f>
        <v>0</v>
      </c>
      <c r="H180" s="1348">
        <f ca="1">IF(G204="n/a",G180,IFERROR(IF((OFFSET($C180,0,$A180))&lt;0,
MIN(0,G180-(OFFSET($C180,0,$A180)/(OFFSET($C175,-$A179,$A180)))),
MAX(0,G180-(OFFSET($C180,0,$A180)/(OFFSET($C175,-$A179,$A180))))),0))</f>
        <v>0</v>
      </c>
      <c r="I180" s="1348">
        <f t="shared" ca="1" si="212"/>
        <v>0</v>
      </c>
      <c r="J180" s="1348">
        <f t="shared" ca="1" si="213"/>
        <v>0</v>
      </c>
      <c r="K180" s="1348">
        <f t="shared" ca="1" si="214"/>
        <v>0</v>
      </c>
      <c r="L180" s="1348">
        <f t="shared" ca="1" si="215"/>
        <v>0</v>
      </c>
      <c r="M180" s="1348">
        <f t="shared" ca="1" si="216"/>
        <v>0</v>
      </c>
      <c r="N180" s="1348">
        <f t="shared" ca="1" si="217"/>
        <v>0</v>
      </c>
      <c r="O180" s="1348">
        <f t="shared" ca="1" si="218"/>
        <v>0</v>
      </c>
      <c r="P180" s="1348">
        <f t="shared" ca="1" si="219"/>
        <v>0</v>
      </c>
      <c r="Q180" s="1348">
        <f t="shared" ca="1" si="220"/>
        <v>0</v>
      </c>
      <c r="R180" s="1348">
        <f t="shared" ca="1" si="221"/>
        <v>0</v>
      </c>
      <c r="S180" s="1348">
        <f t="shared" ca="1" si="222"/>
        <v>0</v>
      </c>
      <c r="T180" s="1348">
        <f t="shared" ca="1" si="223"/>
        <v>0</v>
      </c>
      <c r="U180" s="1348">
        <f t="shared" ca="1" si="224"/>
        <v>0</v>
      </c>
      <c r="V180" s="1348">
        <f t="shared" ca="1" si="225"/>
        <v>0</v>
      </c>
      <c r="W180" s="1348">
        <f t="shared" ca="1" si="226"/>
        <v>0</v>
      </c>
      <c r="X180" s="228"/>
      <c r="Y180" s="228"/>
      <c r="Z180" s="228"/>
      <c r="AA180" s="172"/>
      <c r="AB180" s="172"/>
    </row>
    <row r="181" spans="1:28" ht="12.75" hidden="1" customHeight="1" outlineLevel="1">
      <c r="A181" s="225">
        <v>5</v>
      </c>
      <c r="B181" s="212" t="str">
        <f t="shared" ca="1" si="227"/>
        <v>Depreciated Net Capex 2020-21</v>
      </c>
      <c r="C181" s="1351"/>
      <c r="D181" s="1351"/>
      <c r="E181" s="1351"/>
      <c r="F181" s="1351"/>
      <c r="G181" s="1352"/>
      <c r="H181" s="1353">
        <f>H171</f>
        <v>0</v>
      </c>
      <c r="I181" s="1348">
        <f ca="1">IF(H205="n/a",H181,IFERROR(IF((OFFSET($C181,0,$A181))&lt;0,
MIN(0,H181-(OFFSET($C181,0,$A181)/(OFFSET($C176,-$A180,$A181)))),
MAX(0,H181-(OFFSET($C181,0,$A181)/(OFFSET($C176,-$A180,$A181))))),0))</f>
        <v>0</v>
      </c>
      <c r="J181" s="1348">
        <f t="shared" ca="1" si="213"/>
        <v>0</v>
      </c>
      <c r="K181" s="1348">
        <f t="shared" ca="1" si="214"/>
        <v>0</v>
      </c>
      <c r="L181" s="1348">
        <f t="shared" ca="1" si="215"/>
        <v>0</v>
      </c>
      <c r="M181" s="1348">
        <f t="shared" ca="1" si="216"/>
        <v>0</v>
      </c>
      <c r="N181" s="1348">
        <f t="shared" ca="1" si="217"/>
        <v>0</v>
      </c>
      <c r="O181" s="1348">
        <f t="shared" ca="1" si="218"/>
        <v>0</v>
      </c>
      <c r="P181" s="1348">
        <f t="shared" ca="1" si="219"/>
        <v>0</v>
      </c>
      <c r="Q181" s="1348">
        <f t="shared" ca="1" si="220"/>
        <v>0</v>
      </c>
      <c r="R181" s="1348">
        <f t="shared" ca="1" si="221"/>
        <v>0</v>
      </c>
      <c r="S181" s="1348">
        <f t="shared" ca="1" si="222"/>
        <v>0</v>
      </c>
      <c r="T181" s="1348">
        <f t="shared" ca="1" si="223"/>
        <v>0</v>
      </c>
      <c r="U181" s="1348">
        <f t="shared" ca="1" si="224"/>
        <v>0</v>
      </c>
      <c r="V181" s="1348">
        <f t="shared" ca="1" si="225"/>
        <v>0</v>
      </c>
      <c r="W181" s="1348">
        <f t="shared" ca="1" si="226"/>
        <v>0</v>
      </c>
      <c r="X181" s="228"/>
      <c r="Y181" s="228"/>
      <c r="Z181" s="228"/>
      <c r="AA181" s="172"/>
      <c r="AB181" s="172"/>
    </row>
    <row r="182" spans="1:28" ht="12.75" hidden="1" customHeight="1" outlineLevel="1">
      <c r="A182" s="225">
        <v>6</v>
      </c>
      <c r="B182" s="212" t="str">
        <f t="shared" ca="1" si="227"/>
        <v>Depreciated Net Capex 2021-22</v>
      </c>
      <c r="C182" s="1351"/>
      <c r="D182" s="1351"/>
      <c r="E182" s="1351"/>
      <c r="F182" s="1351"/>
      <c r="G182" s="1351"/>
      <c r="H182" s="1352"/>
      <c r="I182" s="1353">
        <f>I171</f>
        <v>0.41405203000000002</v>
      </c>
      <c r="J182" s="1348">
        <f ca="1">IF(I206="n/a",I182,IFERROR(IF((OFFSET($C182,0,$A182))&lt;0,
MIN(0,I182-(OFFSET($C182,0,$A182)/(OFFSET($C177,-$A181,$A182)))),
MAX(0,I182-(OFFSET($C182,0,$A182)/(OFFSET($C177,-$A181,$A182))))),0))</f>
        <v>0.39334942849999999</v>
      </c>
      <c r="K182" s="1348">
        <f t="shared" ca="1" si="214"/>
        <v>0.37264682699999996</v>
      </c>
      <c r="L182" s="1348">
        <f t="shared" ca="1" si="215"/>
        <v>0.35194422549999993</v>
      </c>
      <c r="M182" s="1348">
        <f t="shared" ca="1" si="216"/>
        <v>0.3312416239999999</v>
      </c>
      <c r="N182" s="1348">
        <f t="shared" ca="1" si="217"/>
        <v>0.31053902249999987</v>
      </c>
      <c r="O182" s="1348">
        <f t="shared" ca="1" si="218"/>
        <v>0.28983642099999984</v>
      </c>
      <c r="P182" s="1348">
        <f t="shared" ca="1" si="219"/>
        <v>0.26913381949999982</v>
      </c>
      <c r="Q182" s="1348">
        <f t="shared" ca="1" si="220"/>
        <v>0.24843121799999981</v>
      </c>
      <c r="R182" s="1348">
        <f t="shared" ca="1" si="221"/>
        <v>0.22772861649999981</v>
      </c>
      <c r="S182" s="1348">
        <f t="shared" ca="1" si="222"/>
        <v>0.20702601499999981</v>
      </c>
      <c r="T182" s="1348">
        <f t="shared" ca="1" si="223"/>
        <v>0.18632341349999981</v>
      </c>
      <c r="U182" s="1348">
        <f t="shared" ca="1" si="224"/>
        <v>0.16562081199999981</v>
      </c>
      <c r="V182" s="1348">
        <f t="shared" ca="1" si="225"/>
        <v>0.14491821049999981</v>
      </c>
      <c r="W182" s="1348">
        <f t="shared" ca="1" si="226"/>
        <v>0.12421560899999981</v>
      </c>
      <c r="X182" s="228"/>
      <c r="Y182" s="228"/>
      <c r="Z182" s="228"/>
      <c r="AA182" s="172"/>
      <c r="AB182" s="172"/>
    </row>
    <row r="183" spans="1:28" ht="12.75" hidden="1" customHeight="1" outlineLevel="1">
      <c r="A183" s="225">
        <v>7</v>
      </c>
      <c r="B183" s="212" t="str">
        <f t="shared" ca="1" si="227"/>
        <v>Depreciated Net Capex 2022-23</v>
      </c>
      <c r="C183" s="1351"/>
      <c r="D183" s="1351"/>
      <c r="E183" s="1351"/>
      <c r="F183" s="1351"/>
      <c r="G183" s="1351"/>
      <c r="H183" s="1351"/>
      <c r="I183" s="1352"/>
      <c r="J183" s="1353">
        <f>J171</f>
        <v>0</v>
      </c>
      <c r="K183" s="1348">
        <f ca="1">IF(J207="n/a",J183,IFERROR(IF((OFFSET($C183,0,$A183))&lt;0,
MIN(0,J183-(OFFSET($C183,0,$A183)/(OFFSET($C178,-$A182,$A183)))),
MAX(0,J183-(OFFSET($C183,0,$A183)/(OFFSET($C178,-$A182,$A183))))),0))</f>
        <v>0</v>
      </c>
      <c r="L183" s="1348">
        <f t="shared" ca="1" si="215"/>
        <v>0</v>
      </c>
      <c r="M183" s="1348">
        <f t="shared" ca="1" si="216"/>
        <v>0</v>
      </c>
      <c r="N183" s="1348">
        <f t="shared" ca="1" si="217"/>
        <v>0</v>
      </c>
      <c r="O183" s="1348">
        <f t="shared" ca="1" si="218"/>
        <v>0</v>
      </c>
      <c r="P183" s="1348">
        <f t="shared" ca="1" si="219"/>
        <v>0</v>
      </c>
      <c r="Q183" s="1348">
        <f t="shared" ca="1" si="220"/>
        <v>0</v>
      </c>
      <c r="R183" s="1348">
        <f t="shared" ca="1" si="221"/>
        <v>0</v>
      </c>
      <c r="S183" s="1348">
        <f t="shared" ca="1" si="222"/>
        <v>0</v>
      </c>
      <c r="T183" s="1348">
        <f t="shared" ca="1" si="223"/>
        <v>0</v>
      </c>
      <c r="U183" s="1348">
        <f t="shared" ca="1" si="224"/>
        <v>0</v>
      </c>
      <c r="V183" s="1348">
        <f t="shared" ca="1" si="225"/>
        <v>0</v>
      </c>
      <c r="W183" s="1348">
        <f t="shared" ca="1" si="226"/>
        <v>0</v>
      </c>
      <c r="X183" s="228"/>
      <c r="Y183" s="228"/>
      <c r="Z183" s="228"/>
      <c r="AA183" s="172"/>
      <c r="AB183" s="172"/>
    </row>
    <row r="184" spans="1:28" ht="12.75" hidden="1" customHeight="1" outlineLevel="1">
      <c r="A184" s="225">
        <v>8</v>
      </c>
      <c r="B184" s="212" t="str">
        <f t="shared" ca="1" si="227"/>
        <v>Depreciated Net Capex 2023-24</v>
      </c>
      <c r="C184" s="1351"/>
      <c r="D184" s="1351"/>
      <c r="E184" s="1351"/>
      <c r="F184" s="1351"/>
      <c r="G184" s="1351"/>
      <c r="H184" s="1351"/>
      <c r="I184" s="1351"/>
      <c r="J184" s="1352"/>
      <c r="K184" s="1353">
        <f>K171</f>
        <v>0</v>
      </c>
      <c r="L184" s="1348">
        <f ca="1">IF(K208="n/a",K184,IFERROR(IF((OFFSET($C184,0,$A184))&lt;0,
MIN(0,K184-(OFFSET($C184,0,$A184)/(OFFSET($C179,-$A183,$A184)))),
MAX(0,K184-(OFFSET($C184,0,$A184)/(OFFSET($C179,-$A183,$A184))))),0))</f>
        <v>0</v>
      </c>
      <c r="M184" s="1348">
        <f t="shared" ca="1" si="216"/>
        <v>0</v>
      </c>
      <c r="N184" s="1348">
        <f t="shared" ca="1" si="217"/>
        <v>0</v>
      </c>
      <c r="O184" s="1348">
        <f t="shared" ca="1" si="218"/>
        <v>0</v>
      </c>
      <c r="P184" s="1348">
        <f t="shared" ca="1" si="219"/>
        <v>0</v>
      </c>
      <c r="Q184" s="1348">
        <f t="shared" ca="1" si="220"/>
        <v>0</v>
      </c>
      <c r="R184" s="1348">
        <f t="shared" ca="1" si="221"/>
        <v>0</v>
      </c>
      <c r="S184" s="1348">
        <f t="shared" ca="1" si="222"/>
        <v>0</v>
      </c>
      <c r="T184" s="1348">
        <f t="shared" ca="1" si="223"/>
        <v>0</v>
      </c>
      <c r="U184" s="1348">
        <f t="shared" ca="1" si="224"/>
        <v>0</v>
      </c>
      <c r="V184" s="1348">
        <f t="shared" ca="1" si="225"/>
        <v>0</v>
      </c>
      <c r="W184" s="1348">
        <f t="shared" ca="1" si="226"/>
        <v>0</v>
      </c>
      <c r="X184" s="228"/>
      <c r="Y184" s="228"/>
      <c r="Z184" s="228"/>
      <c r="AA184" s="172"/>
      <c r="AB184" s="172"/>
    </row>
    <row r="185" spans="1:28" ht="12.75" hidden="1" customHeight="1" outlineLevel="1">
      <c r="A185" s="225">
        <v>9</v>
      </c>
      <c r="B185" s="212" t="str">
        <f t="shared" ca="1" si="227"/>
        <v>Depreciated Net Capex 2024-25</v>
      </c>
      <c r="C185" s="1351"/>
      <c r="D185" s="1351"/>
      <c r="E185" s="1351"/>
      <c r="F185" s="1351"/>
      <c r="G185" s="1351"/>
      <c r="H185" s="1351"/>
      <c r="I185" s="1351"/>
      <c r="J185" s="1351"/>
      <c r="K185" s="1352"/>
      <c r="L185" s="1353">
        <f>L171</f>
        <v>0</v>
      </c>
      <c r="M185" s="1348">
        <f ca="1">IF(L209="n/a",L185,IFERROR(IF((OFFSET($C185,0,$A185))&lt;0,
MIN(0,L185-(OFFSET($C185,0,$A185)/(OFFSET($C180,-$A184,$A185)))),
MAX(0,L185-(OFFSET($C185,0,$A185)/(OFFSET($C180,-$A184,$A185))))),0))</f>
        <v>0</v>
      </c>
      <c r="N185" s="1348">
        <f t="shared" ca="1" si="217"/>
        <v>0</v>
      </c>
      <c r="O185" s="1348">
        <f t="shared" ca="1" si="218"/>
        <v>0</v>
      </c>
      <c r="P185" s="1348">
        <f t="shared" ca="1" si="219"/>
        <v>0</v>
      </c>
      <c r="Q185" s="1348">
        <f t="shared" ca="1" si="220"/>
        <v>0</v>
      </c>
      <c r="R185" s="1348">
        <f t="shared" ca="1" si="221"/>
        <v>0</v>
      </c>
      <c r="S185" s="1348">
        <f t="shared" ca="1" si="222"/>
        <v>0</v>
      </c>
      <c r="T185" s="1348">
        <f t="shared" ca="1" si="223"/>
        <v>0</v>
      </c>
      <c r="U185" s="1348">
        <f t="shared" ca="1" si="224"/>
        <v>0</v>
      </c>
      <c r="V185" s="1348">
        <f t="shared" ca="1" si="225"/>
        <v>0</v>
      </c>
      <c r="W185" s="1348">
        <f t="shared" ca="1" si="226"/>
        <v>0</v>
      </c>
      <c r="X185" s="228"/>
      <c r="Y185" s="228"/>
      <c r="Z185" s="228"/>
      <c r="AA185" s="172"/>
      <c r="AB185" s="172"/>
    </row>
    <row r="186" spans="1:28" ht="12.75" hidden="1" customHeight="1" outlineLevel="1">
      <c r="A186" s="225">
        <v>10</v>
      </c>
      <c r="B186" s="212" t="str">
        <f t="shared" ca="1" si="227"/>
        <v>Depreciated Net Capex 2025-26</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2026-27</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2027-28</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2028-29</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2029-30</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2030-31</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2031-32</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2032-33</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2033-34</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2034-35</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2035-36</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12.613456333398785</v>
      </c>
      <c r="D200" s="1348">
        <f t="shared" ref="D200" ca="1" si="246">IF(C200="n/a","n/a",MAX(0,C200-1))</f>
        <v>11.613456333398785</v>
      </c>
      <c r="E200" s="1348">
        <f t="shared" ref="E200:E201" ca="1" si="247">IF(D200="n/a","n/a",MAX(0,D200-1))</f>
        <v>10.613456333398785</v>
      </c>
      <c r="F200" s="1348">
        <f t="shared" ref="F200:F202" ca="1" si="248">IF(E200="n/a","n/a",MAX(0,E200-1))</f>
        <v>9.6134563333987852</v>
      </c>
      <c r="G200" s="1348">
        <f t="shared" ref="G200:G203" ca="1" si="249">IF(F200="n/a","n/a",MAX(0,F200-1))</f>
        <v>8.6134563333987852</v>
      </c>
      <c r="H200" s="1348">
        <f t="shared" ref="H200:H204" ca="1" si="250">IF(G200="n/a","n/a",MAX(0,G200-1))</f>
        <v>7.6134563333987852</v>
      </c>
      <c r="I200" s="1348">
        <f t="shared" ref="I200:I205" ca="1" si="251">IF(H200="n/a","n/a",MAX(0,H200-1))</f>
        <v>6.6134563333987852</v>
      </c>
      <c r="J200" s="1348">
        <f t="shared" ref="J200:J206" ca="1" si="252">IF(I200="n/a","n/a",MAX(0,I200-1))</f>
        <v>5.6134563333987852</v>
      </c>
      <c r="K200" s="1348">
        <f t="shared" ref="K200:K207" ca="1" si="253">IF(J200="n/a","n/a",MAX(0,J200-1))</f>
        <v>4.6134563333987852</v>
      </c>
      <c r="L200" s="1348">
        <f t="shared" ref="L200:L208" ca="1" si="254">IF(K200="n/a","n/a",MAX(0,K200-1))</f>
        <v>3.6134563333987852</v>
      </c>
      <c r="M200" s="1348">
        <f t="shared" ref="M200:M209" ca="1" si="255">IF(L200="n/a","n/a",MAX(0,L200-1))</f>
        <v>2.6134563333987852</v>
      </c>
      <c r="N200" s="1348">
        <f t="shared" ref="N200:N210" ca="1" si="256">IF(M200="n/a","n/a",MAX(0,M200-1))</f>
        <v>1.6134563333987852</v>
      </c>
      <c r="O200" s="1348">
        <f t="shared" ref="O200:O211" ca="1" si="257">IF(N200="n/a","n/a",MAX(0,N200-1))</f>
        <v>0.61345633339878525</v>
      </c>
      <c r="P200" s="1348">
        <f t="shared" ref="P200:P212" ca="1" si="258">IF(O200="n/a","n/a",MAX(0,O200-1))</f>
        <v>0</v>
      </c>
      <c r="Q200" s="1348">
        <f t="shared" ref="Q200:Q213" ca="1" si="259">IF(P200="n/a","n/a",MAX(0,P200-1))</f>
        <v>0</v>
      </c>
      <c r="R200" s="1348">
        <f t="shared" ref="R200:R214" ca="1" si="260">IF(Q200="n/a","n/a",MAX(0,Q200-1))</f>
        <v>0</v>
      </c>
      <c r="S200" s="1348">
        <f t="shared" ref="S200:S215" ca="1" si="261">IF(R200="n/a","n/a",MAX(0,R200-1))</f>
        <v>0</v>
      </c>
      <c r="T200" s="1348">
        <f t="shared" ref="T200:T216" ca="1" si="262">IF(S200="n/a","n/a",MAX(0,S200-1))</f>
        <v>0</v>
      </c>
      <c r="U200" s="1348">
        <f t="shared" ref="U200:U217" ca="1" si="263">IF(T200="n/a","n/a",MAX(0,T200-1))</f>
        <v>0</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2016-17</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2017-18</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2018-19</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2019-20</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2020-21</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2021-22</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2022-23</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2023-24</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2024-25</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2025-26</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2026-27</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2027-28</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2028-29</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2029-30</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2030-31</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2031-32</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2032-33</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2033-34</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2034-35</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2035-36</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12.613456333398785</v>
      </c>
      <c r="D222" s="1356">
        <f ca="1">(IF(OR($C172&lt;&gt;"n/a",D172&lt;&gt;"n/a"),IF(SUM(D175:D197)=0,0,IF((SUMPRODUCT(D175:D197,D199:D221)/SUM(D175:D197))&lt;0,1,(SUMPRODUCT(D175:D197,D199:D221)/SUM(D175:D197)))),"n/a"))</f>
        <v>11.613456333398785</v>
      </c>
      <c r="E222" s="1356">
        <f t="shared" ref="E222:W222" ca="1" si="267">(IF(OR($C172&lt;&gt;"n/a",E172&lt;&gt;"n/a"),IF(SUM(E175:E197)=0,0,IF((SUMPRODUCT(E175:E197,E199:E221)/SUM(E175:E197))&lt;0,1,(SUMPRODUCT(E175:E197,E199:E221)/SUM(E175:E197)))),"n/a"))</f>
        <v>10.613456333398785</v>
      </c>
      <c r="F222" s="1356">
        <f t="shared" ca="1" si="267"/>
        <v>9.6134563333987852</v>
      </c>
      <c r="G222" s="1356">
        <f t="shared" ca="1" si="267"/>
        <v>8.6134563333987852</v>
      </c>
      <c r="H222" s="1356">
        <f t="shared" ca="1" si="267"/>
        <v>7.6134563333987852</v>
      </c>
      <c r="I222" s="1356">
        <f t="shared" ca="1" si="267"/>
        <v>10.277108531615292</v>
      </c>
      <c r="J222" s="1356">
        <f t="shared" ca="1" si="267"/>
        <v>9.5843666949194084</v>
      </c>
      <c r="K222" s="1356">
        <f t="shared" ca="1" si="267"/>
        <v>8.9924211652202448</v>
      </c>
      <c r="L222" s="1356">
        <f t="shared" ca="1" si="267"/>
        <v>8.5606032618142329</v>
      </c>
      <c r="M222" s="1356">
        <f t="shared" ca="1" si="267"/>
        <v>8.4061763402710614</v>
      </c>
      <c r="N222" s="1356">
        <f t="shared" ca="1" si="267"/>
        <v>8.7978766864411106</v>
      </c>
      <c r="O222" s="1356">
        <f t="shared" ca="1" si="267"/>
        <v>10.51714553772138</v>
      </c>
      <c r="P222" s="1356">
        <f t="shared" ca="1" si="267"/>
        <v>13</v>
      </c>
      <c r="Q222" s="1356">
        <f t="shared" ca="1" si="267"/>
        <v>12</v>
      </c>
      <c r="R222" s="1356">
        <f t="shared" ca="1" si="267"/>
        <v>11</v>
      </c>
      <c r="S222" s="1356">
        <f t="shared" ca="1" si="267"/>
        <v>10</v>
      </c>
      <c r="T222" s="1356">
        <f t="shared" ca="1" si="267"/>
        <v>9</v>
      </c>
      <c r="U222" s="1356">
        <f t="shared" ca="1" si="267"/>
        <v>8</v>
      </c>
      <c r="V222" s="1356">
        <f t="shared" ca="1" si="267"/>
        <v>7</v>
      </c>
      <c r="W222" s="1356">
        <f t="shared" ca="1" si="267"/>
        <v>5.9999999999999991</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9.0892655999999988E-2</v>
      </c>
      <c r="D225" s="1366">
        <f>'Capital base remaining lives'!D230</f>
        <v>0</v>
      </c>
      <c r="E225" s="1366">
        <f>'Capital base remaining lives'!E230</f>
        <v>0</v>
      </c>
      <c r="F225" s="1366">
        <f>'Capital base remaining lives'!F230</f>
        <v>0</v>
      </c>
      <c r="G225" s="1366">
        <f>'Capital base remaining lives'!G230</f>
        <v>0</v>
      </c>
      <c r="H225" s="1366">
        <f>'Capital base remaining lives'!H230</f>
        <v>0</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18</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9.0892655999999988E-2</v>
      </c>
      <c r="D230" s="1348">
        <f ca="1">IF(C254="n/a",C230,IFERROR(IF((OFFSET($C230,0,$A230))&lt;0,
MIN(0,C230-(OFFSET($C230,0,$A230)/(OFFSET($C225,-$A229,$A230)))),
MAX(0,C230-(OFFSET($C230,0,$A230)/(OFFSET($C225,-$A229,$A230))))),0))</f>
        <v>8.5843063999999983E-2</v>
      </c>
      <c r="E230" s="1348">
        <f t="shared" ref="E230" ca="1" si="287">IF(D254="n/a",D230,IFERROR(IF((OFFSET($C230,0,$A230))&lt;0,
MIN(0,D230-(OFFSET($C230,0,$A230)/(OFFSET($C225,-$A229,$A230)))),
MAX(0,D230-(OFFSET($C230,0,$A230)/(OFFSET($C225,-$A229,$A230))))),0))</f>
        <v>8.0793471999999977E-2</v>
      </c>
      <c r="F230" s="1348">
        <f t="shared" ref="F230:F231" ca="1" si="288">IF(E254="n/a",E230,IFERROR(IF((OFFSET($C230,0,$A230))&lt;0,
MIN(0,E230-(OFFSET($C230,0,$A230)/(OFFSET($C225,-$A229,$A230)))),
MAX(0,E230-(OFFSET($C230,0,$A230)/(OFFSET($C225,-$A229,$A230))))),0))</f>
        <v>7.5743879999999972E-2</v>
      </c>
      <c r="G230" s="1348">
        <f t="shared" ref="G230:G232" ca="1" si="289">IF(F254="n/a",F230,IFERROR(IF((OFFSET($C230,0,$A230))&lt;0,
MIN(0,F230-(OFFSET($C230,0,$A230)/(OFFSET($C225,-$A229,$A230)))),
MAX(0,F230-(OFFSET($C230,0,$A230)/(OFFSET($C225,-$A229,$A230))))),0))</f>
        <v>7.0694287999999966E-2</v>
      </c>
      <c r="H230" s="1348">
        <f t="shared" ref="H230:H233" ca="1" si="290">IF(G254="n/a",G230,IFERROR(IF((OFFSET($C230,0,$A230))&lt;0,
MIN(0,G230-(OFFSET($C230,0,$A230)/(OFFSET($C225,-$A229,$A230)))),
MAX(0,G230-(OFFSET($C230,0,$A230)/(OFFSET($C225,-$A229,$A230))))),0))</f>
        <v>6.5644695999999961E-2</v>
      </c>
      <c r="I230" s="1348">
        <f t="shared" ref="I230:I234" ca="1" si="291">IF(H254="n/a",H230,IFERROR(IF((OFFSET($C230,0,$A230))&lt;0,
MIN(0,H230-(OFFSET($C230,0,$A230)/(OFFSET($C225,-$A229,$A230)))),
MAX(0,H230-(OFFSET($C230,0,$A230)/(OFFSET($C225,-$A229,$A230))))),0))</f>
        <v>6.0595103999999962E-2</v>
      </c>
      <c r="J230" s="1348">
        <f t="shared" ref="J230:J235" ca="1" si="292">IF(I254="n/a",I230,IFERROR(IF((OFFSET($C230,0,$A230))&lt;0,
MIN(0,I230-(OFFSET($C230,0,$A230)/(OFFSET($C225,-$A229,$A230)))),
MAX(0,I230-(OFFSET($C230,0,$A230)/(OFFSET($C225,-$A229,$A230))))),0))</f>
        <v>5.5545511999999964E-2</v>
      </c>
      <c r="K230" s="1348">
        <f t="shared" ref="K230:K236" ca="1" si="293">IF(J254="n/a",J230,IFERROR(IF((OFFSET($C230,0,$A230))&lt;0,
MIN(0,J230-(OFFSET($C230,0,$A230)/(OFFSET($C225,-$A229,$A230)))),
MAX(0,J230-(OFFSET($C230,0,$A230)/(OFFSET($C225,-$A229,$A230))))),0))</f>
        <v>5.0495919999999965E-2</v>
      </c>
      <c r="L230" s="1348">
        <f t="shared" ref="L230:L237" ca="1" si="294">IF(K254="n/a",K230,IFERROR(IF((OFFSET($C230,0,$A230))&lt;0,
MIN(0,K230-(OFFSET($C230,0,$A230)/(OFFSET($C225,-$A229,$A230)))),
MAX(0,K230-(OFFSET($C230,0,$A230)/(OFFSET($C225,-$A229,$A230))))),0))</f>
        <v>4.5446327999999966E-2</v>
      </c>
      <c r="M230" s="1348">
        <f t="shared" ref="M230:M238" ca="1" si="295">IF(L254="n/a",L230,IFERROR(IF((OFFSET($C230,0,$A230))&lt;0,
MIN(0,L230-(OFFSET($C230,0,$A230)/(OFFSET($C225,-$A229,$A230)))),
MAX(0,L230-(OFFSET($C230,0,$A230)/(OFFSET($C225,-$A229,$A230))))),0))</f>
        <v>4.0396735999999968E-2</v>
      </c>
      <c r="N230" s="1348">
        <f t="shared" ref="N230:N239" ca="1" si="296">IF(M254="n/a",M230,IFERROR(IF((OFFSET($C230,0,$A230))&lt;0,
MIN(0,M230-(OFFSET($C230,0,$A230)/(OFFSET($C225,-$A229,$A230)))),
MAX(0,M230-(OFFSET($C230,0,$A230)/(OFFSET($C225,-$A229,$A230))))),0))</f>
        <v>3.5347143999999969E-2</v>
      </c>
      <c r="O230" s="1348">
        <f t="shared" ref="O230:O240" ca="1" si="297">IF(N254="n/a",N230,IFERROR(IF((OFFSET($C230,0,$A230))&lt;0,
MIN(0,N230-(OFFSET($C230,0,$A230)/(OFFSET($C225,-$A229,$A230)))),
MAX(0,N230-(OFFSET($C230,0,$A230)/(OFFSET($C225,-$A229,$A230))))),0))</f>
        <v>3.0297551999999971E-2</v>
      </c>
      <c r="P230" s="1348">
        <f t="shared" ref="P230:P241" ca="1" si="298">IF(O254="n/a",O230,IFERROR(IF((OFFSET($C230,0,$A230))&lt;0,
MIN(0,O230-(OFFSET($C230,0,$A230)/(OFFSET($C225,-$A229,$A230)))),
MAX(0,O230-(OFFSET($C230,0,$A230)/(OFFSET($C225,-$A229,$A230))))),0))</f>
        <v>2.5247959999999972E-2</v>
      </c>
      <c r="Q230" s="1348">
        <f t="shared" ref="Q230:Q242" ca="1" si="299">IF(P254="n/a",P230,IFERROR(IF((OFFSET($C230,0,$A230))&lt;0,
MIN(0,P230-(OFFSET($C230,0,$A230)/(OFFSET($C225,-$A229,$A230)))),
MAX(0,P230-(OFFSET($C230,0,$A230)/(OFFSET($C225,-$A229,$A230))))),0))</f>
        <v>2.0198367999999974E-2</v>
      </c>
      <c r="R230" s="1348">
        <f t="shared" ref="R230:R243" ca="1" si="300">IF(Q254="n/a",Q230,IFERROR(IF((OFFSET($C230,0,$A230))&lt;0,
MIN(0,Q230-(OFFSET($C230,0,$A230)/(OFFSET($C225,-$A229,$A230)))),
MAX(0,Q230-(OFFSET($C230,0,$A230)/(OFFSET($C225,-$A229,$A230))))),0))</f>
        <v>1.5148775999999975E-2</v>
      </c>
      <c r="S230" s="1348">
        <f t="shared" ref="S230:S244" ca="1" si="301">IF(R254="n/a",R230,IFERROR(IF((OFFSET($C230,0,$A230))&lt;0,
MIN(0,R230-(OFFSET($C230,0,$A230)/(OFFSET($C225,-$A229,$A230)))),
MAX(0,R230-(OFFSET($C230,0,$A230)/(OFFSET($C225,-$A229,$A230))))),0))</f>
        <v>1.0099183999999976E-2</v>
      </c>
      <c r="T230" s="1348">
        <f t="shared" ref="T230:T245" ca="1" si="302">IF(S254="n/a",S230,IFERROR(IF((OFFSET($C230,0,$A230))&lt;0,
MIN(0,S230-(OFFSET($C230,0,$A230)/(OFFSET($C225,-$A229,$A230)))),
MAX(0,S230-(OFFSET($C230,0,$A230)/(OFFSET($C225,-$A229,$A230))))),0))</f>
        <v>5.0495919999999769E-3</v>
      </c>
      <c r="U230" s="1348">
        <f t="shared" ref="U230:U246" ca="1" si="303">IF(T254="n/a",T230,IFERROR(IF((OFFSET($C230,0,$A230))&lt;0,
MIN(0,T230-(OFFSET($C230,0,$A230)/(OFFSET($C225,-$A229,$A230)))),
MAX(0,T230-(OFFSET($C230,0,$A230)/(OFFSET($C225,-$A229,$A230))))),0))</f>
        <v>0</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2016-17</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2017-18</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2018-19</v>
      </c>
      <c r="C233" s="1351"/>
      <c r="D233" s="1351"/>
      <c r="E233" s="1352"/>
      <c r="F233" s="1353">
        <f>F225</f>
        <v>0</v>
      </c>
      <c r="G233" s="1348">
        <f ca="1">IF(F257="n/a",F233,IFERROR(IF((OFFSET($C233,0,$A233))&lt;0,
MIN(0,F233-(OFFSET($C233,0,$A233)/(OFFSET($C228,-$A232,$A233)))),
MAX(0,F233-(OFFSET($C233,0,$A233)/(OFFSET($C228,-$A232,$A233))))),0))</f>
        <v>0</v>
      </c>
      <c r="H233" s="1348">
        <f t="shared" ca="1" si="290"/>
        <v>0</v>
      </c>
      <c r="I233" s="1348">
        <f t="shared" ca="1" si="291"/>
        <v>0</v>
      </c>
      <c r="J233" s="1348">
        <f t="shared" ca="1" si="292"/>
        <v>0</v>
      </c>
      <c r="K233" s="1348">
        <f t="shared" ca="1" si="293"/>
        <v>0</v>
      </c>
      <c r="L233" s="1348">
        <f t="shared" ca="1" si="294"/>
        <v>0</v>
      </c>
      <c r="M233" s="1348">
        <f t="shared" ca="1" si="295"/>
        <v>0</v>
      </c>
      <c r="N233" s="1348">
        <f t="shared" ca="1" si="296"/>
        <v>0</v>
      </c>
      <c r="O233" s="1348">
        <f t="shared" ca="1" si="297"/>
        <v>0</v>
      </c>
      <c r="P233" s="1348">
        <f t="shared" ca="1" si="298"/>
        <v>0</v>
      </c>
      <c r="Q233" s="1348">
        <f t="shared" ca="1" si="299"/>
        <v>0</v>
      </c>
      <c r="R233" s="1348">
        <f t="shared" ca="1" si="300"/>
        <v>0</v>
      </c>
      <c r="S233" s="1348">
        <f t="shared" ca="1" si="301"/>
        <v>0</v>
      </c>
      <c r="T233" s="1348">
        <f t="shared" ca="1" si="302"/>
        <v>0</v>
      </c>
      <c r="U233" s="1348">
        <f t="shared" ca="1" si="303"/>
        <v>0</v>
      </c>
      <c r="V233" s="1348">
        <f t="shared" ca="1" si="304"/>
        <v>0</v>
      </c>
      <c r="W233" s="1348">
        <f t="shared" ca="1" si="305"/>
        <v>0</v>
      </c>
      <c r="X233" s="228"/>
      <c r="Y233" s="228"/>
      <c r="Z233" s="172"/>
      <c r="AA233" s="172"/>
      <c r="AB233" s="172"/>
    </row>
    <row r="234" spans="1:28" ht="12.75" hidden="1" customHeight="1" outlineLevel="1">
      <c r="A234" s="225">
        <v>4</v>
      </c>
      <c r="B234" s="212" t="str">
        <f t="shared" ca="1" si="306"/>
        <v>Depreciated Net Capex 2019-20</v>
      </c>
      <c r="C234" s="1351"/>
      <c r="D234" s="1351"/>
      <c r="E234" s="1351"/>
      <c r="F234" s="1352"/>
      <c r="G234" s="1353">
        <f>G225</f>
        <v>0</v>
      </c>
      <c r="H234" s="1348">
        <f ca="1">IF(G258="n/a",G234,IFERROR(IF((OFFSET($C234,0,$A234))&lt;0,
MIN(0,G234-(OFFSET($C234,0,$A234)/(OFFSET($C229,-$A233,$A234)))),
MAX(0,G234-(OFFSET($C234,0,$A234)/(OFFSET($C229,-$A233,$A234))))),0))</f>
        <v>0</v>
      </c>
      <c r="I234" s="1348">
        <f t="shared" ca="1" si="291"/>
        <v>0</v>
      </c>
      <c r="J234" s="1348">
        <f t="shared" ca="1" si="292"/>
        <v>0</v>
      </c>
      <c r="K234" s="1348">
        <f t="shared" ca="1" si="293"/>
        <v>0</v>
      </c>
      <c r="L234" s="1348">
        <f t="shared" ca="1" si="294"/>
        <v>0</v>
      </c>
      <c r="M234" s="1348">
        <f t="shared" ca="1" si="295"/>
        <v>0</v>
      </c>
      <c r="N234" s="1348">
        <f t="shared" ca="1" si="296"/>
        <v>0</v>
      </c>
      <c r="O234" s="1348">
        <f t="shared" ca="1" si="297"/>
        <v>0</v>
      </c>
      <c r="P234" s="1348">
        <f t="shared" ca="1" si="298"/>
        <v>0</v>
      </c>
      <c r="Q234" s="1348">
        <f t="shared" ca="1" si="299"/>
        <v>0</v>
      </c>
      <c r="R234" s="1348">
        <f t="shared" ca="1" si="300"/>
        <v>0</v>
      </c>
      <c r="S234" s="1348">
        <f t="shared" ca="1" si="301"/>
        <v>0</v>
      </c>
      <c r="T234" s="1348">
        <f t="shared" ca="1" si="302"/>
        <v>0</v>
      </c>
      <c r="U234" s="1348">
        <f t="shared" ca="1" si="303"/>
        <v>0</v>
      </c>
      <c r="V234" s="1348">
        <f t="shared" ca="1" si="304"/>
        <v>0</v>
      </c>
      <c r="W234" s="1348">
        <f t="shared" ca="1" si="305"/>
        <v>0</v>
      </c>
      <c r="X234" s="228"/>
      <c r="Y234" s="228"/>
      <c r="Z234" s="228"/>
      <c r="AA234" s="172"/>
      <c r="AB234" s="172"/>
    </row>
    <row r="235" spans="1:28" ht="12.75" hidden="1" customHeight="1" outlineLevel="1">
      <c r="A235" s="225">
        <v>5</v>
      </c>
      <c r="B235" s="212" t="str">
        <f t="shared" ca="1" si="306"/>
        <v>Depreciated Net Capex 2020-21</v>
      </c>
      <c r="C235" s="1351"/>
      <c r="D235" s="1351"/>
      <c r="E235" s="1351"/>
      <c r="F235" s="1351"/>
      <c r="G235" s="1352"/>
      <c r="H235" s="1353">
        <f>H225</f>
        <v>0</v>
      </c>
      <c r="I235" s="1348">
        <f ca="1">IF(H259="n/a",H235,IFERROR(IF((OFFSET($C235,0,$A235))&lt;0,
MIN(0,H235-(OFFSET($C235,0,$A235)/(OFFSET($C230,-$A234,$A235)))),
MAX(0,H235-(OFFSET($C235,0,$A235)/(OFFSET($C230,-$A234,$A235))))),0))</f>
        <v>0</v>
      </c>
      <c r="J235" s="1348">
        <f t="shared" ca="1" si="292"/>
        <v>0</v>
      </c>
      <c r="K235" s="1348">
        <f t="shared" ca="1" si="293"/>
        <v>0</v>
      </c>
      <c r="L235" s="1348">
        <f t="shared" ca="1" si="294"/>
        <v>0</v>
      </c>
      <c r="M235" s="1348">
        <f t="shared" ca="1" si="295"/>
        <v>0</v>
      </c>
      <c r="N235" s="1348">
        <f t="shared" ca="1" si="296"/>
        <v>0</v>
      </c>
      <c r="O235" s="1348">
        <f t="shared" ca="1" si="297"/>
        <v>0</v>
      </c>
      <c r="P235" s="1348">
        <f t="shared" ca="1" si="298"/>
        <v>0</v>
      </c>
      <c r="Q235" s="1348">
        <f t="shared" ca="1" si="299"/>
        <v>0</v>
      </c>
      <c r="R235" s="1348">
        <f t="shared" ca="1" si="300"/>
        <v>0</v>
      </c>
      <c r="S235" s="1348">
        <f t="shared" ca="1" si="301"/>
        <v>0</v>
      </c>
      <c r="T235" s="1348">
        <f t="shared" ca="1" si="302"/>
        <v>0</v>
      </c>
      <c r="U235" s="1348">
        <f t="shared" ca="1" si="303"/>
        <v>0</v>
      </c>
      <c r="V235" s="1348">
        <f t="shared" ca="1" si="304"/>
        <v>0</v>
      </c>
      <c r="W235" s="1348">
        <f t="shared" ca="1" si="305"/>
        <v>0</v>
      </c>
      <c r="X235" s="228"/>
      <c r="Y235" s="228"/>
      <c r="Z235" s="228"/>
      <c r="AA235" s="172"/>
      <c r="AB235" s="172"/>
    </row>
    <row r="236" spans="1:28" ht="12.75" hidden="1" customHeight="1" outlineLevel="1">
      <c r="A236" s="225">
        <v>6</v>
      </c>
      <c r="B236" s="212" t="str">
        <f t="shared" ca="1" si="306"/>
        <v>Depreciated Net Capex 2021-22</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2022-23</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2023-24</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2024-25</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2025-26</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2026-27</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2027-28</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2028-29</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2029-30</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2030-31</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2031-32</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2032-33</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2033-34</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2034-35</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2035-36</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18</v>
      </c>
      <c r="D254" s="1348">
        <f t="shared" ref="D254" ca="1" si="325">IF(C254="n/a","n/a",MAX(0,C254-1))</f>
        <v>17</v>
      </c>
      <c r="E254" s="1348">
        <f t="shared" ref="E254:E255" ca="1" si="326">IF(D254="n/a","n/a",MAX(0,D254-1))</f>
        <v>16</v>
      </c>
      <c r="F254" s="1348">
        <f t="shared" ref="F254:F256" ca="1" si="327">IF(E254="n/a","n/a",MAX(0,E254-1))</f>
        <v>15</v>
      </c>
      <c r="G254" s="1348">
        <f t="shared" ref="G254:G257" ca="1" si="328">IF(F254="n/a","n/a",MAX(0,F254-1))</f>
        <v>14</v>
      </c>
      <c r="H254" s="1348">
        <f t="shared" ref="H254:H258" ca="1" si="329">IF(G254="n/a","n/a",MAX(0,G254-1))</f>
        <v>13</v>
      </c>
      <c r="I254" s="1348">
        <f t="shared" ref="I254:I259" ca="1" si="330">IF(H254="n/a","n/a",MAX(0,H254-1))</f>
        <v>12</v>
      </c>
      <c r="J254" s="1348">
        <f t="shared" ref="J254:J260" ca="1" si="331">IF(I254="n/a","n/a",MAX(0,I254-1))</f>
        <v>11</v>
      </c>
      <c r="K254" s="1348">
        <f t="shared" ref="K254:K261" ca="1" si="332">IF(J254="n/a","n/a",MAX(0,J254-1))</f>
        <v>10</v>
      </c>
      <c r="L254" s="1348">
        <f t="shared" ref="L254:L262" ca="1" si="333">IF(K254="n/a","n/a",MAX(0,K254-1))</f>
        <v>9</v>
      </c>
      <c r="M254" s="1348">
        <f t="shared" ref="M254:M263" ca="1" si="334">IF(L254="n/a","n/a",MAX(0,L254-1))</f>
        <v>8</v>
      </c>
      <c r="N254" s="1348">
        <f t="shared" ref="N254:N264" ca="1" si="335">IF(M254="n/a","n/a",MAX(0,M254-1))</f>
        <v>7</v>
      </c>
      <c r="O254" s="1348">
        <f t="shared" ref="O254:O265" ca="1" si="336">IF(N254="n/a","n/a",MAX(0,N254-1))</f>
        <v>6</v>
      </c>
      <c r="P254" s="1348">
        <f t="shared" ref="P254:P266" ca="1" si="337">IF(O254="n/a","n/a",MAX(0,O254-1))</f>
        <v>5</v>
      </c>
      <c r="Q254" s="1348">
        <f t="shared" ref="Q254:Q267" ca="1" si="338">IF(P254="n/a","n/a",MAX(0,P254-1))</f>
        <v>4</v>
      </c>
      <c r="R254" s="1348">
        <f t="shared" ref="R254:R268" ca="1" si="339">IF(Q254="n/a","n/a",MAX(0,Q254-1))</f>
        <v>3</v>
      </c>
      <c r="S254" s="1348">
        <f t="shared" ref="S254:S269" ca="1" si="340">IF(R254="n/a","n/a",MAX(0,R254-1))</f>
        <v>2</v>
      </c>
      <c r="T254" s="1348">
        <f t="shared" ref="T254:T270" ca="1" si="341">IF(S254="n/a","n/a",MAX(0,S254-1))</f>
        <v>1</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2016-17</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2017-18</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2018-19</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2019-20</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2020-21</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2021-22</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2022-23</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2023-24</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2024-25</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2025-26</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2026-27</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2027-28</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2028-29</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2029-30</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2030-31</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2031-32</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2032-33</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2033-34</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2034-35</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2035-36</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18</v>
      </c>
      <c r="D276" s="1356">
        <f ca="1">(IF(OR($C226&lt;&gt;"n/a",D226&lt;&gt;"n/a"),IF(SUM(D229:D251)=0,0,IF((SUMPRODUCT(D229:D251,D253:D275)/SUM(D229:D251))&lt;0,1,(SUMPRODUCT(D229:D251,D253:D275)/SUM(D229:D251)))),"n/a"))</f>
        <v>17</v>
      </c>
      <c r="E276" s="1356">
        <f t="shared" ref="E276:W276" ca="1" si="346">(IF(OR($C226&lt;&gt;"n/a",E226&lt;&gt;"n/a"),IF(SUM(E229:E251)=0,0,IF((SUMPRODUCT(E229:E251,E253:E275)/SUM(E229:E251))&lt;0,1,(SUMPRODUCT(E229:E251,E253:E275)/SUM(E229:E251)))),"n/a"))</f>
        <v>16</v>
      </c>
      <c r="F276" s="1356">
        <f t="shared" ca="1" si="346"/>
        <v>15.000000000000002</v>
      </c>
      <c r="G276" s="1356">
        <f t="shared" ca="1" si="346"/>
        <v>14</v>
      </c>
      <c r="H276" s="1356">
        <f t="shared" ca="1" si="346"/>
        <v>13</v>
      </c>
      <c r="I276" s="1356">
        <f t="shared" ca="1" si="346"/>
        <v>12</v>
      </c>
      <c r="J276" s="1356">
        <f t="shared" ca="1" si="346"/>
        <v>11.000000000000002</v>
      </c>
      <c r="K276" s="1356">
        <f t="shared" ca="1" si="346"/>
        <v>10</v>
      </c>
      <c r="L276" s="1356">
        <f t="shared" ca="1" si="346"/>
        <v>9</v>
      </c>
      <c r="M276" s="1356">
        <f t="shared" ca="1" si="346"/>
        <v>8</v>
      </c>
      <c r="N276" s="1356">
        <f t="shared" ca="1" si="346"/>
        <v>7</v>
      </c>
      <c r="O276" s="1356">
        <f t="shared" ca="1" si="346"/>
        <v>5.9999999999999991</v>
      </c>
      <c r="P276" s="1356">
        <f t="shared" ca="1" si="346"/>
        <v>4.9999999999999991</v>
      </c>
      <c r="Q276" s="1356">
        <f t="shared" ca="1" si="346"/>
        <v>4</v>
      </c>
      <c r="R276" s="1356">
        <f t="shared" ca="1" si="346"/>
        <v>3</v>
      </c>
      <c r="S276" s="1356">
        <f t="shared" ca="1" si="346"/>
        <v>2</v>
      </c>
      <c r="T276" s="1356">
        <f t="shared" ca="1" si="346"/>
        <v>1</v>
      </c>
      <c r="U276" s="1356">
        <f t="shared" ca="1" si="346"/>
        <v>0</v>
      </c>
      <c r="V276" s="1356">
        <f t="shared" ca="1" si="346"/>
        <v>0</v>
      </c>
      <c r="W276" s="1356">
        <f t="shared" ca="1" si="346"/>
        <v>0</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1.6442643290000001</v>
      </c>
      <c r="D279" s="1366">
        <f>'Capital base remaining lives'!D284</f>
        <v>3.9570500000000002E-3</v>
      </c>
      <c r="E279" s="1366">
        <f>'Capital base remaining lives'!E284</f>
        <v>7.9947080000000004E-2</v>
      </c>
      <c r="F279" s="1366">
        <f>'Capital base remaining lives'!F284</f>
        <v>0.35065796000000005</v>
      </c>
      <c r="G279" s="1366">
        <f>'Capital base remaining lives'!G284</f>
        <v>0.23417114999999999</v>
      </c>
      <c r="H279" s="1366">
        <f>'Capital base remaining lives'!H284</f>
        <v>0</v>
      </c>
      <c r="I279" s="1366">
        <f>'Capital base remaining lives'!I284</f>
        <v>0</v>
      </c>
      <c r="J279" s="1366">
        <f>'Capital base remaining lives'!J284</f>
        <v>0</v>
      </c>
      <c r="K279" s="1366">
        <f>'Capital base remaining lives'!K284</f>
        <v>0</v>
      </c>
      <c r="L279" s="1366">
        <f>'Capital base remaining lives'!L284</f>
        <v>0</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9.0570071005900914</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1.6442643290000001</v>
      </c>
      <c r="D284" s="1348">
        <f ca="1">IF(C308="n/a",C284,IFERROR(IF((OFFSET($C284,0,$A284))&lt;0,
MIN(0,C284-(OFFSET($C284,0,$A284)/(OFFSET($C279,-$A283,$A284)))),
MAX(0,C284-(OFFSET($C284,0,$A284)/(OFFSET($C279,-$A283,$A284))))),0))</f>
        <v>1.4627182276512585</v>
      </c>
      <c r="E284" s="1348">
        <f t="shared" ref="E284" ca="1" si="366">IF(D308="n/a",D284,IFERROR(IF((OFFSET($C284,0,$A284))&lt;0,
MIN(0,D284-(OFFSET($C284,0,$A284)/(OFFSET($C279,-$A283,$A284)))),
MAX(0,D284-(OFFSET($C284,0,$A284)/(OFFSET($C279,-$A283,$A284))))),0))</f>
        <v>1.2811721263025171</v>
      </c>
      <c r="F284" s="1348">
        <f t="shared" ref="F284:F285" ca="1" si="367">IF(E308="n/a",E284,IFERROR(IF((OFFSET($C284,0,$A284))&lt;0,
MIN(0,E284-(OFFSET($C284,0,$A284)/(OFFSET($C279,-$A283,$A284)))),
MAX(0,E284-(OFFSET($C284,0,$A284)/(OFFSET($C279,-$A283,$A284))))),0))</f>
        <v>1.0996260249537757</v>
      </c>
      <c r="G284" s="1348">
        <f t="shared" ref="G284:G286" ca="1" si="368">IF(F308="n/a",F284,IFERROR(IF((OFFSET($C284,0,$A284))&lt;0,
MIN(0,F284-(OFFSET($C284,0,$A284)/(OFFSET($C279,-$A283,$A284)))),
MAX(0,F284-(OFFSET($C284,0,$A284)/(OFFSET($C279,-$A283,$A284))))),0))</f>
        <v>0.91807992360503421</v>
      </c>
      <c r="H284" s="1348">
        <f t="shared" ref="H284:H287" ca="1" si="369">IF(G308="n/a",G284,IFERROR(IF((OFFSET($C284,0,$A284))&lt;0,
MIN(0,G284-(OFFSET($C284,0,$A284)/(OFFSET($C279,-$A283,$A284)))),
MAX(0,G284-(OFFSET($C284,0,$A284)/(OFFSET($C279,-$A283,$A284))))),0))</f>
        <v>0.73653382225629271</v>
      </c>
      <c r="I284" s="1348">
        <f t="shared" ref="I284:I288" ca="1" si="370">IF(H308="n/a",H284,IFERROR(IF((OFFSET($C284,0,$A284))&lt;0,
MIN(0,H284-(OFFSET($C284,0,$A284)/(OFFSET($C279,-$A283,$A284)))),
MAX(0,H284-(OFFSET($C284,0,$A284)/(OFFSET($C279,-$A283,$A284))))),0))</f>
        <v>0.55498772090755122</v>
      </c>
      <c r="J284" s="1348">
        <f t="shared" ref="J284:J289" ca="1" si="371">IF(I308="n/a",I284,IFERROR(IF((OFFSET($C284,0,$A284))&lt;0,
MIN(0,I284-(OFFSET($C284,0,$A284)/(OFFSET($C279,-$A283,$A284)))),
MAX(0,I284-(OFFSET($C284,0,$A284)/(OFFSET($C279,-$A283,$A284))))),0))</f>
        <v>0.37344161955880972</v>
      </c>
      <c r="K284" s="1348">
        <f t="shared" ref="K284:K290" ca="1" si="372">IF(J308="n/a",J284,IFERROR(IF((OFFSET($C284,0,$A284))&lt;0,
MIN(0,J284-(OFFSET($C284,0,$A284)/(OFFSET($C279,-$A283,$A284)))),
MAX(0,J284-(OFFSET($C284,0,$A284)/(OFFSET($C279,-$A283,$A284))))),0))</f>
        <v>0.19189551821006823</v>
      </c>
      <c r="L284" s="1348">
        <f t="shared" ref="L284:L291" ca="1" si="373">IF(K308="n/a",K284,IFERROR(IF((OFFSET($C284,0,$A284))&lt;0,
MIN(0,K284-(OFFSET($C284,0,$A284)/(OFFSET($C279,-$A283,$A284)))),
MAX(0,K284-(OFFSET($C284,0,$A284)/(OFFSET($C279,-$A283,$A284))))),0))</f>
        <v>1.0349416861326732E-2</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2016-17</v>
      </c>
      <c r="C285" s="1349"/>
      <c r="D285" s="1350">
        <f>D279</f>
        <v>3.9570500000000002E-3</v>
      </c>
      <c r="E285" s="1348">
        <f ca="1">IF(D309="n/a",D285,IFERROR(IF((OFFSET($C285,0,$A285))&lt;0,
MIN(0,D285-(OFFSET($C285,0,$A285)/(OFFSET($C280,-$A284,$A285)))),
MAX(0,D285-(OFFSET($C285,0,$A285)/(OFFSET($C280,-$A284,$A285))))),0))</f>
        <v>3.561345E-3</v>
      </c>
      <c r="F285" s="1348">
        <f t="shared" ca="1" si="367"/>
        <v>3.1656399999999999E-3</v>
      </c>
      <c r="G285" s="1348">
        <f t="shared" ca="1" si="368"/>
        <v>2.7699349999999998E-3</v>
      </c>
      <c r="H285" s="1348">
        <f t="shared" ca="1" si="369"/>
        <v>2.3742299999999997E-3</v>
      </c>
      <c r="I285" s="1348">
        <f t="shared" ca="1" si="370"/>
        <v>1.9785249999999996E-3</v>
      </c>
      <c r="J285" s="1348">
        <f t="shared" ca="1" si="371"/>
        <v>1.5828199999999995E-3</v>
      </c>
      <c r="K285" s="1348">
        <f t="shared" ca="1" si="372"/>
        <v>1.1871149999999994E-3</v>
      </c>
      <c r="L285" s="1348">
        <f t="shared" ca="1" si="373"/>
        <v>7.9140999999999944E-4</v>
      </c>
      <c r="M285" s="1348">
        <f t="shared" ca="1" si="374"/>
        <v>3.9570499999999945E-4</v>
      </c>
      <c r="N285" s="1348">
        <f t="shared" ca="1" si="375"/>
        <v>0</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2017-18</v>
      </c>
      <c r="C286" s="1351"/>
      <c r="D286" s="1352"/>
      <c r="E286" s="1350">
        <f>E279</f>
        <v>7.9947080000000004E-2</v>
      </c>
      <c r="F286" s="1348">
        <f ca="1">IF(E310="n/a",E286,IFERROR(IF((OFFSET($C286,0,$A286))&lt;0,
MIN(0,E286-(OFFSET($C286,0,$A286)/(OFFSET($C281,-$A285,$A286)))),
MAX(0,E286-(OFFSET($C286,0,$A286)/(OFFSET($C281,-$A285,$A286))))),0))</f>
        <v>7.1952372000000001E-2</v>
      </c>
      <c r="G286" s="1348">
        <f t="shared" ca="1" si="368"/>
        <v>6.3957663999999997E-2</v>
      </c>
      <c r="H286" s="1348">
        <f t="shared" ca="1" si="369"/>
        <v>5.5962955999999994E-2</v>
      </c>
      <c r="I286" s="1348">
        <f t="shared" ca="1" si="370"/>
        <v>4.7968247999999991E-2</v>
      </c>
      <c r="J286" s="1348">
        <f t="shared" ca="1" si="371"/>
        <v>3.9973539999999988E-2</v>
      </c>
      <c r="K286" s="1348">
        <f t="shared" ca="1" si="372"/>
        <v>3.1978831999999985E-2</v>
      </c>
      <c r="L286" s="1348">
        <f t="shared" ca="1" si="373"/>
        <v>2.3984123999999985E-2</v>
      </c>
      <c r="M286" s="1348">
        <f t="shared" ca="1" si="374"/>
        <v>1.5989415999999985E-2</v>
      </c>
      <c r="N286" s="1348">
        <f t="shared" ca="1" si="375"/>
        <v>7.9947079999999858E-3</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2018-19</v>
      </c>
      <c r="C287" s="1351"/>
      <c r="D287" s="1351"/>
      <c r="E287" s="1352"/>
      <c r="F287" s="1353">
        <f>F279</f>
        <v>0.35065796000000005</v>
      </c>
      <c r="G287" s="1348">
        <f ca="1">IF(F311="n/a",F287,IFERROR(IF((OFFSET($C287,0,$A287))&lt;0,
MIN(0,F287-(OFFSET($C287,0,$A287)/(OFFSET($C282,-$A286,$A287)))),
MAX(0,F287-(OFFSET($C287,0,$A287)/(OFFSET($C282,-$A286,$A287))))),0))</f>
        <v>0.31559216400000006</v>
      </c>
      <c r="H287" s="1348">
        <f t="shared" ca="1" si="369"/>
        <v>0.28052636800000008</v>
      </c>
      <c r="I287" s="1348">
        <f t="shared" ca="1" si="370"/>
        <v>0.24546057200000007</v>
      </c>
      <c r="J287" s="1348">
        <f t="shared" ca="1" si="371"/>
        <v>0.21039477600000006</v>
      </c>
      <c r="K287" s="1348">
        <f t="shared" ca="1" si="372"/>
        <v>0.17532898000000005</v>
      </c>
      <c r="L287" s="1348">
        <f t="shared" ca="1" si="373"/>
        <v>0.14026318400000004</v>
      </c>
      <c r="M287" s="1348">
        <f t="shared" ca="1" si="374"/>
        <v>0.10519738800000003</v>
      </c>
      <c r="N287" s="1348">
        <f t="shared" ca="1" si="375"/>
        <v>7.013159200000002E-2</v>
      </c>
      <c r="O287" s="1348">
        <f t="shared" ca="1" si="376"/>
        <v>3.5065796000000017E-2</v>
      </c>
      <c r="P287" s="1348">
        <f t="shared" ca="1" si="377"/>
        <v>1.3877787807814457E-17</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2019-20</v>
      </c>
      <c r="C288" s="1351"/>
      <c r="D288" s="1351"/>
      <c r="E288" s="1351"/>
      <c r="F288" s="1352"/>
      <c r="G288" s="1353">
        <f>G279</f>
        <v>0.23417114999999999</v>
      </c>
      <c r="H288" s="1348">
        <f ca="1">IF(G312="n/a",G288,IFERROR(IF((OFFSET($C288,0,$A288))&lt;0,
MIN(0,G288-(OFFSET($C288,0,$A288)/(OFFSET($C283,-$A287,$A288)))),
MAX(0,G288-(OFFSET($C288,0,$A288)/(OFFSET($C283,-$A287,$A288))))),0))</f>
        <v>0.21075403500000001</v>
      </c>
      <c r="I288" s="1348">
        <f t="shared" ca="1" si="370"/>
        <v>0.18733692000000002</v>
      </c>
      <c r="J288" s="1348">
        <f t="shared" ca="1" si="371"/>
        <v>0.16391980500000003</v>
      </c>
      <c r="K288" s="1348">
        <f t="shared" ca="1" si="372"/>
        <v>0.14050269000000004</v>
      </c>
      <c r="L288" s="1348">
        <f t="shared" ca="1" si="373"/>
        <v>0.11708557500000004</v>
      </c>
      <c r="M288" s="1348">
        <f t="shared" ca="1" si="374"/>
        <v>9.3668460000000037E-2</v>
      </c>
      <c r="N288" s="1348">
        <f t="shared" ca="1" si="375"/>
        <v>7.0251345000000034E-2</v>
      </c>
      <c r="O288" s="1348">
        <f t="shared" ca="1" si="376"/>
        <v>4.6834230000000032E-2</v>
      </c>
      <c r="P288" s="1348">
        <f t="shared" ca="1" si="377"/>
        <v>2.3417115000000033E-2</v>
      </c>
      <c r="Q288" s="1348">
        <f t="shared" ca="1" si="378"/>
        <v>3.4694469519536142E-17</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2020-21</v>
      </c>
      <c r="C289" s="1351"/>
      <c r="D289" s="1351"/>
      <c r="E289" s="1351"/>
      <c r="F289" s="1351"/>
      <c r="G289" s="1352"/>
      <c r="H289" s="1353">
        <f>H279</f>
        <v>0</v>
      </c>
      <c r="I289" s="1348">
        <f ca="1">IF(H313="n/a",H289,IFERROR(IF((OFFSET($C289,0,$A289))&lt;0,
MIN(0,H289-(OFFSET($C289,0,$A289)/(OFFSET($C284,-$A288,$A289)))),
MAX(0,H289-(OFFSET($C289,0,$A289)/(OFFSET($C284,-$A288,$A289))))),0))</f>
        <v>0</v>
      </c>
      <c r="J289" s="1348">
        <f t="shared" ca="1" si="371"/>
        <v>0</v>
      </c>
      <c r="K289" s="1348">
        <f t="shared" ca="1" si="372"/>
        <v>0</v>
      </c>
      <c r="L289" s="1348">
        <f t="shared" ca="1" si="373"/>
        <v>0</v>
      </c>
      <c r="M289" s="1348">
        <f t="shared" ca="1" si="374"/>
        <v>0</v>
      </c>
      <c r="N289" s="1348">
        <f t="shared" ca="1" si="375"/>
        <v>0</v>
      </c>
      <c r="O289" s="1348">
        <f t="shared" ca="1" si="376"/>
        <v>0</v>
      </c>
      <c r="P289" s="1348">
        <f t="shared" ca="1" si="377"/>
        <v>0</v>
      </c>
      <c r="Q289" s="1348">
        <f t="shared" ca="1" si="378"/>
        <v>0</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2021-22</v>
      </c>
      <c r="C290" s="1351"/>
      <c r="D290" s="1351"/>
      <c r="E290" s="1351"/>
      <c r="F290" s="1351"/>
      <c r="G290" s="1351"/>
      <c r="H290" s="1352"/>
      <c r="I290" s="1353">
        <f>I279</f>
        <v>0</v>
      </c>
      <c r="J290" s="1348">
        <f ca="1">IF(I314="n/a",I290,IFERROR(IF((OFFSET($C290,0,$A290))&lt;0,
MIN(0,I290-(OFFSET($C290,0,$A290)/(OFFSET($C285,-$A289,$A290)))),
MAX(0,I290-(OFFSET($C290,0,$A290)/(OFFSET($C285,-$A289,$A290))))),0))</f>
        <v>0</v>
      </c>
      <c r="K290" s="1348">
        <f t="shared" ca="1" si="372"/>
        <v>0</v>
      </c>
      <c r="L290" s="1348">
        <f t="shared" ca="1" si="373"/>
        <v>0</v>
      </c>
      <c r="M290" s="1348">
        <f t="shared" ca="1" si="374"/>
        <v>0</v>
      </c>
      <c r="N290" s="1348">
        <f t="shared" ca="1" si="375"/>
        <v>0</v>
      </c>
      <c r="O290" s="1348">
        <f t="shared" ca="1" si="376"/>
        <v>0</v>
      </c>
      <c r="P290" s="1348">
        <f t="shared" ca="1" si="377"/>
        <v>0</v>
      </c>
      <c r="Q290" s="1348">
        <f t="shared" ca="1" si="378"/>
        <v>0</v>
      </c>
      <c r="R290" s="1348">
        <f t="shared" ca="1" si="379"/>
        <v>0</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2022-23</v>
      </c>
      <c r="C291" s="1351"/>
      <c r="D291" s="1351"/>
      <c r="E291" s="1351"/>
      <c r="F291" s="1351"/>
      <c r="G291" s="1351"/>
      <c r="H291" s="1351"/>
      <c r="I291" s="1352"/>
      <c r="J291" s="1353">
        <f>J279</f>
        <v>0</v>
      </c>
      <c r="K291" s="1348">
        <f ca="1">IF(J315="n/a",J291,IFERROR(IF((OFFSET($C291,0,$A291))&lt;0,
MIN(0,J291-(OFFSET($C291,0,$A291)/(OFFSET($C286,-$A290,$A291)))),
MAX(0,J291-(OFFSET($C291,0,$A291)/(OFFSET($C286,-$A290,$A291))))),0))</f>
        <v>0</v>
      </c>
      <c r="L291" s="1348">
        <f t="shared" ca="1" si="373"/>
        <v>0</v>
      </c>
      <c r="M291" s="1348">
        <f t="shared" ca="1" si="374"/>
        <v>0</v>
      </c>
      <c r="N291" s="1348">
        <f t="shared" ca="1" si="375"/>
        <v>0</v>
      </c>
      <c r="O291" s="1348">
        <f t="shared" ca="1" si="376"/>
        <v>0</v>
      </c>
      <c r="P291" s="1348">
        <f t="shared" ca="1" si="377"/>
        <v>0</v>
      </c>
      <c r="Q291" s="1348">
        <f t="shared" ca="1" si="378"/>
        <v>0</v>
      </c>
      <c r="R291" s="1348">
        <f t="shared" ca="1" si="379"/>
        <v>0</v>
      </c>
      <c r="S291" s="1348">
        <f t="shared" ca="1" si="380"/>
        <v>0</v>
      </c>
      <c r="T291" s="1348">
        <f t="shared" ca="1" si="381"/>
        <v>0</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2023-24</v>
      </c>
      <c r="C292" s="1351"/>
      <c r="D292" s="1351"/>
      <c r="E292" s="1351"/>
      <c r="F292" s="1351"/>
      <c r="G292" s="1351"/>
      <c r="H292" s="1351"/>
      <c r="I292" s="1351"/>
      <c r="J292" s="1352"/>
      <c r="K292" s="1353">
        <f>K279</f>
        <v>0</v>
      </c>
      <c r="L292" s="1348">
        <f ca="1">IF(K316="n/a",K292,IFERROR(IF((OFFSET($C292,0,$A292))&lt;0,
MIN(0,K292-(OFFSET($C292,0,$A292)/(OFFSET($C287,-$A291,$A292)))),
MAX(0,K292-(OFFSET($C292,0,$A292)/(OFFSET($C287,-$A291,$A292))))),0))</f>
        <v>0</v>
      </c>
      <c r="M292" s="1348">
        <f t="shared" ca="1" si="374"/>
        <v>0</v>
      </c>
      <c r="N292" s="1348">
        <f t="shared" ca="1" si="375"/>
        <v>0</v>
      </c>
      <c r="O292" s="1348">
        <f t="shared" ca="1" si="376"/>
        <v>0</v>
      </c>
      <c r="P292" s="1348">
        <f t="shared" ca="1" si="377"/>
        <v>0</v>
      </c>
      <c r="Q292" s="1348">
        <f t="shared" ca="1" si="378"/>
        <v>0</v>
      </c>
      <c r="R292" s="1348">
        <f t="shared" ca="1" si="379"/>
        <v>0</v>
      </c>
      <c r="S292" s="1348">
        <f t="shared" ca="1" si="380"/>
        <v>0</v>
      </c>
      <c r="T292" s="1348">
        <f t="shared" ca="1" si="381"/>
        <v>0</v>
      </c>
      <c r="U292" s="1348">
        <f t="shared" ca="1" si="382"/>
        <v>0</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2024-25</v>
      </c>
      <c r="C293" s="1351"/>
      <c r="D293" s="1351"/>
      <c r="E293" s="1351"/>
      <c r="F293" s="1351"/>
      <c r="G293" s="1351"/>
      <c r="H293" s="1351"/>
      <c r="I293" s="1351"/>
      <c r="J293" s="1351"/>
      <c r="K293" s="1352"/>
      <c r="L293" s="1353">
        <f>L279</f>
        <v>0</v>
      </c>
      <c r="M293" s="1348">
        <f ca="1">IF(L317="n/a",L293,IFERROR(IF((OFFSET($C293,0,$A293))&lt;0,
MIN(0,L293-(OFFSET($C293,0,$A293)/(OFFSET($C288,-$A292,$A293)))),
MAX(0,L293-(OFFSET($C293,0,$A293)/(OFFSET($C288,-$A292,$A293))))),0))</f>
        <v>0</v>
      </c>
      <c r="N293" s="1348">
        <f t="shared" ca="1" si="375"/>
        <v>0</v>
      </c>
      <c r="O293" s="1348">
        <f t="shared" ca="1" si="376"/>
        <v>0</v>
      </c>
      <c r="P293" s="1348">
        <f t="shared" ca="1" si="377"/>
        <v>0</v>
      </c>
      <c r="Q293" s="1348">
        <f t="shared" ca="1" si="378"/>
        <v>0</v>
      </c>
      <c r="R293" s="1348">
        <f t="shared" ca="1" si="379"/>
        <v>0</v>
      </c>
      <c r="S293" s="1348">
        <f t="shared" ca="1" si="380"/>
        <v>0</v>
      </c>
      <c r="T293" s="1348">
        <f t="shared" ca="1" si="381"/>
        <v>0</v>
      </c>
      <c r="U293" s="1348">
        <f t="shared" ca="1" si="382"/>
        <v>0</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2025-26</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2026-27</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2027-28</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2028-29</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2029-30</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2030-31</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2031-32</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2032-33</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2033-34</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2034-35</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2035-36</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9.0570071005900914</v>
      </c>
      <c r="D308" s="1348">
        <f t="shared" ref="D308" ca="1" si="404">IF(C308="n/a","n/a",MAX(0,C308-1))</f>
        <v>8.0570071005900914</v>
      </c>
      <c r="E308" s="1348">
        <f t="shared" ref="E308:E309" ca="1" si="405">IF(D308="n/a","n/a",MAX(0,D308-1))</f>
        <v>7.0570071005900914</v>
      </c>
      <c r="F308" s="1348">
        <f t="shared" ref="F308:F310" ca="1" si="406">IF(E308="n/a","n/a",MAX(0,E308-1))</f>
        <v>6.0570071005900914</v>
      </c>
      <c r="G308" s="1348">
        <f t="shared" ref="G308:G311" ca="1" si="407">IF(F308="n/a","n/a",MAX(0,F308-1))</f>
        <v>5.0570071005900914</v>
      </c>
      <c r="H308" s="1348">
        <f t="shared" ref="H308:H312" ca="1" si="408">IF(G308="n/a","n/a",MAX(0,G308-1))</f>
        <v>4.0570071005900914</v>
      </c>
      <c r="I308" s="1348">
        <f t="shared" ref="I308:I313" ca="1" si="409">IF(H308="n/a","n/a",MAX(0,H308-1))</f>
        <v>3.0570071005900914</v>
      </c>
      <c r="J308" s="1348">
        <f t="shared" ref="J308:J314" ca="1" si="410">IF(I308="n/a","n/a",MAX(0,I308-1))</f>
        <v>2.0570071005900914</v>
      </c>
      <c r="K308" s="1348">
        <f t="shared" ref="K308:K315" ca="1" si="411">IF(J308="n/a","n/a",MAX(0,J308-1))</f>
        <v>1.0570071005900914</v>
      </c>
      <c r="L308" s="1348">
        <f t="shared" ref="L308:L316" ca="1" si="412">IF(K308="n/a","n/a",MAX(0,K308-1))</f>
        <v>5.7007100590091397E-2</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2016-17</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2017-18</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2018-19</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2019-20</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2020-21</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2021-22</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2022-23</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2023-24</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2024-25</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2025-26</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2026-27</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2027-28</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2028-29</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2029-30</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2030-31</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2031-32</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2032-33</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2033-34</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2034-35</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2035-36</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9.0570071005900914</v>
      </c>
      <c r="D330" s="1356">
        <f ca="1">(IF(OR($C280&lt;&gt;"n/a",D280&lt;&gt;"n/a"),IF(SUM(D283:D305)=0,0,IF((SUMPRODUCT(D283:D305,D307:D329)/SUM(D283:D305))&lt;0,1,(SUMPRODUCT(D283:D305,D307:D329)/SUM(D283:D305)))),"n/a"))</f>
        <v>8.0622492425759589</v>
      </c>
      <c r="E330" s="1356">
        <f t="shared" ref="E330:W330" ca="1" si="425">(IF(OR($C280&lt;&gt;"n/a",E280&lt;&gt;"n/a"),IF(SUM(E283:E305)=0,0,IF((SUMPRODUCT(E283:E305,E307:E329)/SUM(E283:E305))&lt;0,1,(SUMPRODUCT(E283:E305,E307:E329)/SUM(E283:E305)))),"n/a"))</f>
        <v>7.2344869925580211</v>
      </c>
      <c r="F330" s="1356">
        <f t="shared" ca="1" si="425"/>
        <v>7.1062701706081217</v>
      </c>
      <c r="G330" s="1356">
        <f t="shared" ca="1" si="425"/>
        <v>6.7483548354732852</v>
      </c>
      <c r="H330" s="1356">
        <f t="shared" ca="1" si="425"/>
        <v>5.8586463551428718</v>
      </c>
      <c r="I330" s="1356">
        <f t="shared" ca="1" si="425"/>
        <v>5.02174256101127</v>
      </c>
      <c r="J330" s="1356">
        <f t="shared" ca="1" si="425"/>
        <v>4.2875009257326893</v>
      </c>
      <c r="K330" s="1356">
        <f t="shared" ca="1" si="425"/>
        <v>3.7973723543778202</v>
      </c>
      <c r="L330" s="1356">
        <f t="shared" ca="1" si="425"/>
        <v>4.1733863663397281</v>
      </c>
      <c r="M330" s="1356">
        <f t="shared" ca="1" si="425"/>
        <v>3.3571999436620428</v>
      </c>
      <c r="N330" s="1356">
        <f t="shared" ca="1" si="425"/>
        <v>2.4195823231996978</v>
      </c>
      <c r="O330" s="1356">
        <f t="shared" ca="1" si="425"/>
        <v>1.5718463386080002</v>
      </c>
      <c r="P330" s="1356">
        <f t="shared" ca="1" si="425"/>
        <v>0.99999999999999944</v>
      </c>
      <c r="Q330" s="1356">
        <f t="shared" ca="1" si="425"/>
        <v>0</v>
      </c>
      <c r="R330" s="1356">
        <f t="shared" ca="1" si="425"/>
        <v>0</v>
      </c>
      <c r="S330" s="1356">
        <f t="shared" ca="1" si="425"/>
        <v>0</v>
      </c>
      <c r="T330" s="1356">
        <f t="shared" ca="1" si="425"/>
        <v>0</v>
      </c>
      <c r="U330" s="1356">
        <f t="shared" ca="1" si="425"/>
        <v>0</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1.8821231995618855</v>
      </c>
      <c r="D333" s="1366">
        <f>'Capital base remaining lives'!D338</f>
        <v>0</v>
      </c>
      <c r="E333" s="1366">
        <f>'Capital base remaining lives'!E338</f>
        <v>0</v>
      </c>
      <c r="F333" s="1366">
        <f>'Capital base remaining lives'!F338</f>
        <v>0</v>
      </c>
      <c r="G333" s="1366">
        <f>'Capital base remaining lives'!G338</f>
        <v>0</v>
      </c>
      <c r="H333" s="1366">
        <f>'Capital base remaining lives'!H338</f>
        <v>0</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23.116706080935028</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1.8821231995618855</v>
      </c>
      <c r="D338" s="1348">
        <f ca="1">IF(C362="n/a",C338,IFERROR(IF((OFFSET($C338,0,$A338))&lt;0,
MIN(0,C338-(OFFSET($C338,0,$A338)/(OFFSET($C333,-$A337,$A338)))),
MAX(0,C338-(OFFSET($C338,0,$A338)/(OFFSET($C333,-$A337,$A338))))),0))</f>
        <v>1.8007048870664852</v>
      </c>
      <c r="E338" s="1348">
        <f t="shared" ref="E338" ca="1" si="445">IF(D362="n/a",D338,IFERROR(IF((OFFSET($C338,0,$A338))&lt;0,
MIN(0,D338-(OFFSET($C338,0,$A338)/(OFFSET($C333,-$A337,$A338)))),
MAX(0,D338-(OFFSET($C338,0,$A338)/(OFFSET($C333,-$A337,$A338))))),0))</f>
        <v>1.719286574571085</v>
      </c>
      <c r="F338" s="1348">
        <f t="shared" ref="F338:F339" ca="1" si="446">IF(E362="n/a",E338,IFERROR(IF((OFFSET($C338,0,$A338))&lt;0,
MIN(0,E338-(OFFSET($C338,0,$A338)/(OFFSET($C333,-$A337,$A338)))),
MAX(0,E338-(OFFSET($C338,0,$A338)/(OFFSET($C333,-$A337,$A338))))),0))</f>
        <v>1.6378682620756848</v>
      </c>
      <c r="G338" s="1348">
        <f t="shared" ref="G338:G340" ca="1" si="447">IF(F362="n/a",F338,IFERROR(IF((OFFSET($C338,0,$A338))&lt;0,
MIN(0,F338-(OFFSET($C338,0,$A338)/(OFFSET($C333,-$A337,$A338)))),
MAX(0,F338-(OFFSET($C338,0,$A338)/(OFFSET($C333,-$A337,$A338))))),0))</f>
        <v>1.5564499495802846</v>
      </c>
      <c r="H338" s="1348">
        <f t="shared" ref="H338:H341" ca="1" si="448">IF(G362="n/a",G338,IFERROR(IF((OFFSET($C338,0,$A338))&lt;0,
MIN(0,G338-(OFFSET($C338,0,$A338)/(OFFSET($C333,-$A337,$A338)))),
MAX(0,G338-(OFFSET($C338,0,$A338)/(OFFSET($C333,-$A337,$A338))))),0))</f>
        <v>1.4750316370848844</v>
      </c>
      <c r="I338" s="1348">
        <f t="shared" ref="I338:I342" ca="1" si="449">IF(H362="n/a",H338,IFERROR(IF((OFFSET($C338,0,$A338))&lt;0,
MIN(0,H338-(OFFSET($C338,0,$A338)/(OFFSET($C333,-$A337,$A338)))),
MAX(0,H338-(OFFSET($C338,0,$A338)/(OFFSET($C333,-$A337,$A338))))),0))</f>
        <v>1.3936133245894842</v>
      </c>
      <c r="J338" s="1348">
        <f t="shared" ref="J338:J343" ca="1" si="450">IF(I362="n/a",I338,IFERROR(IF((OFFSET($C338,0,$A338))&lt;0,
MIN(0,I338-(OFFSET($C338,0,$A338)/(OFFSET($C333,-$A337,$A338)))),
MAX(0,I338-(OFFSET($C338,0,$A338)/(OFFSET($C333,-$A337,$A338))))),0))</f>
        <v>1.312195012094084</v>
      </c>
      <c r="K338" s="1348">
        <f t="shared" ref="K338:K344" ca="1" si="451">IF(J362="n/a",J338,IFERROR(IF((OFFSET($C338,0,$A338))&lt;0,
MIN(0,J338-(OFFSET($C338,0,$A338)/(OFFSET($C333,-$A337,$A338)))),
MAX(0,J338-(OFFSET($C338,0,$A338)/(OFFSET($C333,-$A337,$A338))))),0))</f>
        <v>1.2307766995986837</v>
      </c>
      <c r="L338" s="1348">
        <f t="shared" ref="L338:L345" ca="1" si="452">IF(K362="n/a",K338,IFERROR(IF((OFFSET($C338,0,$A338))&lt;0,
MIN(0,K338-(OFFSET($C338,0,$A338)/(OFFSET($C333,-$A337,$A338)))),
MAX(0,K338-(OFFSET($C338,0,$A338)/(OFFSET($C333,-$A337,$A338))))),0))</f>
        <v>1.1493583871032835</v>
      </c>
      <c r="M338" s="1348">
        <f t="shared" ref="M338:M346" ca="1" si="453">IF(L362="n/a",L338,IFERROR(IF((OFFSET($C338,0,$A338))&lt;0,
MIN(0,L338-(OFFSET($C338,0,$A338)/(OFFSET($C333,-$A337,$A338)))),
MAX(0,L338-(OFFSET($C338,0,$A338)/(OFFSET($C333,-$A337,$A338))))),0))</f>
        <v>1.0679400746078833</v>
      </c>
      <c r="N338" s="1348">
        <f t="shared" ref="N338:N347" ca="1" si="454">IF(M362="n/a",M338,IFERROR(IF((OFFSET($C338,0,$A338))&lt;0,
MIN(0,M338-(OFFSET($C338,0,$A338)/(OFFSET($C333,-$A337,$A338)))),
MAX(0,M338-(OFFSET($C338,0,$A338)/(OFFSET($C333,-$A337,$A338))))),0))</f>
        <v>0.9865217621124831</v>
      </c>
      <c r="O338" s="1348">
        <f t="shared" ref="O338:O348" ca="1" si="455">IF(N362="n/a",N338,IFERROR(IF((OFFSET($C338,0,$A338))&lt;0,
MIN(0,N338-(OFFSET($C338,0,$A338)/(OFFSET($C333,-$A337,$A338)))),
MAX(0,N338-(OFFSET($C338,0,$A338)/(OFFSET($C333,-$A337,$A338))))),0))</f>
        <v>0.90510344961708289</v>
      </c>
      <c r="P338" s="1348">
        <f t="shared" ref="P338:P349" ca="1" si="456">IF(O362="n/a",O338,IFERROR(IF((OFFSET($C338,0,$A338))&lt;0,
MIN(0,O338-(OFFSET($C338,0,$A338)/(OFFSET($C333,-$A337,$A338)))),
MAX(0,O338-(OFFSET($C338,0,$A338)/(OFFSET($C333,-$A337,$A338))))),0))</f>
        <v>0.82368513712168268</v>
      </c>
      <c r="Q338" s="1348">
        <f t="shared" ref="Q338:Q350" ca="1" si="457">IF(P362="n/a",P338,IFERROR(IF((OFFSET($C338,0,$A338))&lt;0,
MIN(0,P338-(OFFSET($C338,0,$A338)/(OFFSET($C333,-$A337,$A338)))),
MAX(0,P338-(OFFSET($C338,0,$A338)/(OFFSET($C333,-$A337,$A338))))),0))</f>
        <v>0.74226682462628246</v>
      </c>
      <c r="R338" s="1348">
        <f t="shared" ref="R338:R351" ca="1" si="458">IF(Q362="n/a",Q338,IFERROR(IF((OFFSET($C338,0,$A338))&lt;0,
MIN(0,Q338-(OFFSET($C338,0,$A338)/(OFFSET($C333,-$A337,$A338)))),
MAX(0,Q338-(OFFSET($C338,0,$A338)/(OFFSET($C333,-$A337,$A338))))),0))</f>
        <v>0.66084851213088225</v>
      </c>
      <c r="S338" s="1348">
        <f t="shared" ref="S338:S352" ca="1" si="459">IF(R362="n/a",R338,IFERROR(IF((OFFSET($C338,0,$A338))&lt;0,
MIN(0,R338-(OFFSET($C338,0,$A338)/(OFFSET($C333,-$A337,$A338)))),
MAX(0,R338-(OFFSET($C338,0,$A338)/(OFFSET($C333,-$A337,$A338))))),0))</f>
        <v>0.57943019963548203</v>
      </c>
      <c r="T338" s="1348">
        <f t="shared" ref="T338:T353" ca="1" si="460">IF(S362="n/a",S338,IFERROR(IF((OFFSET($C338,0,$A338))&lt;0,
MIN(0,S338-(OFFSET($C338,0,$A338)/(OFFSET($C333,-$A337,$A338)))),
MAX(0,S338-(OFFSET($C338,0,$A338)/(OFFSET($C333,-$A337,$A338))))),0))</f>
        <v>0.49801188714008188</v>
      </c>
      <c r="U338" s="1348">
        <f t="shared" ref="U338:U354" ca="1" si="461">IF(T362="n/a",T338,IFERROR(IF((OFFSET($C338,0,$A338))&lt;0,
MIN(0,T338-(OFFSET($C338,0,$A338)/(OFFSET($C333,-$A337,$A338)))),
MAX(0,T338-(OFFSET($C338,0,$A338)/(OFFSET($C333,-$A337,$A338))))),0))</f>
        <v>0.41659357464468172</v>
      </c>
      <c r="V338" s="1348">
        <f t="shared" ref="V338:V355" ca="1" si="462">IF(U362="n/a",U338,IFERROR(IF((OFFSET($C338,0,$A338))&lt;0,
MIN(0,U338-(OFFSET($C338,0,$A338)/(OFFSET($C333,-$A337,$A338)))),
MAX(0,U338-(OFFSET($C338,0,$A338)/(OFFSET($C333,-$A337,$A338))))),0))</f>
        <v>0.33517526214928156</v>
      </c>
      <c r="W338" s="1348">
        <f t="shared" ref="W338:W356" ca="1" si="463">IF(V362="n/a",V338,IFERROR(IF((OFFSET($C338,0,$A338))&lt;0,
MIN(0,V338-(OFFSET($C338,0,$A338)/(OFFSET($C333,-$A337,$A338)))),
MAX(0,V338-(OFFSET($C338,0,$A338)/(OFFSET($C333,-$A337,$A338))))),0))</f>
        <v>0.2537569496538814</v>
      </c>
      <c r="X338" s="172"/>
      <c r="Y338" s="172"/>
      <c r="Z338" s="172"/>
      <c r="AA338" s="172"/>
      <c r="AB338" s="172"/>
    </row>
    <row r="339" spans="1:28" ht="12.75" hidden="1" customHeight="1" outlineLevel="1">
      <c r="A339" s="225">
        <v>1</v>
      </c>
      <c r="B339" s="212" t="str">
        <f t="shared" ref="B339:B358" ca="1" si="464">"Depreciated Net Capex "&amp;OFFSET($C$6,0,A339)</f>
        <v>Depreciated Net Capex 2016-17</v>
      </c>
      <c r="C339" s="1349"/>
      <c r="D339" s="1350">
        <f>D333</f>
        <v>0</v>
      </c>
      <c r="E339" s="1348">
        <f ca="1">IF(D363="n/a",D339,IFERROR(IF((OFFSET($C339,0,$A339))&lt;0,
MIN(0,D339-(OFFSET($C339,0,$A339)/(OFFSET($C334,-$A338,$A339)))),
MAX(0,D339-(OFFSET($C339,0,$A339)/(OFFSET($C334,-$A338,$A339))))),0))</f>
        <v>0</v>
      </c>
      <c r="F339" s="1348">
        <f t="shared" ca="1" si="446"/>
        <v>0</v>
      </c>
      <c r="G339" s="1348">
        <f t="shared" ca="1" si="447"/>
        <v>0</v>
      </c>
      <c r="H339" s="1348">
        <f t="shared" ca="1" si="448"/>
        <v>0</v>
      </c>
      <c r="I339" s="1348">
        <f t="shared" ca="1" si="449"/>
        <v>0</v>
      </c>
      <c r="J339" s="1348">
        <f t="shared" ca="1" si="450"/>
        <v>0</v>
      </c>
      <c r="K339" s="1348">
        <f t="shared" ca="1" si="451"/>
        <v>0</v>
      </c>
      <c r="L339" s="1348">
        <f t="shared" ca="1" si="452"/>
        <v>0</v>
      </c>
      <c r="M339" s="1348">
        <f t="shared" ca="1" si="453"/>
        <v>0</v>
      </c>
      <c r="N339" s="1348">
        <f t="shared" ca="1" si="454"/>
        <v>0</v>
      </c>
      <c r="O339" s="1348">
        <f t="shared" ca="1" si="455"/>
        <v>0</v>
      </c>
      <c r="P339" s="1348">
        <f t="shared" ca="1" si="456"/>
        <v>0</v>
      </c>
      <c r="Q339" s="1348">
        <f t="shared" ca="1" si="457"/>
        <v>0</v>
      </c>
      <c r="R339" s="1348">
        <f t="shared" ca="1" si="458"/>
        <v>0</v>
      </c>
      <c r="S339" s="1348">
        <f t="shared" ca="1" si="459"/>
        <v>0</v>
      </c>
      <c r="T339" s="1348">
        <f t="shared" ca="1" si="460"/>
        <v>0</v>
      </c>
      <c r="U339" s="1348">
        <f t="shared" ca="1" si="461"/>
        <v>0</v>
      </c>
      <c r="V339" s="1348">
        <f t="shared" ca="1" si="462"/>
        <v>0</v>
      </c>
      <c r="W339" s="1348">
        <f t="shared" ca="1" si="463"/>
        <v>0</v>
      </c>
      <c r="X339" s="172"/>
      <c r="Y339" s="172"/>
      <c r="Z339" s="172"/>
      <c r="AA339" s="172"/>
      <c r="AB339" s="172"/>
    </row>
    <row r="340" spans="1:28" ht="12.75" hidden="1" customHeight="1" outlineLevel="1">
      <c r="A340" s="225">
        <v>2</v>
      </c>
      <c r="B340" s="212" t="str">
        <f t="shared" ca="1" si="464"/>
        <v>Depreciated Net Capex 2017-18</v>
      </c>
      <c r="C340" s="1351"/>
      <c r="D340" s="1352"/>
      <c r="E340" s="1350">
        <f>E333</f>
        <v>0</v>
      </c>
      <c r="F340" s="1348">
        <f ca="1">IF(E364="n/a",E340,IFERROR(IF((OFFSET($C340,0,$A340))&lt;0,
MIN(0,E340-(OFFSET($C340,0,$A340)/(OFFSET($C335,-$A339,$A340)))),
MAX(0,E340-(OFFSET($C340,0,$A340)/(OFFSET($C335,-$A339,$A340))))),0))</f>
        <v>0</v>
      </c>
      <c r="G340" s="1348">
        <f t="shared" ca="1" si="447"/>
        <v>0</v>
      </c>
      <c r="H340" s="1348">
        <f t="shared" ca="1" si="448"/>
        <v>0</v>
      </c>
      <c r="I340" s="1348">
        <f t="shared" ca="1" si="449"/>
        <v>0</v>
      </c>
      <c r="J340" s="1348">
        <f t="shared" ca="1" si="450"/>
        <v>0</v>
      </c>
      <c r="K340" s="1348">
        <f t="shared" ca="1" si="451"/>
        <v>0</v>
      </c>
      <c r="L340" s="1348">
        <f t="shared" ca="1" si="452"/>
        <v>0</v>
      </c>
      <c r="M340" s="1348">
        <f t="shared" ca="1" si="453"/>
        <v>0</v>
      </c>
      <c r="N340" s="1348">
        <f t="shared" ca="1" si="454"/>
        <v>0</v>
      </c>
      <c r="O340" s="1348">
        <f t="shared" ca="1" si="455"/>
        <v>0</v>
      </c>
      <c r="P340" s="1348">
        <f t="shared" ca="1" si="456"/>
        <v>0</v>
      </c>
      <c r="Q340" s="1348">
        <f t="shared" ca="1" si="457"/>
        <v>0</v>
      </c>
      <c r="R340" s="1348">
        <f t="shared" ca="1" si="458"/>
        <v>0</v>
      </c>
      <c r="S340" s="1348">
        <f t="shared" ca="1" si="459"/>
        <v>0</v>
      </c>
      <c r="T340" s="1348">
        <f t="shared" ca="1" si="460"/>
        <v>0</v>
      </c>
      <c r="U340" s="1348">
        <f t="shared" ca="1" si="461"/>
        <v>0</v>
      </c>
      <c r="V340" s="1348">
        <f t="shared" ca="1" si="462"/>
        <v>0</v>
      </c>
      <c r="W340" s="1348">
        <f t="shared" ca="1" si="463"/>
        <v>0</v>
      </c>
      <c r="X340" s="228"/>
      <c r="Y340" s="172"/>
      <c r="Z340" s="172"/>
      <c r="AA340" s="172"/>
      <c r="AB340" s="172"/>
    </row>
    <row r="341" spans="1:28" ht="12.75" hidden="1" customHeight="1" outlineLevel="1">
      <c r="A341" s="225">
        <v>3</v>
      </c>
      <c r="B341" s="212" t="str">
        <f t="shared" ca="1" si="464"/>
        <v>Depreciated Net Capex 2018-19</v>
      </c>
      <c r="C341" s="1351"/>
      <c r="D341" s="1351"/>
      <c r="E341" s="1352"/>
      <c r="F341" s="1353">
        <f>F333</f>
        <v>0</v>
      </c>
      <c r="G341" s="1348">
        <f ca="1">IF(F365="n/a",F341,IFERROR(IF((OFFSET($C341,0,$A341))&lt;0,
MIN(0,F341-(OFFSET($C341,0,$A341)/(OFFSET($C336,-$A340,$A341)))),
MAX(0,F341-(OFFSET($C341,0,$A341)/(OFFSET($C336,-$A340,$A341))))),0))</f>
        <v>0</v>
      </c>
      <c r="H341" s="1348">
        <f t="shared" ca="1" si="448"/>
        <v>0</v>
      </c>
      <c r="I341" s="1348">
        <f t="shared" ca="1" si="449"/>
        <v>0</v>
      </c>
      <c r="J341" s="1348">
        <f t="shared" ca="1" si="450"/>
        <v>0</v>
      </c>
      <c r="K341" s="1348">
        <f t="shared" ca="1" si="451"/>
        <v>0</v>
      </c>
      <c r="L341" s="1348">
        <f t="shared" ca="1" si="452"/>
        <v>0</v>
      </c>
      <c r="M341" s="1348">
        <f t="shared" ca="1" si="453"/>
        <v>0</v>
      </c>
      <c r="N341" s="1348">
        <f t="shared" ca="1" si="454"/>
        <v>0</v>
      </c>
      <c r="O341" s="1348">
        <f t="shared" ca="1" si="455"/>
        <v>0</v>
      </c>
      <c r="P341" s="1348">
        <f t="shared" ca="1" si="456"/>
        <v>0</v>
      </c>
      <c r="Q341" s="1348">
        <f t="shared" ca="1" si="457"/>
        <v>0</v>
      </c>
      <c r="R341" s="1348">
        <f t="shared" ca="1" si="458"/>
        <v>0</v>
      </c>
      <c r="S341" s="1348">
        <f t="shared" ca="1" si="459"/>
        <v>0</v>
      </c>
      <c r="T341" s="1348">
        <f t="shared" ca="1" si="460"/>
        <v>0</v>
      </c>
      <c r="U341" s="1348">
        <f t="shared" ca="1" si="461"/>
        <v>0</v>
      </c>
      <c r="V341" s="1348">
        <f t="shared" ca="1" si="462"/>
        <v>0</v>
      </c>
      <c r="W341" s="1348">
        <f t="shared" ca="1" si="463"/>
        <v>0</v>
      </c>
      <c r="X341" s="228"/>
      <c r="Y341" s="228"/>
      <c r="Z341" s="172"/>
      <c r="AA341" s="172"/>
      <c r="AB341" s="172"/>
    </row>
    <row r="342" spans="1:28" ht="12.75" hidden="1" customHeight="1" outlineLevel="1">
      <c r="A342" s="225">
        <v>4</v>
      </c>
      <c r="B342" s="212" t="str">
        <f t="shared" ca="1" si="464"/>
        <v>Depreciated Net Capex 2019-20</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2020-21</v>
      </c>
      <c r="C343" s="1351"/>
      <c r="D343" s="1351"/>
      <c r="E343" s="1351"/>
      <c r="F343" s="1351"/>
      <c r="G343" s="1352"/>
      <c r="H343" s="1353">
        <f>H333</f>
        <v>0</v>
      </c>
      <c r="I343" s="1348">
        <f ca="1">IF(H367="n/a",H343,IFERROR(IF((OFFSET($C343,0,$A343))&lt;0,
MIN(0,H343-(OFFSET($C343,0,$A343)/(OFFSET($C338,-$A342,$A343)))),
MAX(0,H343-(OFFSET($C343,0,$A343)/(OFFSET($C338,-$A342,$A343))))),0))</f>
        <v>0</v>
      </c>
      <c r="J343" s="1348">
        <f t="shared" ca="1" si="450"/>
        <v>0</v>
      </c>
      <c r="K343" s="1348">
        <f t="shared" ca="1" si="451"/>
        <v>0</v>
      </c>
      <c r="L343" s="1348">
        <f t="shared" ca="1" si="452"/>
        <v>0</v>
      </c>
      <c r="M343" s="1348">
        <f t="shared" ca="1" si="453"/>
        <v>0</v>
      </c>
      <c r="N343" s="1348">
        <f t="shared" ca="1" si="454"/>
        <v>0</v>
      </c>
      <c r="O343" s="1348">
        <f t="shared" ca="1" si="455"/>
        <v>0</v>
      </c>
      <c r="P343" s="1348">
        <f t="shared" ca="1" si="456"/>
        <v>0</v>
      </c>
      <c r="Q343" s="1348">
        <f t="shared" ca="1" si="457"/>
        <v>0</v>
      </c>
      <c r="R343" s="1348">
        <f t="shared" ca="1" si="458"/>
        <v>0</v>
      </c>
      <c r="S343" s="1348">
        <f t="shared" ca="1" si="459"/>
        <v>0</v>
      </c>
      <c r="T343" s="1348">
        <f t="shared" ca="1" si="460"/>
        <v>0</v>
      </c>
      <c r="U343" s="1348">
        <f t="shared" ca="1" si="461"/>
        <v>0</v>
      </c>
      <c r="V343" s="1348">
        <f t="shared" ca="1" si="462"/>
        <v>0</v>
      </c>
      <c r="W343" s="1348">
        <f t="shared" ca="1" si="463"/>
        <v>0</v>
      </c>
      <c r="X343" s="228"/>
      <c r="Y343" s="228"/>
      <c r="Z343" s="228"/>
      <c r="AA343" s="172"/>
      <c r="AB343" s="172"/>
    </row>
    <row r="344" spans="1:28" ht="12.75" hidden="1" customHeight="1" outlineLevel="1">
      <c r="A344" s="225">
        <v>6</v>
      </c>
      <c r="B344" s="212" t="str">
        <f t="shared" ca="1" si="464"/>
        <v>Depreciated Net Capex 2021-22</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2022-23</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2023-24</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2024-25</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2025-26</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2026-27</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2027-28</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2028-29</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2029-30</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2030-31</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2031-32</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2032-33</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2033-34</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2034-35</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2035-36</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23.116706080935028</v>
      </c>
      <c r="D362" s="1348">
        <f t="shared" ref="D362" ca="1" si="483">IF(C362="n/a","n/a",MAX(0,C362-1))</f>
        <v>22.116706080935028</v>
      </c>
      <c r="E362" s="1348">
        <f t="shared" ref="E362:E363" ca="1" si="484">IF(D362="n/a","n/a",MAX(0,D362-1))</f>
        <v>21.116706080935028</v>
      </c>
      <c r="F362" s="1348">
        <f t="shared" ref="F362:F364" ca="1" si="485">IF(E362="n/a","n/a",MAX(0,E362-1))</f>
        <v>20.116706080935028</v>
      </c>
      <c r="G362" s="1348">
        <f t="shared" ref="G362:G365" ca="1" si="486">IF(F362="n/a","n/a",MAX(0,F362-1))</f>
        <v>19.116706080935028</v>
      </c>
      <c r="H362" s="1348">
        <f t="shared" ref="H362:H366" ca="1" si="487">IF(G362="n/a","n/a",MAX(0,G362-1))</f>
        <v>18.116706080935028</v>
      </c>
      <c r="I362" s="1348">
        <f t="shared" ref="I362:I367" ca="1" si="488">IF(H362="n/a","n/a",MAX(0,H362-1))</f>
        <v>17.116706080935028</v>
      </c>
      <c r="J362" s="1348">
        <f t="shared" ref="J362:J368" ca="1" si="489">IF(I362="n/a","n/a",MAX(0,I362-1))</f>
        <v>16.116706080935028</v>
      </c>
      <c r="K362" s="1348">
        <f t="shared" ref="K362:K369" ca="1" si="490">IF(J362="n/a","n/a",MAX(0,J362-1))</f>
        <v>15.116706080935028</v>
      </c>
      <c r="L362" s="1348">
        <f t="shared" ref="L362:L370" ca="1" si="491">IF(K362="n/a","n/a",MAX(0,K362-1))</f>
        <v>14.116706080935028</v>
      </c>
      <c r="M362" s="1348">
        <f t="shared" ref="M362:M371" ca="1" si="492">IF(L362="n/a","n/a",MAX(0,L362-1))</f>
        <v>13.116706080935028</v>
      </c>
      <c r="N362" s="1348">
        <f t="shared" ref="N362:N372" ca="1" si="493">IF(M362="n/a","n/a",MAX(0,M362-1))</f>
        <v>12.116706080935028</v>
      </c>
      <c r="O362" s="1348">
        <f t="shared" ref="O362:O373" ca="1" si="494">IF(N362="n/a","n/a",MAX(0,N362-1))</f>
        <v>11.116706080935028</v>
      </c>
      <c r="P362" s="1348">
        <f t="shared" ref="P362:P374" ca="1" si="495">IF(O362="n/a","n/a",MAX(0,O362-1))</f>
        <v>10.116706080935028</v>
      </c>
      <c r="Q362" s="1348">
        <f t="shared" ref="Q362:Q375" ca="1" si="496">IF(P362="n/a","n/a",MAX(0,P362-1))</f>
        <v>9.1167060809350282</v>
      </c>
      <c r="R362" s="1348">
        <f t="shared" ref="R362:R376" ca="1" si="497">IF(Q362="n/a","n/a",MAX(0,Q362-1))</f>
        <v>8.1167060809350282</v>
      </c>
      <c r="S362" s="1348">
        <f t="shared" ref="S362:S377" ca="1" si="498">IF(R362="n/a","n/a",MAX(0,R362-1))</f>
        <v>7.1167060809350282</v>
      </c>
      <c r="T362" s="1348">
        <f t="shared" ref="T362:T378" ca="1" si="499">IF(S362="n/a","n/a",MAX(0,S362-1))</f>
        <v>6.1167060809350282</v>
      </c>
      <c r="U362" s="1348">
        <f t="shared" ref="U362:U379" ca="1" si="500">IF(T362="n/a","n/a",MAX(0,T362-1))</f>
        <v>5.1167060809350282</v>
      </c>
      <c r="V362" s="1348">
        <f t="shared" ref="V362:V380" ca="1" si="501">IF(U362="n/a","n/a",MAX(0,U362-1))</f>
        <v>4.1167060809350282</v>
      </c>
      <c r="W362" s="1348">
        <f t="shared" ref="W362:W380" ca="1" si="502">IF(V362="n/a","n/a",MAX(0,V362-1))</f>
        <v>3.1167060809350282</v>
      </c>
      <c r="X362" s="172"/>
      <c r="Y362" s="172"/>
      <c r="Z362" s="172"/>
      <c r="AA362" s="172"/>
      <c r="AB362" s="172"/>
    </row>
    <row r="363" spans="1:28" ht="12.75" hidden="1" customHeight="1" outlineLevel="1">
      <c r="A363" s="280"/>
      <c r="B363" s="212" t="str">
        <f t="shared" ref="B363:B382" ca="1" si="503">"RL Capex "&amp;OFFSET($C$6,0,A339)</f>
        <v>RL Capex 2016-17</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2017-18</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2018-19</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2019-20</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2020-21</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2021-22</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2022-23</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2023-24</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2024-25</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2025-26</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2026-27</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2027-28</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2028-29</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2029-30</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2030-31</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2031-32</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2032-33</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2033-34</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2034-35</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2035-36</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23.116706080935028</v>
      </c>
      <c r="D384" s="1356">
        <f ca="1">(IF(OR($C334&lt;&gt;"n/a",D334&lt;&gt;"n/a"),IF(SUM(D337:D359)=0,0,IF((SUMPRODUCT(D337:D359,D361:D383)/SUM(D337:D359))&lt;0,1,(SUMPRODUCT(D337:D359,D361:D383)/SUM(D337:D359)))),"n/a"))</f>
        <v>22.116706080935028</v>
      </c>
      <c r="E384" s="1356">
        <f t="shared" ref="E384:W384" ca="1" si="504">(IF(OR($C334&lt;&gt;"n/a",E334&lt;&gt;"n/a"),IF(SUM(E337:E359)=0,0,IF((SUMPRODUCT(E337:E359,E361:E383)/SUM(E337:E359))&lt;0,1,(SUMPRODUCT(E337:E359,E361:E383)/SUM(E337:E359)))),"n/a"))</f>
        <v>21.116706080935028</v>
      </c>
      <c r="F384" s="1356">
        <f t="shared" ca="1" si="504"/>
        <v>20.116706080935028</v>
      </c>
      <c r="G384" s="1356">
        <f t="shared" ca="1" si="504"/>
        <v>19.116706080935028</v>
      </c>
      <c r="H384" s="1356">
        <f t="shared" ca="1" si="504"/>
        <v>18.116706080935028</v>
      </c>
      <c r="I384" s="1356">
        <f t="shared" ca="1" si="504"/>
        <v>17.116706080935028</v>
      </c>
      <c r="J384" s="1356">
        <f t="shared" ca="1" si="504"/>
        <v>16.116706080935028</v>
      </c>
      <c r="K384" s="1356">
        <f t="shared" ca="1" si="504"/>
        <v>15.116706080935028</v>
      </c>
      <c r="L384" s="1356">
        <f t="shared" ca="1" si="504"/>
        <v>14.116706080935026</v>
      </c>
      <c r="M384" s="1356">
        <f t="shared" ca="1" si="504"/>
        <v>13.116706080935028</v>
      </c>
      <c r="N384" s="1356">
        <f t="shared" ca="1" si="504"/>
        <v>12.116706080935028</v>
      </c>
      <c r="O384" s="1356">
        <f t="shared" ca="1" si="504"/>
        <v>11.116706080935028</v>
      </c>
      <c r="P384" s="1356">
        <f t="shared" ca="1" si="504"/>
        <v>10.116706080935028</v>
      </c>
      <c r="Q384" s="1356">
        <f t="shared" ca="1" si="504"/>
        <v>9.1167060809350282</v>
      </c>
      <c r="R384" s="1356">
        <f t="shared" ca="1" si="504"/>
        <v>8.1167060809350282</v>
      </c>
      <c r="S384" s="1356">
        <f t="shared" ca="1" si="504"/>
        <v>7.1167060809350291</v>
      </c>
      <c r="T384" s="1356">
        <f t="shared" ca="1" si="504"/>
        <v>6.1167060809350282</v>
      </c>
      <c r="U384" s="1356">
        <f t="shared" ca="1" si="504"/>
        <v>5.1167060809350282</v>
      </c>
      <c r="V384" s="1356">
        <f t="shared" ca="1" si="504"/>
        <v>4.1167060809350282</v>
      </c>
      <c r="W384" s="1356">
        <f t="shared" ca="1" si="504"/>
        <v>3.1167060809350282</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7.9469999999999992E-3</v>
      </c>
      <c r="D387" s="1366">
        <f>'Capital base remaining lives'!D392</f>
        <v>0</v>
      </c>
      <c r="E387" s="1366">
        <f>'Capital base remaining lives'!E392</f>
        <v>0</v>
      </c>
      <c r="F387" s="1366">
        <f>'Capital base remaining lives'!F392</f>
        <v>0</v>
      </c>
      <c r="G387" s="1366">
        <f>'Capital base remaining lives'!G392</f>
        <v>0</v>
      </c>
      <c r="H387" s="1366">
        <f>'Capital base remaining lives'!H392</f>
        <v>0</v>
      </c>
      <c r="I387" s="1366">
        <f>'Capital base remaining lives'!I392</f>
        <v>0</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7.9469999999999992E-3</v>
      </c>
      <c r="D392" s="1348">
        <f ca="1">IF(C416="n/a",C392,IFERROR(IF((OFFSET($C392,0,$A392))&lt;0,
MIN(0,C392-(OFFSET($C392,0,$A392)/(OFFSET($C387,-$A391,$A392)))),
MAX(0,C392-(OFFSET($C392,0,$A392)/(OFFSET($C387,-$A391,$A392))))),0))</f>
        <v>7.9469999999999992E-3</v>
      </c>
      <c r="E392" s="1348">
        <f t="shared" ref="E392" ca="1" si="524">IF(D416="n/a",D392,IFERROR(IF((OFFSET($C392,0,$A392))&lt;0,
MIN(0,D392-(OFFSET($C392,0,$A392)/(OFFSET($C387,-$A391,$A392)))),
MAX(0,D392-(OFFSET($C392,0,$A392)/(OFFSET($C387,-$A391,$A392))))),0))</f>
        <v>7.9469999999999992E-3</v>
      </c>
      <c r="F392" s="1348">
        <f t="shared" ref="F392:F393" ca="1" si="525">IF(E416="n/a",E392,IFERROR(IF((OFFSET($C392,0,$A392))&lt;0,
MIN(0,E392-(OFFSET($C392,0,$A392)/(OFFSET($C387,-$A391,$A392)))),
MAX(0,E392-(OFFSET($C392,0,$A392)/(OFFSET($C387,-$A391,$A392))))),0))</f>
        <v>7.9469999999999992E-3</v>
      </c>
      <c r="G392" s="1348">
        <f t="shared" ref="G392:G394" ca="1" si="526">IF(F416="n/a",F392,IFERROR(IF((OFFSET($C392,0,$A392))&lt;0,
MIN(0,F392-(OFFSET($C392,0,$A392)/(OFFSET($C387,-$A391,$A392)))),
MAX(0,F392-(OFFSET($C392,0,$A392)/(OFFSET($C387,-$A391,$A392))))),0))</f>
        <v>7.9469999999999992E-3</v>
      </c>
      <c r="H392" s="1348">
        <f t="shared" ref="H392:H395" ca="1" si="527">IF(G416="n/a",G392,IFERROR(IF((OFFSET($C392,0,$A392))&lt;0,
MIN(0,G392-(OFFSET($C392,0,$A392)/(OFFSET($C387,-$A391,$A392)))),
MAX(0,G392-(OFFSET($C392,0,$A392)/(OFFSET($C387,-$A391,$A392))))),0))</f>
        <v>7.9469999999999992E-3</v>
      </c>
      <c r="I392" s="1348">
        <f t="shared" ref="I392:I396" ca="1" si="528">IF(H416="n/a",H392,IFERROR(IF((OFFSET($C392,0,$A392))&lt;0,
MIN(0,H392-(OFFSET($C392,0,$A392)/(OFFSET($C387,-$A391,$A392)))),
MAX(0,H392-(OFFSET($C392,0,$A392)/(OFFSET($C387,-$A391,$A392))))),0))</f>
        <v>7.9469999999999992E-3</v>
      </c>
      <c r="J392" s="1348">
        <f t="shared" ref="J392:J397" ca="1" si="529">IF(I416="n/a",I392,IFERROR(IF((OFFSET($C392,0,$A392))&lt;0,
MIN(0,I392-(OFFSET($C392,0,$A392)/(OFFSET($C387,-$A391,$A392)))),
MAX(0,I392-(OFFSET($C392,0,$A392)/(OFFSET($C387,-$A391,$A392))))),0))</f>
        <v>7.9469999999999992E-3</v>
      </c>
      <c r="K392" s="1348">
        <f t="shared" ref="K392:K398" ca="1" si="530">IF(J416="n/a",J392,IFERROR(IF((OFFSET($C392,0,$A392))&lt;0,
MIN(0,J392-(OFFSET($C392,0,$A392)/(OFFSET($C387,-$A391,$A392)))),
MAX(0,J392-(OFFSET($C392,0,$A392)/(OFFSET($C387,-$A391,$A392))))),0))</f>
        <v>7.9469999999999992E-3</v>
      </c>
      <c r="L392" s="1348">
        <f t="shared" ref="L392:L399" ca="1" si="531">IF(K416="n/a",K392,IFERROR(IF((OFFSET($C392,0,$A392))&lt;0,
MIN(0,K392-(OFFSET($C392,0,$A392)/(OFFSET($C387,-$A391,$A392)))),
MAX(0,K392-(OFFSET($C392,0,$A392)/(OFFSET($C387,-$A391,$A392))))),0))</f>
        <v>7.9469999999999992E-3</v>
      </c>
      <c r="M392" s="1348">
        <f t="shared" ref="M392:M400" ca="1" si="532">IF(L416="n/a",L392,IFERROR(IF((OFFSET($C392,0,$A392))&lt;0,
MIN(0,L392-(OFFSET($C392,0,$A392)/(OFFSET($C387,-$A391,$A392)))),
MAX(0,L392-(OFFSET($C392,0,$A392)/(OFFSET($C387,-$A391,$A392))))),0))</f>
        <v>7.9469999999999992E-3</v>
      </c>
      <c r="N392" s="1348">
        <f t="shared" ref="N392:N401" ca="1" si="533">IF(M416="n/a",M392,IFERROR(IF((OFFSET($C392,0,$A392))&lt;0,
MIN(0,M392-(OFFSET($C392,0,$A392)/(OFFSET($C387,-$A391,$A392)))),
MAX(0,M392-(OFFSET($C392,0,$A392)/(OFFSET($C387,-$A391,$A392))))),0))</f>
        <v>7.9469999999999992E-3</v>
      </c>
      <c r="O392" s="1348">
        <f t="shared" ref="O392:O402" ca="1" si="534">IF(N416="n/a",N392,IFERROR(IF((OFFSET($C392,0,$A392))&lt;0,
MIN(0,N392-(OFFSET($C392,0,$A392)/(OFFSET($C387,-$A391,$A392)))),
MAX(0,N392-(OFFSET($C392,0,$A392)/(OFFSET($C387,-$A391,$A392))))),0))</f>
        <v>7.9469999999999992E-3</v>
      </c>
      <c r="P392" s="1348">
        <f t="shared" ref="P392:P403" ca="1" si="535">IF(O416="n/a",O392,IFERROR(IF((OFFSET($C392,0,$A392))&lt;0,
MIN(0,O392-(OFFSET($C392,0,$A392)/(OFFSET($C387,-$A391,$A392)))),
MAX(0,O392-(OFFSET($C392,0,$A392)/(OFFSET($C387,-$A391,$A392))))),0))</f>
        <v>7.9469999999999992E-3</v>
      </c>
      <c r="Q392" s="1348">
        <f t="shared" ref="Q392:Q404" ca="1" si="536">IF(P416="n/a",P392,IFERROR(IF((OFFSET($C392,0,$A392))&lt;0,
MIN(0,P392-(OFFSET($C392,0,$A392)/(OFFSET($C387,-$A391,$A392)))),
MAX(0,P392-(OFFSET($C392,0,$A392)/(OFFSET($C387,-$A391,$A392))))),0))</f>
        <v>7.9469999999999992E-3</v>
      </c>
      <c r="R392" s="1348">
        <f t="shared" ref="R392:R405" ca="1" si="537">IF(Q416="n/a",Q392,IFERROR(IF((OFFSET($C392,0,$A392))&lt;0,
MIN(0,Q392-(OFFSET($C392,0,$A392)/(OFFSET($C387,-$A391,$A392)))),
MAX(0,Q392-(OFFSET($C392,0,$A392)/(OFFSET($C387,-$A391,$A392))))),0))</f>
        <v>7.9469999999999992E-3</v>
      </c>
      <c r="S392" s="1348">
        <f t="shared" ref="S392:S406" ca="1" si="538">IF(R416="n/a",R392,IFERROR(IF((OFFSET($C392,0,$A392))&lt;0,
MIN(0,R392-(OFFSET($C392,0,$A392)/(OFFSET($C387,-$A391,$A392)))),
MAX(0,R392-(OFFSET($C392,0,$A392)/(OFFSET($C387,-$A391,$A392))))),0))</f>
        <v>7.9469999999999992E-3</v>
      </c>
      <c r="T392" s="1348">
        <f t="shared" ref="T392:T407" ca="1" si="539">IF(S416="n/a",S392,IFERROR(IF((OFFSET($C392,0,$A392))&lt;0,
MIN(0,S392-(OFFSET($C392,0,$A392)/(OFFSET($C387,-$A391,$A392)))),
MAX(0,S392-(OFFSET($C392,0,$A392)/(OFFSET($C387,-$A391,$A392))))),0))</f>
        <v>7.9469999999999992E-3</v>
      </c>
      <c r="U392" s="1348">
        <f t="shared" ref="U392:U408" ca="1" si="540">IF(T416="n/a",T392,IFERROR(IF((OFFSET($C392,0,$A392))&lt;0,
MIN(0,T392-(OFFSET($C392,0,$A392)/(OFFSET($C387,-$A391,$A392)))),
MAX(0,T392-(OFFSET($C392,0,$A392)/(OFFSET($C387,-$A391,$A392))))),0))</f>
        <v>7.9469999999999992E-3</v>
      </c>
      <c r="V392" s="1348">
        <f t="shared" ref="V392:V409" ca="1" si="541">IF(U416="n/a",U392,IFERROR(IF((OFFSET($C392,0,$A392))&lt;0,
MIN(0,U392-(OFFSET($C392,0,$A392)/(OFFSET($C387,-$A391,$A392)))),
MAX(0,U392-(OFFSET($C392,0,$A392)/(OFFSET($C387,-$A391,$A392))))),0))</f>
        <v>7.9469999999999992E-3</v>
      </c>
      <c r="W392" s="1348">
        <f t="shared" ref="W392:W410" ca="1" si="542">IF(V416="n/a",V392,IFERROR(IF((OFFSET($C392,0,$A392))&lt;0,
MIN(0,V392-(OFFSET($C392,0,$A392)/(OFFSET($C387,-$A391,$A392)))),
MAX(0,V392-(OFFSET($C392,0,$A392)/(OFFSET($C387,-$A391,$A392))))),0))</f>
        <v>7.9469999999999992E-3</v>
      </c>
      <c r="X392" s="172"/>
      <c r="Y392" s="172"/>
      <c r="Z392" s="172"/>
      <c r="AA392" s="172"/>
      <c r="AB392" s="172"/>
    </row>
    <row r="393" spans="1:28" ht="12.75" hidden="1" customHeight="1" outlineLevel="1">
      <c r="A393" s="225">
        <v>1</v>
      </c>
      <c r="B393" s="212" t="str">
        <f t="shared" ref="B393:B412" ca="1" si="543">"Depreciated Net Capex "&amp;OFFSET($C$6,0,A393)</f>
        <v>Depreciated Net Capex 2016-17</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2017-18</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2018-19</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2019-20</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2020-21</v>
      </c>
      <c r="C397" s="1351"/>
      <c r="D397" s="1351"/>
      <c r="E397" s="1351"/>
      <c r="F397" s="1351"/>
      <c r="G397" s="1352"/>
      <c r="H397" s="1353">
        <f>H387</f>
        <v>0</v>
      </c>
      <c r="I397" s="1348">
        <f ca="1">IF(H421="n/a",H397,IFERROR(IF((OFFSET($C397,0,$A397))&lt;0,
MIN(0,H397-(OFFSET($C397,0,$A397)/(OFFSET($C392,-$A396,$A397)))),
MAX(0,H397-(OFFSET($C397,0,$A397)/(OFFSET($C392,-$A396,$A397))))),0))</f>
        <v>0</v>
      </c>
      <c r="J397" s="1348">
        <f t="shared" ca="1" si="529"/>
        <v>0</v>
      </c>
      <c r="K397" s="1348">
        <f t="shared" ca="1" si="530"/>
        <v>0</v>
      </c>
      <c r="L397" s="1348">
        <f t="shared" ca="1" si="531"/>
        <v>0</v>
      </c>
      <c r="M397" s="1348">
        <f t="shared" ca="1" si="532"/>
        <v>0</v>
      </c>
      <c r="N397" s="1348">
        <f t="shared" ca="1" si="533"/>
        <v>0</v>
      </c>
      <c r="O397" s="1348">
        <f t="shared" ca="1" si="534"/>
        <v>0</v>
      </c>
      <c r="P397" s="1348">
        <f t="shared" ca="1" si="535"/>
        <v>0</v>
      </c>
      <c r="Q397" s="1348">
        <f t="shared" ca="1" si="536"/>
        <v>0</v>
      </c>
      <c r="R397" s="1348">
        <f t="shared" ca="1" si="537"/>
        <v>0</v>
      </c>
      <c r="S397" s="1348">
        <f t="shared" ca="1" si="538"/>
        <v>0</v>
      </c>
      <c r="T397" s="1348">
        <f t="shared" ca="1" si="539"/>
        <v>0</v>
      </c>
      <c r="U397" s="1348">
        <f t="shared" ca="1" si="540"/>
        <v>0</v>
      </c>
      <c r="V397" s="1348">
        <f t="shared" ca="1" si="541"/>
        <v>0</v>
      </c>
      <c r="W397" s="1348">
        <f t="shared" ca="1" si="542"/>
        <v>0</v>
      </c>
      <c r="X397" s="228"/>
      <c r="Y397" s="228"/>
      <c r="Z397" s="228"/>
      <c r="AA397" s="172"/>
      <c r="AB397" s="172"/>
    </row>
    <row r="398" spans="1:28" ht="12.75" hidden="1" customHeight="1" outlineLevel="1">
      <c r="A398" s="225">
        <v>6</v>
      </c>
      <c r="B398" s="212" t="str">
        <f t="shared" ca="1" si="543"/>
        <v>Depreciated Net Capex 2021-22</v>
      </c>
      <c r="C398" s="1351"/>
      <c r="D398" s="1351"/>
      <c r="E398" s="1351"/>
      <c r="F398" s="1351"/>
      <c r="G398" s="1351"/>
      <c r="H398" s="1352"/>
      <c r="I398" s="1353">
        <f>I387</f>
        <v>0</v>
      </c>
      <c r="J398" s="1348">
        <f ca="1">IF(I422="n/a",I398,IFERROR(IF((OFFSET($C398,0,$A398))&lt;0,
MIN(0,I398-(OFFSET($C398,0,$A398)/(OFFSET($C393,-$A397,$A398)))),
MAX(0,I398-(OFFSET($C398,0,$A398)/(OFFSET($C393,-$A397,$A398))))),0))</f>
        <v>0</v>
      </c>
      <c r="K398" s="1348">
        <f t="shared" ca="1" si="530"/>
        <v>0</v>
      </c>
      <c r="L398" s="1348">
        <f t="shared" ca="1" si="531"/>
        <v>0</v>
      </c>
      <c r="M398" s="1348">
        <f t="shared" ca="1" si="532"/>
        <v>0</v>
      </c>
      <c r="N398" s="1348">
        <f t="shared" ca="1" si="533"/>
        <v>0</v>
      </c>
      <c r="O398" s="1348">
        <f t="shared" ca="1" si="534"/>
        <v>0</v>
      </c>
      <c r="P398" s="1348">
        <f t="shared" ca="1" si="535"/>
        <v>0</v>
      </c>
      <c r="Q398" s="1348">
        <f t="shared" ca="1" si="536"/>
        <v>0</v>
      </c>
      <c r="R398" s="1348">
        <f t="shared" ca="1" si="537"/>
        <v>0</v>
      </c>
      <c r="S398" s="1348">
        <f t="shared" ca="1" si="538"/>
        <v>0</v>
      </c>
      <c r="T398" s="1348">
        <f t="shared" ca="1" si="539"/>
        <v>0</v>
      </c>
      <c r="U398" s="1348">
        <f t="shared" ca="1" si="540"/>
        <v>0</v>
      </c>
      <c r="V398" s="1348">
        <f t="shared" ca="1" si="541"/>
        <v>0</v>
      </c>
      <c r="W398" s="1348">
        <f t="shared" ca="1" si="542"/>
        <v>0</v>
      </c>
      <c r="X398" s="228"/>
      <c r="Y398" s="228"/>
      <c r="Z398" s="228"/>
      <c r="AA398" s="172"/>
      <c r="AB398" s="172"/>
    </row>
    <row r="399" spans="1:28" ht="12.75" hidden="1" customHeight="1" outlineLevel="1">
      <c r="A399" s="225">
        <v>7</v>
      </c>
      <c r="B399" s="212" t="str">
        <f t="shared" ca="1" si="543"/>
        <v>Depreciated Net Capex 2022-23</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2023-24</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2024-25</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2025-26</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2026-27</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2027-28</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2028-29</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2029-30</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2030-31</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2031-32</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2032-33</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2033-34</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2034-35</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2035-36</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2016-17</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2017-18</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2018-19</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2019-20</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2020-21</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2021-22</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2022-23</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2023-24</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2024-25</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2025-26</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2026-27</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2027-28</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2028-29</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2029-30</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2030-31</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2031-32</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2032-33</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2033-34</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2034-35</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2035-36</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4.1585903412384777</v>
      </c>
      <c r="D441" s="1366">
        <f>'Capital base remaining lives'!D446</f>
        <v>1.3332419999999999E-2</v>
      </c>
      <c r="E441" s="1366">
        <f>'Capital base remaining lives'!E446</f>
        <v>0.3469156000000001</v>
      </c>
      <c r="F441" s="1366">
        <f>'Capital base remaining lives'!F446</f>
        <v>0.20177433000000003</v>
      </c>
      <c r="G441" s="1366">
        <f>'Capital base remaining lives'!G446</f>
        <v>9.5852049999999994E-2</v>
      </c>
      <c r="H441" s="1366">
        <f>'Capital base remaining lives'!H446</f>
        <v>8.1807199999999997E-2</v>
      </c>
      <c r="I441" s="1366">
        <f>'Capital base remaining lives'!I446</f>
        <v>-0.11106858</v>
      </c>
      <c r="J441" s="1366">
        <f>'Capital base remaining lives'!J446</f>
        <v>0</v>
      </c>
      <c r="K441" s="1366">
        <f>'Capital base remaining lives'!K446</f>
        <v>0</v>
      </c>
      <c r="L441" s="1366">
        <f>'Capital base remaining lives'!L446</f>
        <v>0</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16.11100978756447</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4.1585903412384777</v>
      </c>
      <c r="D446" s="1348">
        <f ca="1">IF(C470="n/a",C446,IFERROR(IF((OFFSET($C446,0,$A446))&lt;0,
MIN(0,C446-(OFFSET($C446,0,$A446)/(OFFSET($C441,-$A445,$A446)))),
MAX(0,C446-(OFFSET($C446,0,$A446)/(OFFSET($C441,-$A445,$A446))))),0))</f>
        <v>3.9004693174123766</v>
      </c>
      <c r="E446" s="1348">
        <f t="shared" ref="E446" ca="1" si="603">IF(D470="n/a",D446,IFERROR(IF((OFFSET($C446,0,$A446))&lt;0,
MIN(0,D446-(OFFSET($C446,0,$A446)/(OFFSET($C441,-$A445,$A446)))),
MAX(0,D446-(OFFSET($C446,0,$A446)/(OFFSET($C441,-$A445,$A446))))),0))</f>
        <v>3.6423482935862754</v>
      </c>
      <c r="F446" s="1348">
        <f t="shared" ref="F446:F447" ca="1" si="604">IF(E470="n/a",E446,IFERROR(IF((OFFSET($C446,0,$A446))&lt;0,
MIN(0,E446-(OFFSET($C446,0,$A446)/(OFFSET($C441,-$A445,$A446)))),
MAX(0,E446-(OFFSET($C446,0,$A446)/(OFFSET($C441,-$A445,$A446))))),0))</f>
        <v>3.3842272697601743</v>
      </c>
      <c r="G446" s="1348">
        <f t="shared" ref="G446:G448" ca="1" si="605">IF(F470="n/a",F446,IFERROR(IF((OFFSET($C446,0,$A446))&lt;0,
MIN(0,F446-(OFFSET($C446,0,$A446)/(OFFSET($C441,-$A445,$A446)))),
MAX(0,F446-(OFFSET($C446,0,$A446)/(OFFSET($C441,-$A445,$A446))))),0))</f>
        <v>3.1261062459340732</v>
      </c>
      <c r="H446" s="1348">
        <f t="shared" ref="H446:H449" ca="1" si="606">IF(G470="n/a",G446,IFERROR(IF((OFFSET($C446,0,$A446))&lt;0,
MIN(0,G446-(OFFSET($C446,0,$A446)/(OFFSET($C441,-$A445,$A446)))),
MAX(0,G446-(OFFSET($C446,0,$A446)/(OFFSET($C441,-$A445,$A446))))),0))</f>
        <v>2.867985222107972</v>
      </c>
      <c r="I446" s="1348">
        <f t="shared" ref="I446:I450" ca="1" si="607">IF(H470="n/a",H446,IFERROR(IF((OFFSET($C446,0,$A446))&lt;0,
MIN(0,H446-(OFFSET($C446,0,$A446)/(OFFSET($C441,-$A445,$A446)))),
MAX(0,H446-(OFFSET($C446,0,$A446)/(OFFSET($C441,-$A445,$A446))))),0))</f>
        <v>2.6098641982818709</v>
      </c>
      <c r="J446" s="1348">
        <f t="shared" ref="J446:J451" ca="1" si="608">IF(I470="n/a",I446,IFERROR(IF((OFFSET($C446,0,$A446))&lt;0,
MIN(0,I446-(OFFSET($C446,0,$A446)/(OFFSET($C441,-$A445,$A446)))),
MAX(0,I446-(OFFSET($C446,0,$A446)/(OFFSET($C441,-$A445,$A446))))),0))</f>
        <v>2.3517431744557697</v>
      </c>
      <c r="K446" s="1348">
        <f t="shared" ref="K446:K452" ca="1" si="609">IF(J470="n/a",J446,IFERROR(IF((OFFSET($C446,0,$A446))&lt;0,
MIN(0,J446-(OFFSET($C446,0,$A446)/(OFFSET($C441,-$A445,$A446)))),
MAX(0,J446-(OFFSET($C446,0,$A446)/(OFFSET($C441,-$A445,$A446))))),0))</f>
        <v>2.0936221506296686</v>
      </c>
      <c r="L446" s="1348">
        <f t="shared" ref="L446:L453" ca="1" si="610">IF(K470="n/a",K446,IFERROR(IF((OFFSET($C446,0,$A446))&lt;0,
MIN(0,K446-(OFFSET($C446,0,$A446)/(OFFSET($C441,-$A445,$A446)))),
MAX(0,K446-(OFFSET($C446,0,$A446)/(OFFSET($C441,-$A445,$A446))))),0))</f>
        <v>1.8355011268035675</v>
      </c>
      <c r="M446" s="1348">
        <f t="shared" ref="M446:M454" ca="1" si="611">IF(L470="n/a",L446,IFERROR(IF((OFFSET($C446,0,$A446))&lt;0,
MIN(0,L446-(OFFSET($C446,0,$A446)/(OFFSET($C441,-$A445,$A446)))),
MAX(0,L446-(OFFSET($C446,0,$A446)/(OFFSET($C441,-$A445,$A446))))),0))</f>
        <v>1.5773801029774663</v>
      </c>
      <c r="N446" s="1348">
        <f t="shared" ref="N446:N455" ca="1" si="612">IF(M470="n/a",M446,IFERROR(IF((OFFSET($C446,0,$A446))&lt;0,
MIN(0,M446-(OFFSET($C446,0,$A446)/(OFFSET($C441,-$A445,$A446)))),
MAX(0,M446-(OFFSET($C446,0,$A446)/(OFFSET($C441,-$A445,$A446))))),0))</f>
        <v>1.3192590791513652</v>
      </c>
      <c r="O446" s="1348">
        <f t="shared" ref="O446:O456" ca="1" si="613">IF(N470="n/a",N446,IFERROR(IF((OFFSET($C446,0,$A446))&lt;0,
MIN(0,N446-(OFFSET($C446,0,$A446)/(OFFSET($C441,-$A445,$A446)))),
MAX(0,N446-(OFFSET($C446,0,$A446)/(OFFSET($C441,-$A445,$A446))))),0))</f>
        <v>1.0611380553252641</v>
      </c>
      <c r="P446" s="1348">
        <f t="shared" ref="P446:P457" ca="1" si="614">IF(O470="n/a",O446,IFERROR(IF((OFFSET($C446,0,$A446))&lt;0,
MIN(0,O446-(OFFSET($C446,0,$A446)/(OFFSET($C441,-$A445,$A446)))),
MAX(0,O446-(OFFSET($C446,0,$A446)/(OFFSET($C441,-$A445,$A446))))),0))</f>
        <v>0.80301703149916293</v>
      </c>
      <c r="Q446" s="1348">
        <f t="shared" ref="Q446:Q458" ca="1" si="615">IF(P470="n/a",P446,IFERROR(IF((OFFSET($C446,0,$A446))&lt;0,
MIN(0,P446-(OFFSET($C446,0,$A446)/(OFFSET($C441,-$A445,$A446)))),
MAX(0,P446-(OFFSET($C446,0,$A446)/(OFFSET($C441,-$A445,$A446))))),0))</f>
        <v>0.54489600767306179</v>
      </c>
      <c r="R446" s="1348">
        <f t="shared" ref="R446:R459" ca="1" si="616">IF(Q470="n/a",Q446,IFERROR(IF((OFFSET($C446,0,$A446))&lt;0,
MIN(0,Q446-(OFFSET($C446,0,$A446)/(OFFSET($C441,-$A445,$A446)))),
MAX(0,Q446-(OFFSET($C446,0,$A446)/(OFFSET($C441,-$A445,$A446))))),0))</f>
        <v>0.2867749838469606</v>
      </c>
      <c r="S446" s="1348">
        <f t="shared" ref="S446:S460" ca="1" si="617">IF(R470="n/a",R446,IFERROR(IF((OFFSET($C446,0,$A446))&lt;0,
MIN(0,R446-(OFFSET($C446,0,$A446)/(OFFSET($C441,-$A445,$A446)))),
MAX(0,R446-(OFFSET($C446,0,$A446)/(OFFSET($C441,-$A445,$A446))))),0))</f>
        <v>2.8653960020859404E-2</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2016-17</v>
      </c>
      <c r="C447" s="1349"/>
      <c r="D447" s="1350">
        <f>D441</f>
        <v>1.3332419999999999E-2</v>
      </c>
      <c r="E447" s="1348">
        <f ca="1">IF(D471="n/a",D447,IFERROR(IF((OFFSET($C447,0,$A447))&lt;0,
MIN(0,D447-(OFFSET($C447,0,$A447)/(OFFSET($C442,-$A446,$A447)))),
MAX(0,D447-(OFFSET($C447,0,$A447)/(OFFSET($C442,-$A446,$A447))))),0))</f>
        <v>1.2665799E-2</v>
      </c>
      <c r="F447" s="1348">
        <f t="shared" ca="1" si="604"/>
        <v>1.1999178000000001E-2</v>
      </c>
      <c r="G447" s="1348">
        <f t="shared" ca="1" si="605"/>
        <v>1.1332557000000002E-2</v>
      </c>
      <c r="H447" s="1348">
        <f t="shared" ca="1" si="606"/>
        <v>1.0665936000000003E-2</v>
      </c>
      <c r="I447" s="1348">
        <f t="shared" ca="1" si="607"/>
        <v>9.9993150000000034E-3</v>
      </c>
      <c r="J447" s="1348">
        <f t="shared" ca="1" si="608"/>
        <v>9.3326940000000042E-3</v>
      </c>
      <c r="K447" s="1348">
        <f t="shared" ca="1" si="609"/>
        <v>8.666073000000005E-3</v>
      </c>
      <c r="L447" s="1348">
        <f t="shared" ca="1" si="610"/>
        <v>7.9994520000000058E-3</v>
      </c>
      <c r="M447" s="1348">
        <f t="shared" ca="1" si="611"/>
        <v>7.3328310000000058E-3</v>
      </c>
      <c r="N447" s="1348">
        <f t="shared" ca="1" si="612"/>
        <v>6.6662100000000057E-3</v>
      </c>
      <c r="O447" s="1348">
        <f t="shared" ca="1" si="613"/>
        <v>5.9995890000000057E-3</v>
      </c>
      <c r="P447" s="1348">
        <f t="shared" ca="1" si="614"/>
        <v>5.3329680000000056E-3</v>
      </c>
      <c r="Q447" s="1348">
        <f t="shared" ca="1" si="615"/>
        <v>4.6663470000000056E-3</v>
      </c>
      <c r="R447" s="1348">
        <f t="shared" ca="1" si="616"/>
        <v>3.9997260000000055E-3</v>
      </c>
      <c r="S447" s="1348">
        <f t="shared" ca="1" si="617"/>
        <v>3.3331050000000055E-3</v>
      </c>
      <c r="T447" s="1348">
        <f t="shared" ca="1" si="618"/>
        <v>2.6664840000000054E-3</v>
      </c>
      <c r="U447" s="1348">
        <f t="shared" ca="1" si="619"/>
        <v>1.9998630000000054E-3</v>
      </c>
      <c r="V447" s="1348">
        <f t="shared" ca="1" si="620"/>
        <v>1.3332420000000053E-3</v>
      </c>
      <c r="W447" s="1348">
        <f t="shared" ca="1" si="621"/>
        <v>6.6662100000000537E-4</v>
      </c>
      <c r="X447" s="172"/>
      <c r="Y447" s="172"/>
      <c r="Z447" s="172"/>
      <c r="AA447" s="172"/>
      <c r="AB447" s="172"/>
    </row>
    <row r="448" spans="1:28" ht="12.75" hidden="1" customHeight="1" outlineLevel="1">
      <c r="A448" s="225">
        <v>2</v>
      </c>
      <c r="B448" s="212" t="str">
        <f t="shared" ca="1" si="622"/>
        <v>Depreciated Net Capex 2017-18</v>
      </c>
      <c r="C448" s="1351"/>
      <c r="D448" s="1352"/>
      <c r="E448" s="1350">
        <f>E441</f>
        <v>0.3469156000000001</v>
      </c>
      <c r="F448" s="1348">
        <f ca="1">IF(E472="n/a",E448,IFERROR(IF((OFFSET($C448,0,$A448))&lt;0,
MIN(0,E448-(OFFSET($C448,0,$A448)/(OFFSET($C443,-$A447,$A448)))),
MAX(0,E448-(OFFSET($C448,0,$A448)/(OFFSET($C443,-$A447,$A448))))),0))</f>
        <v>0.32956982000000012</v>
      </c>
      <c r="G448" s="1348">
        <f t="shared" ca="1" si="605"/>
        <v>0.31222404000000015</v>
      </c>
      <c r="H448" s="1348">
        <f t="shared" ca="1" si="606"/>
        <v>0.29487826000000017</v>
      </c>
      <c r="I448" s="1348">
        <f t="shared" ca="1" si="607"/>
        <v>0.27753248000000019</v>
      </c>
      <c r="J448" s="1348">
        <f t="shared" ca="1" si="608"/>
        <v>0.26018670000000022</v>
      </c>
      <c r="K448" s="1348">
        <f t="shared" ca="1" si="609"/>
        <v>0.24284092000000021</v>
      </c>
      <c r="L448" s="1348">
        <f t="shared" ca="1" si="610"/>
        <v>0.2254951400000002</v>
      </c>
      <c r="M448" s="1348">
        <f t="shared" ca="1" si="611"/>
        <v>0.2081493600000002</v>
      </c>
      <c r="N448" s="1348">
        <f t="shared" ca="1" si="612"/>
        <v>0.19080358000000019</v>
      </c>
      <c r="O448" s="1348">
        <f t="shared" ca="1" si="613"/>
        <v>0.17345780000000019</v>
      </c>
      <c r="P448" s="1348">
        <f t="shared" ca="1" si="614"/>
        <v>0.15611202000000018</v>
      </c>
      <c r="Q448" s="1348">
        <f t="shared" ca="1" si="615"/>
        <v>0.13876624000000018</v>
      </c>
      <c r="R448" s="1348">
        <f t="shared" ca="1" si="616"/>
        <v>0.12142046000000017</v>
      </c>
      <c r="S448" s="1348">
        <f t="shared" ca="1" si="617"/>
        <v>0.10407468000000017</v>
      </c>
      <c r="T448" s="1348">
        <f t="shared" ca="1" si="618"/>
        <v>8.6728900000000164E-2</v>
      </c>
      <c r="U448" s="1348">
        <f t="shared" ca="1" si="619"/>
        <v>6.9383120000000159E-2</v>
      </c>
      <c r="V448" s="1348">
        <f t="shared" ca="1" si="620"/>
        <v>5.2037340000000154E-2</v>
      </c>
      <c r="W448" s="1348">
        <f t="shared" ca="1" si="621"/>
        <v>3.4691560000000149E-2</v>
      </c>
      <c r="X448" s="228"/>
      <c r="Y448" s="172"/>
      <c r="Z448" s="172"/>
      <c r="AA448" s="172"/>
      <c r="AB448" s="172"/>
    </row>
    <row r="449" spans="1:28" ht="12.75" hidden="1" customHeight="1" outlineLevel="1">
      <c r="A449" s="225">
        <v>3</v>
      </c>
      <c r="B449" s="212" t="str">
        <f t="shared" ca="1" si="622"/>
        <v>Depreciated Net Capex 2018-19</v>
      </c>
      <c r="C449" s="1351"/>
      <c r="D449" s="1351"/>
      <c r="E449" s="1352"/>
      <c r="F449" s="1353">
        <f>F441</f>
        <v>0.20177433000000003</v>
      </c>
      <c r="G449" s="1348">
        <f ca="1">IF(F473="n/a",F449,IFERROR(IF((OFFSET($C449,0,$A449))&lt;0,
MIN(0,F449-(OFFSET($C449,0,$A449)/(OFFSET($C444,-$A448,$A449)))),
MAX(0,F449-(OFFSET($C449,0,$A449)/(OFFSET($C444,-$A448,$A449))))),0))</f>
        <v>0.19168561350000002</v>
      </c>
      <c r="H449" s="1348">
        <f t="shared" ca="1" si="606"/>
        <v>0.18159689700000001</v>
      </c>
      <c r="I449" s="1348">
        <f t="shared" ca="1" si="607"/>
        <v>0.1715081805</v>
      </c>
      <c r="J449" s="1348">
        <f t="shared" ca="1" si="608"/>
        <v>0.16141946399999998</v>
      </c>
      <c r="K449" s="1348">
        <f t="shared" ca="1" si="609"/>
        <v>0.15133074749999997</v>
      </c>
      <c r="L449" s="1348">
        <f t="shared" ca="1" si="610"/>
        <v>0.14124203099999996</v>
      </c>
      <c r="M449" s="1348">
        <f t="shared" ca="1" si="611"/>
        <v>0.13115331449999995</v>
      </c>
      <c r="N449" s="1348">
        <f t="shared" ca="1" si="612"/>
        <v>0.12106459799999995</v>
      </c>
      <c r="O449" s="1348">
        <f t="shared" ca="1" si="613"/>
        <v>0.11097588149999996</v>
      </c>
      <c r="P449" s="1348">
        <f t="shared" ca="1" si="614"/>
        <v>0.10088716499999996</v>
      </c>
      <c r="Q449" s="1348">
        <f t="shared" ca="1" si="615"/>
        <v>9.0798448499999962E-2</v>
      </c>
      <c r="R449" s="1348">
        <f t="shared" ca="1" si="616"/>
        <v>8.0709731999999965E-2</v>
      </c>
      <c r="S449" s="1348">
        <f t="shared" ca="1" si="617"/>
        <v>7.0621015499999967E-2</v>
      </c>
      <c r="T449" s="1348">
        <f t="shared" ca="1" si="618"/>
        <v>6.053229899999997E-2</v>
      </c>
      <c r="U449" s="1348">
        <f t="shared" ca="1" si="619"/>
        <v>5.0443582499999973E-2</v>
      </c>
      <c r="V449" s="1348">
        <f t="shared" ca="1" si="620"/>
        <v>4.0354865999999975E-2</v>
      </c>
      <c r="W449" s="1348">
        <f t="shared" ca="1" si="621"/>
        <v>3.0266149499999975E-2</v>
      </c>
      <c r="X449" s="228"/>
      <c r="Y449" s="228"/>
      <c r="Z449" s="172"/>
      <c r="AA449" s="172"/>
      <c r="AB449" s="172"/>
    </row>
    <row r="450" spans="1:28" ht="12.75" hidden="1" customHeight="1" outlineLevel="1">
      <c r="A450" s="225">
        <v>4</v>
      </c>
      <c r="B450" s="212" t="str">
        <f t="shared" ca="1" si="622"/>
        <v>Depreciated Net Capex 2019-20</v>
      </c>
      <c r="C450" s="1351"/>
      <c r="D450" s="1351"/>
      <c r="E450" s="1351"/>
      <c r="F450" s="1352"/>
      <c r="G450" s="1353">
        <f>G441</f>
        <v>9.5852049999999994E-2</v>
      </c>
      <c r="H450" s="1348">
        <f ca="1">IF(G474="n/a",G450,IFERROR(IF((OFFSET($C450,0,$A450))&lt;0,
MIN(0,G450-(OFFSET($C450,0,$A450)/(OFFSET($C445,-$A449,$A450)))),
MAX(0,G450-(OFFSET($C450,0,$A450)/(OFFSET($C445,-$A449,$A450))))),0))</f>
        <v>9.1059447500000001E-2</v>
      </c>
      <c r="I450" s="1348">
        <f t="shared" ca="1" si="607"/>
        <v>8.6266845000000009E-2</v>
      </c>
      <c r="J450" s="1348">
        <f t="shared" ca="1" si="608"/>
        <v>8.1474242500000016E-2</v>
      </c>
      <c r="K450" s="1348">
        <f t="shared" ca="1" si="609"/>
        <v>7.6681640000000023E-2</v>
      </c>
      <c r="L450" s="1348">
        <f t="shared" ca="1" si="610"/>
        <v>7.188903750000003E-2</v>
      </c>
      <c r="M450" s="1348">
        <f t="shared" ca="1" si="611"/>
        <v>6.7096435000000038E-2</v>
      </c>
      <c r="N450" s="1348">
        <f t="shared" ca="1" si="612"/>
        <v>6.2303832500000038E-2</v>
      </c>
      <c r="O450" s="1348">
        <f t="shared" ca="1" si="613"/>
        <v>5.7511230000000038E-2</v>
      </c>
      <c r="P450" s="1348">
        <f t="shared" ca="1" si="614"/>
        <v>5.2718627500000038E-2</v>
      </c>
      <c r="Q450" s="1348">
        <f t="shared" ca="1" si="615"/>
        <v>4.7926025000000039E-2</v>
      </c>
      <c r="R450" s="1348">
        <f t="shared" ca="1" si="616"/>
        <v>4.3133422500000039E-2</v>
      </c>
      <c r="S450" s="1348">
        <f t="shared" ca="1" si="617"/>
        <v>3.8340820000000039E-2</v>
      </c>
      <c r="T450" s="1348">
        <f t="shared" ca="1" si="618"/>
        <v>3.354821750000004E-2</v>
      </c>
      <c r="U450" s="1348">
        <f t="shared" ca="1" si="619"/>
        <v>2.875561500000004E-2</v>
      </c>
      <c r="V450" s="1348">
        <f t="shared" ca="1" si="620"/>
        <v>2.396301250000004E-2</v>
      </c>
      <c r="W450" s="1348">
        <f t="shared" ca="1" si="621"/>
        <v>1.917041000000004E-2</v>
      </c>
      <c r="X450" s="228"/>
      <c r="Y450" s="228"/>
      <c r="Z450" s="228"/>
      <c r="AA450" s="172"/>
      <c r="AB450" s="172"/>
    </row>
    <row r="451" spans="1:28" ht="12.75" hidden="1" customHeight="1" outlineLevel="1">
      <c r="A451" s="225">
        <v>5</v>
      </c>
      <c r="B451" s="212" t="str">
        <f t="shared" ca="1" si="622"/>
        <v>Depreciated Net Capex 2020-21</v>
      </c>
      <c r="C451" s="1351"/>
      <c r="D451" s="1351"/>
      <c r="E451" s="1351"/>
      <c r="F451" s="1351"/>
      <c r="G451" s="1352"/>
      <c r="H451" s="1353">
        <f>H441</f>
        <v>8.1807199999999997E-2</v>
      </c>
      <c r="I451" s="1348">
        <f ca="1">IF(H475="n/a",H451,IFERROR(IF((OFFSET($C451,0,$A451))&lt;0,
MIN(0,H451-(OFFSET($C451,0,$A451)/(OFFSET($C446,-$A450,$A451)))),
MAX(0,H451-(OFFSET($C451,0,$A451)/(OFFSET($C446,-$A450,$A451))))),0))</f>
        <v>7.7716839999999995E-2</v>
      </c>
      <c r="J451" s="1348">
        <f t="shared" ca="1" si="608"/>
        <v>7.3626479999999994E-2</v>
      </c>
      <c r="K451" s="1348">
        <f t="shared" ca="1" si="609"/>
        <v>6.9536119999999993E-2</v>
      </c>
      <c r="L451" s="1348">
        <f t="shared" ca="1" si="610"/>
        <v>6.5445759999999992E-2</v>
      </c>
      <c r="M451" s="1348">
        <f t="shared" ca="1" si="611"/>
        <v>6.1355399999999991E-2</v>
      </c>
      <c r="N451" s="1348">
        <f t="shared" ca="1" si="612"/>
        <v>5.7265039999999989E-2</v>
      </c>
      <c r="O451" s="1348">
        <f t="shared" ca="1" si="613"/>
        <v>5.3174679999999988E-2</v>
      </c>
      <c r="P451" s="1348">
        <f t="shared" ca="1" si="614"/>
        <v>4.9084319999999987E-2</v>
      </c>
      <c r="Q451" s="1348">
        <f t="shared" ca="1" si="615"/>
        <v>4.4993959999999986E-2</v>
      </c>
      <c r="R451" s="1348">
        <f t="shared" ca="1" si="616"/>
        <v>4.0903599999999984E-2</v>
      </c>
      <c r="S451" s="1348">
        <f t="shared" ca="1" si="617"/>
        <v>3.6813239999999983E-2</v>
      </c>
      <c r="T451" s="1348">
        <f t="shared" ca="1" si="618"/>
        <v>3.2722879999999982E-2</v>
      </c>
      <c r="U451" s="1348">
        <f t="shared" ca="1" si="619"/>
        <v>2.8632519999999981E-2</v>
      </c>
      <c r="V451" s="1348">
        <f t="shared" ca="1" si="620"/>
        <v>2.454215999999998E-2</v>
      </c>
      <c r="W451" s="1348">
        <f t="shared" ca="1" si="621"/>
        <v>2.0451799999999978E-2</v>
      </c>
      <c r="X451" s="228"/>
      <c r="Y451" s="228"/>
      <c r="Z451" s="228"/>
      <c r="AA451" s="172"/>
      <c r="AB451" s="172"/>
    </row>
    <row r="452" spans="1:28" ht="12.75" hidden="1" customHeight="1" outlineLevel="1">
      <c r="A452" s="225">
        <v>6</v>
      </c>
      <c r="B452" s="212" t="str">
        <f t="shared" ca="1" si="622"/>
        <v>Depreciated Net Capex 2021-22</v>
      </c>
      <c r="C452" s="1351"/>
      <c r="D452" s="1351"/>
      <c r="E452" s="1351"/>
      <c r="F452" s="1351"/>
      <c r="G452" s="1351"/>
      <c r="H452" s="1352"/>
      <c r="I452" s="1353">
        <f>I441</f>
        <v>-0.11106858</v>
      </c>
      <c r="J452" s="1348">
        <f ca="1">IF(I476="n/a",I452,IFERROR(IF((OFFSET($C452,0,$A452))&lt;0,
MIN(0,I452-(OFFSET($C452,0,$A452)/(OFFSET($C447,-$A451,$A452)))),
MAX(0,I452-(OFFSET($C452,0,$A452)/(OFFSET($C447,-$A451,$A452))))),0))</f>
        <v>-0.105515151</v>
      </c>
      <c r="K452" s="1348">
        <f t="shared" ca="1" si="609"/>
        <v>-9.9961722000000003E-2</v>
      </c>
      <c r="L452" s="1348">
        <f t="shared" ca="1" si="610"/>
        <v>-9.4408293000000004E-2</v>
      </c>
      <c r="M452" s="1348">
        <f t="shared" ca="1" si="611"/>
        <v>-8.8854864000000006E-2</v>
      </c>
      <c r="N452" s="1348">
        <f t="shared" ca="1" si="612"/>
        <v>-8.3301435000000007E-2</v>
      </c>
      <c r="O452" s="1348">
        <f t="shared" ca="1" si="613"/>
        <v>-7.7748006000000008E-2</v>
      </c>
      <c r="P452" s="1348">
        <f t="shared" ca="1" si="614"/>
        <v>-7.219457700000001E-2</v>
      </c>
      <c r="Q452" s="1348">
        <f t="shared" ca="1" si="615"/>
        <v>-6.6641148000000011E-2</v>
      </c>
      <c r="R452" s="1348">
        <f t="shared" ca="1" si="616"/>
        <v>-6.1087719000000013E-2</v>
      </c>
      <c r="S452" s="1348">
        <f t="shared" ca="1" si="617"/>
        <v>-5.5534290000000014E-2</v>
      </c>
      <c r="T452" s="1348">
        <f t="shared" ca="1" si="618"/>
        <v>-4.9980861000000015E-2</v>
      </c>
      <c r="U452" s="1348">
        <f t="shared" ca="1" si="619"/>
        <v>-4.4427432000000017E-2</v>
      </c>
      <c r="V452" s="1348">
        <f t="shared" ca="1" si="620"/>
        <v>-3.8874003000000018E-2</v>
      </c>
      <c r="W452" s="1348">
        <f t="shared" ca="1" si="621"/>
        <v>-3.3320574000000019E-2</v>
      </c>
      <c r="X452" s="228"/>
      <c r="Y452" s="228"/>
      <c r="Z452" s="228"/>
      <c r="AA452" s="172"/>
      <c r="AB452" s="172"/>
    </row>
    <row r="453" spans="1:28" ht="12.75" hidden="1" customHeight="1" outlineLevel="1">
      <c r="A453" s="225">
        <v>7</v>
      </c>
      <c r="B453" s="212" t="str">
        <f t="shared" ca="1" si="622"/>
        <v>Depreciated Net Capex 2022-23</v>
      </c>
      <c r="C453" s="1351"/>
      <c r="D453" s="1351"/>
      <c r="E453" s="1351"/>
      <c r="F453" s="1351"/>
      <c r="G453" s="1351"/>
      <c r="H453" s="1351"/>
      <c r="I453" s="1352"/>
      <c r="J453" s="1353">
        <f>J441</f>
        <v>0</v>
      </c>
      <c r="K453" s="1348">
        <f ca="1">IF(J477="n/a",J453,IFERROR(IF((OFFSET($C453,0,$A453))&lt;0,
MIN(0,J453-(OFFSET($C453,0,$A453)/(OFFSET($C448,-$A452,$A453)))),
MAX(0,J453-(OFFSET($C453,0,$A453)/(OFFSET($C448,-$A452,$A453))))),0))</f>
        <v>0</v>
      </c>
      <c r="L453" s="1348">
        <f t="shared" ca="1" si="610"/>
        <v>0</v>
      </c>
      <c r="M453" s="1348">
        <f t="shared" ca="1" si="611"/>
        <v>0</v>
      </c>
      <c r="N453" s="1348">
        <f t="shared" ca="1" si="612"/>
        <v>0</v>
      </c>
      <c r="O453" s="1348">
        <f t="shared" ca="1" si="613"/>
        <v>0</v>
      </c>
      <c r="P453" s="1348">
        <f t="shared" ca="1" si="614"/>
        <v>0</v>
      </c>
      <c r="Q453" s="1348">
        <f t="shared" ca="1" si="615"/>
        <v>0</v>
      </c>
      <c r="R453" s="1348">
        <f t="shared" ca="1" si="616"/>
        <v>0</v>
      </c>
      <c r="S453" s="1348">
        <f t="shared" ca="1" si="617"/>
        <v>0</v>
      </c>
      <c r="T453" s="1348">
        <f t="shared" ca="1" si="618"/>
        <v>0</v>
      </c>
      <c r="U453" s="1348">
        <f t="shared" ca="1" si="619"/>
        <v>0</v>
      </c>
      <c r="V453" s="1348">
        <f t="shared" ca="1" si="620"/>
        <v>0</v>
      </c>
      <c r="W453" s="1348">
        <f t="shared" ca="1" si="621"/>
        <v>0</v>
      </c>
      <c r="X453" s="228"/>
      <c r="Y453" s="228"/>
      <c r="Z453" s="228"/>
      <c r="AA453" s="172"/>
      <c r="AB453" s="172"/>
    </row>
    <row r="454" spans="1:28" ht="12.75" hidden="1" customHeight="1" outlineLevel="1">
      <c r="A454" s="225">
        <v>8</v>
      </c>
      <c r="B454" s="212" t="str">
        <f t="shared" ca="1" si="622"/>
        <v>Depreciated Net Capex 2023-24</v>
      </c>
      <c r="C454" s="1351"/>
      <c r="D454" s="1351"/>
      <c r="E454" s="1351"/>
      <c r="F454" s="1351"/>
      <c r="G454" s="1351"/>
      <c r="H454" s="1351"/>
      <c r="I454" s="1351"/>
      <c r="J454" s="1352"/>
      <c r="K454" s="1353">
        <f>K441</f>
        <v>0</v>
      </c>
      <c r="L454" s="1348">
        <f ca="1">IF(K478="n/a",K454,IFERROR(IF((OFFSET($C454,0,$A454))&lt;0,
MIN(0,K454-(OFFSET($C454,0,$A454)/(OFFSET($C449,-$A453,$A454)))),
MAX(0,K454-(OFFSET($C454,0,$A454)/(OFFSET($C449,-$A453,$A454))))),0))</f>
        <v>0</v>
      </c>
      <c r="M454" s="1348">
        <f t="shared" ca="1" si="611"/>
        <v>0</v>
      </c>
      <c r="N454" s="1348">
        <f t="shared" ca="1" si="612"/>
        <v>0</v>
      </c>
      <c r="O454" s="1348">
        <f t="shared" ca="1" si="613"/>
        <v>0</v>
      </c>
      <c r="P454" s="1348">
        <f t="shared" ca="1" si="614"/>
        <v>0</v>
      </c>
      <c r="Q454" s="1348">
        <f t="shared" ca="1" si="615"/>
        <v>0</v>
      </c>
      <c r="R454" s="1348">
        <f t="shared" ca="1" si="616"/>
        <v>0</v>
      </c>
      <c r="S454" s="1348">
        <f t="shared" ca="1" si="617"/>
        <v>0</v>
      </c>
      <c r="T454" s="1348">
        <f t="shared" ca="1" si="618"/>
        <v>0</v>
      </c>
      <c r="U454" s="1348">
        <f t="shared" ca="1" si="619"/>
        <v>0</v>
      </c>
      <c r="V454" s="1348">
        <f t="shared" ca="1" si="620"/>
        <v>0</v>
      </c>
      <c r="W454" s="1348">
        <f t="shared" ca="1" si="621"/>
        <v>0</v>
      </c>
      <c r="X454" s="228"/>
      <c r="Y454" s="228"/>
      <c r="Z454" s="228"/>
      <c r="AA454" s="172"/>
      <c r="AB454" s="172"/>
    </row>
    <row r="455" spans="1:28" ht="12.75" hidden="1" customHeight="1" outlineLevel="1">
      <c r="A455" s="225">
        <v>9</v>
      </c>
      <c r="B455" s="212" t="str">
        <f t="shared" ca="1" si="622"/>
        <v>Depreciated Net Capex 2024-25</v>
      </c>
      <c r="C455" s="1351"/>
      <c r="D455" s="1351"/>
      <c r="E455" s="1351"/>
      <c r="F455" s="1351"/>
      <c r="G455" s="1351"/>
      <c r="H455" s="1351"/>
      <c r="I455" s="1351"/>
      <c r="J455" s="1351"/>
      <c r="K455" s="1352"/>
      <c r="L455" s="1353">
        <f>L441</f>
        <v>0</v>
      </c>
      <c r="M455" s="1348">
        <f ca="1">IF(L479="n/a",L455,IFERROR(IF((OFFSET($C455,0,$A455))&lt;0,
MIN(0,L455-(OFFSET($C455,0,$A455)/(OFFSET($C450,-$A454,$A455)))),
MAX(0,L455-(OFFSET($C455,0,$A455)/(OFFSET($C450,-$A454,$A455))))),0))</f>
        <v>0</v>
      </c>
      <c r="N455" s="1348">
        <f t="shared" ca="1" si="612"/>
        <v>0</v>
      </c>
      <c r="O455" s="1348">
        <f t="shared" ca="1" si="613"/>
        <v>0</v>
      </c>
      <c r="P455" s="1348">
        <f t="shared" ca="1" si="614"/>
        <v>0</v>
      </c>
      <c r="Q455" s="1348">
        <f t="shared" ca="1" si="615"/>
        <v>0</v>
      </c>
      <c r="R455" s="1348">
        <f t="shared" ca="1" si="616"/>
        <v>0</v>
      </c>
      <c r="S455" s="1348">
        <f t="shared" ca="1" si="617"/>
        <v>0</v>
      </c>
      <c r="T455" s="1348">
        <f t="shared" ca="1" si="618"/>
        <v>0</v>
      </c>
      <c r="U455" s="1348">
        <f t="shared" ca="1" si="619"/>
        <v>0</v>
      </c>
      <c r="V455" s="1348">
        <f t="shared" ca="1" si="620"/>
        <v>0</v>
      </c>
      <c r="W455" s="1348">
        <f t="shared" ca="1" si="621"/>
        <v>0</v>
      </c>
      <c r="X455" s="228"/>
      <c r="Y455" s="228"/>
      <c r="Z455" s="228"/>
      <c r="AA455" s="172"/>
      <c r="AB455" s="172"/>
    </row>
    <row r="456" spans="1:28" ht="12.75" hidden="1" customHeight="1" outlineLevel="1">
      <c r="A456" s="225">
        <v>10</v>
      </c>
      <c r="B456" s="212" t="str">
        <f t="shared" ca="1" si="622"/>
        <v>Depreciated Net Capex 2025-26</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2026-27</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2027-28</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2028-29</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2029-30</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2030-31</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2031-32</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2032-33</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2033-34</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2034-35</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2035-36</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16.11100978756447</v>
      </c>
      <c r="D470" s="1348">
        <f t="shared" ref="D470" ca="1" si="641">IF(C470="n/a","n/a",MAX(0,C470-1))</f>
        <v>15.11100978756447</v>
      </c>
      <c r="E470" s="1348">
        <f t="shared" ref="E470:E471" ca="1" si="642">IF(D470="n/a","n/a",MAX(0,D470-1))</f>
        <v>14.11100978756447</v>
      </c>
      <c r="F470" s="1348">
        <f t="shared" ref="F470:F472" ca="1" si="643">IF(E470="n/a","n/a",MAX(0,E470-1))</f>
        <v>13.11100978756447</v>
      </c>
      <c r="G470" s="1348">
        <f t="shared" ref="G470:G473" ca="1" si="644">IF(F470="n/a","n/a",MAX(0,F470-1))</f>
        <v>12.11100978756447</v>
      </c>
      <c r="H470" s="1348">
        <f t="shared" ref="H470:H474" ca="1" si="645">IF(G470="n/a","n/a",MAX(0,G470-1))</f>
        <v>11.11100978756447</v>
      </c>
      <c r="I470" s="1348">
        <f t="shared" ref="I470:I475" ca="1" si="646">IF(H470="n/a","n/a",MAX(0,H470-1))</f>
        <v>10.11100978756447</v>
      </c>
      <c r="J470" s="1348">
        <f t="shared" ref="J470:J476" ca="1" si="647">IF(I470="n/a","n/a",MAX(0,I470-1))</f>
        <v>9.1110097875644698</v>
      </c>
      <c r="K470" s="1348">
        <f t="shared" ref="K470:K477" ca="1" si="648">IF(J470="n/a","n/a",MAX(0,J470-1))</f>
        <v>8.1110097875644698</v>
      </c>
      <c r="L470" s="1348">
        <f t="shared" ref="L470:L478" ca="1" si="649">IF(K470="n/a","n/a",MAX(0,K470-1))</f>
        <v>7.1110097875644698</v>
      </c>
      <c r="M470" s="1348">
        <f t="shared" ref="M470:M479" ca="1" si="650">IF(L470="n/a","n/a",MAX(0,L470-1))</f>
        <v>6.1110097875644698</v>
      </c>
      <c r="N470" s="1348">
        <f t="shared" ref="N470:N480" ca="1" si="651">IF(M470="n/a","n/a",MAX(0,M470-1))</f>
        <v>5.1110097875644698</v>
      </c>
      <c r="O470" s="1348">
        <f t="shared" ref="O470:O481" ca="1" si="652">IF(N470="n/a","n/a",MAX(0,N470-1))</f>
        <v>4.1110097875644698</v>
      </c>
      <c r="P470" s="1348">
        <f t="shared" ref="P470:P482" ca="1" si="653">IF(O470="n/a","n/a",MAX(0,O470-1))</f>
        <v>3.1110097875644698</v>
      </c>
      <c r="Q470" s="1348">
        <f t="shared" ref="Q470:Q483" ca="1" si="654">IF(P470="n/a","n/a",MAX(0,P470-1))</f>
        <v>2.1110097875644698</v>
      </c>
      <c r="R470" s="1348">
        <f t="shared" ref="R470:R484" ca="1" si="655">IF(Q470="n/a","n/a",MAX(0,Q470-1))</f>
        <v>1.1110097875644698</v>
      </c>
      <c r="S470" s="1348">
        <f t="shared" ref="S470:S485" ca="1" si="656">IF(R470="n/a","n/a",MAX(0,R470-1))</f>
        <v>0.11100978756446978</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2016-17</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2017-18</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2018-19</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2019-20</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2020-21</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2021-22</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2022-23</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2023-24</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2024-25</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2025-26</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2026-27</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2027-28</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2028-29</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2029-30</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2030-31</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2031-32</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2032-33</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2033-34</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2034-35</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2035-36</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16.11100978756447</v>
      </c>
      <c r="D492" s="1356">
        <f ca="1">(IF(OR($C442&lt;&gt;"n/a",D442&lt;&gt;"n/a"),IF(SUM(D445:D467)=0,0,IF((SUMPRODUCT(D445:D467,D469:D491)/SUM(D445:D467))&lt;0,1,(SUMPRODUCT(D445:D467,D469:D491)/SUM(D445:D467)))),"n/a"))</f>
        <v>15.12766420065469</v>
      </c>
      <c r="E492" s="1356">
        <f t="shared" ref="E492:W492" ca="1" si="662">(IF(OR($C442&lt;&gt;"n/a",E442&lt;&gt;"n/a"),IF(SUM(E445:E467)=0,0,IF((SUMPRODUCT(E445:E467,E469:E491)/SUM(E445:E467))&lt;0,1,(SUMPRODUCT(E445:E467,E469:E491)/SUM(E445:E467)))),"n/a"))</f>
        <v>14.636982431257907</v>
      </c>
      <c r="F492" s="1356">
        <f t="shared" ca="1" si="662"/>
        <v>13.974016220731357</v>
      </c>
      <c r="G492" s="1356">
        <f t="shared" ca="1" si="662"/>
        <v>13.173512393090666</v>
      </c>
      <c r="H492" s="1356">
        <f t="shared" ca="1" si="662"/>
        <v>12.382341852983497</v>
      </c>
      <c r="I492" s="1356">
        <f t="shared" ca="1" si="662"/>
        <v>11.116134342691032</v>
      </c>
      <c r="J492" s="1356">
        <f t="shared" ca="1" si="662"/>
        <v>10.150338751060122</v>
      </c>
      <c r="K492" s="1356">
        <f t="shared" ca="1" si="662"/>
        <v>9.1923332107017544</v>
      </c>
      <c r="L492" s="1356">
        <f t="shared" ca="1" si="662"/>
        <v>8.2451209945312911</v>
      </c>
      <c r="M492" s="1356">
        <f t="shared" ca="1" si="662"/>
        <v>7.3134768098329701</v>
      </c>
      <c r="N492" s="1356">
        <f t="shared" ca="1" si="662"/>
        <v>6.4054787669801589</v>
      </c>
      <c r="O492" s="1356">
        <f t="shared" ca="1" si="662"/>
        <v>5.5359626933412507</v>
      </c>
      <c r="P492" s="1356">
        <f t="shared" ca="1" si="662"/>
        <v>4.7354572206032461</v>
      </c>
      <c r="Q492" s="1356">
        <f t="shared" ca="1" si="662"/>
        <v>4.0783924053259017</v>
      </c>
      <c r="R492" s="1356">
        <f t="shared" ca="1" si="662"/>
        <v>3.8063102307404422</v>
      </c>
      <c r="S492" s="1356">
        <f t="shared" ca="1" si="662"/>
        <v>5.3969542483848594</v>
      </c>
      <c r="T492" s="1356">
        <f t="shared" ca="1" si="662"/>
        <v>5.1396206020975974</v>
      </c>
      <c r="U492" s="1356">
        <f t="shared" ca="1" si="662"/>
        <v>4.1049266867515737</v>
      </c>
      <c r="V492" s="1356">
        <f t="shared" ca="1" si="662"/>
        <v>3.0491319967973984</v>
      </c>
      <c r="W492" s="1356">
        <f t="shared" ca="1" si="662"/>
        <v>1.9445742936245412</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4.8561082499999686E-2</v>
      </c>
      <c r="D495" s="1366">
        <f>'Capital base remaining lives'!D500</f>
        <v>0</v>
      </c>
      <c r="E495" s="1366">
        <f>'Capital base remaining lives'!E500</f>
        <v>1.735E-3</v>
      </c>
      <c r="F495" s="1366">
        <f>'Capital base remaining lives'!F500</f>
        <v>0</v>
      </c>
      <c r="G495" s="1366">
        <f>'Capital base remaining lives'!G500</f>
        <v>1.0376900438679246</v>
      </c>
      <c r="H495" s="1366">
        <f>'Capital base remaining lives'!H500</f>
        <v>6.1320754239204693E-9</v>
      </c>
      <c r="I495" s="1366">
        <f>'Capital base remaining lives'!I500</f>
        <v>0</v>
      </c>
      <c r="J495" s="1366">
        <f>'Capital base remaining lives'!J500</f>
        <v>0</v>
      </c>
      <c r="K495" s="1366">
        <f>'Capital base remaining lives'!K500</f>
        <v>0</v>
      </c>
      <c r="L495" s="1366">
        <f>'Capital base remaining lives'!L500</f>
        <v>0</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2.7467822098076176</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4.8561082499999686E-2</v>
      </c>
      <c r="D500" s="1348">
        <f ca="1">IF(C524="n/a",C500,IFERROR(IF((OFFSET($C500,0,$A500))&lt;0,
MIN(0,C500-(OFFSET($C500,0,$A500)/(OFFSET($C495,-$A499,$A500)))),
MAX(0,C500-(OFFSET($C500,0,$A500)/(OFFSET($C495,-$A499,$A500))))),0))</f>
        <v>3.0881820443252616E-2</v>
      </c>
      <c r="E500" s="1348">
        <f t="shared" ref="E500" ca="1" si="682">IF(D524="n/a",D500,IFERROR(IF((OFFSET($C500,0,$A500))&lt;0,
MIN(0,D500-(OFFSET($C500,0,$A500)/(OFFSET($C495,-$A499,$A500)))),
MAX(0,D500-(OFFSET($C500,0,$A500)/(OFFSET($C495,-$A499,$A500))))),0))</f>
        <v>1.3202558386505546E-2</v>
      </c>
      <c r="F500" s="1348">
        <f t="shared" ref="F500:F501" ca="1" si="683">IF(E524="n/a",E500,IFERROR(IF((OFFSET($C500,0,$A500))&lt;0,
MIN(0,E500-(OFFSET($C500,0,$A500)/(OFFSET($C495,-$A499,$A500)))),
MAX(0,E500-(OFFSET($C500,0,$A500)/(OFFSET($C495,-$A499,$A500))))),0))</f>
        <v>0</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2016-17</v>
      </c>
      <c r="C501" s="1349"/>
      <c r="D501" s="1350">
        <f>D495</f>
        <v>0</v>
      </c>
      <c r="E501" s="1348">
        <f ca="1">IF(D525="n/a",D501,IFERROR(IF((OFFSET($C501,0,$A501))&lt;0,
MIN(0,D501-(OFFSET($C501,0,$A501)/(OFFSET($C496,-$A500,$A501)))),
MAX(0,D501-(OFFSET($C501,0,$A501)/(OFFSET($C496,-$A500,$A501))))),0))</f>
        <v>0</v>
      </c>
      <c r="F501" s="1348">
        <f t="shared" ca="1" si="683"/>
        <v>0</v>
      </c>
      <c r="G501" s="1348">
        <f t="shared" ca="1" si="684"/>
        <v>0</v>
      </c>
      <c r="H501" s="1348">
        <f t="shared" ca="1" si="685"/>
        <v>0</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2017-18</v>
      </c>
      <c r="C502" s="1351"/>
      <c r="D502" s="1352"/>
      <c r="E502" s="1350">
        <f>E495</f>
        <v>1.735E-3</v>
      </c>
      <c r="F502" s="1348">
        <f ca="1">IF(E526="n/a",E502,IFERROR(IF((OFFSET($C502,0,$A502))&lt;0,
MIN(0,E502-(OFFSET($C502,0,$A502)/(OFFSET($C497,-$A501,$A502)))),
MAX(0,E502-(OFFSET($C502,0,$A502)/(OFFSET($C497,-$A501,$A502))))),0))</f>
        <v>1.3012499999999999E-3</v>
      </c>
      <c r="G502" s="1348">
        <f t="shared" ca="1" si="684"/>
        <v>8.6749999999999989E-4</v>
      </c>
      <c r="H502" s="1348">
        <f t="shared" ca="1" si="685"/>
        <v>4.3374999999999989E-4</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2018-19</v>
      </c>
      <c r="C503" s="1351"/>
      <c r="D503" s="1351"/>
      <c r="E503" s="1352"/>
      <c r="F503" s="1353">
        <f>F495</f>
        <v>0</v>
      </c>
      <c r="G503" s="1348">
        <f ca="1">IF(F527="n/a",F503,IFERROR(IF((OFFSET($C503,0,$A503))&lt;0,
MIN(0,F503-(OFFSET($C503,0,$A503)/(OFFSET($C498,-$A502,$A503)))),
MAX(0,F503-(OFFSET($C503,0,$A503)/(OFFSET($C498,-$A502,$A503))))),0))</f>
        <v>0</v>
      </c>
      <c r="H503" s="1348">
        <f t="shared" ca="1" si="685"/>
        <v>0</v>
      </c>
      <c r="I503" s="1348">
        <f t="shared" ca="1" si="686"/>
        <v>0</v>
      </c>
      <c r="J503" s="1348">
        <f t="shared" ca="1" si="687"/>
        <v>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2019-20</v>
      </c>
      <c r="C504" s="1351"/>
      <c r="D504" s="1351"/>
      <c r="E504" s="1351"/>
      <c r="F504" s="1352"/>
      <c r="G504" s="1353">
        <f>G495</f>
        <v>1.0376900438679246</v>
      </c>
      <c r="H504" s="1348">
        <f ca="1">IF(G528="n/a",G504,IFERROR(IF((OFFSET($C504,0,$A504))&lt;0,
MIN(0,G504-(OFFSET($C504,0,$A504)/(OFFSET($C499,-$A503,$A504)))),
MAX(0,G504-(OFFSET($C504,0,$A504)/(OFFSET($C499,-$A503,$A504))))),0))</f>
        <v>0.77826753290094342</v>
      </c>
      <c r="I504" s="1348">
        <f t="shared" ca="1" si="686"/>
        <v>0.5188450219339622</v>
      </c>
      <c r="J504" s="1348">
        <f t="shared" ca="1" si="687"/>
        <v>0.25942251096698105</v>
      </c>
      <c r="K504" s="1348">
        <f t="shared" ca="1" si="688"/>
        <v>0</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2020-21</v>
      </c>
      <c r="C505" s="1351"/>
      <c r="D505" s="1351"/>
      <c r="E505" s="1351"/>
      <c r="F505" s="1351"/>
      <c r="G505" s="1352"/>
      <c r="H505" s="1353">
        <f>H495</f>
        <v>6.1320754239204693E-9</v>
      </c>
      <c r="I505" s="1348">
        <f ca="1">IF(H529="n/a",H505,IFERROR(IF((OFFSET($C505,0,$A505))&lt;0,
MIN(0,H505-(OFFSET($C505,0,$A505)/(OFFSET($C500,-$A504,$A505)))),
MAX(0,H505-(OFFSET($C505,0,$A505)/(OFFSET($C500,-$A504,$A505))))),0))</f>
        <v>4.5990565679403524E-9</v>
      </c>
      <c r="J505" s="1348">
        <f t="shared" ca="1" si="687"/>
        <v>3.0660377119602351E-9</v>
      </c>
      <c r="K505" s="1348">
        <f t="shared" ca="1" si="688"/>
        <v>1.5330188559801177E-9</v>
      </c>
      <c r="L505" s="1348">
        <f t="shared" ca="1" si="689"/>
        <v>4.1359030627651384E-25</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2021-22</v>
      </c>
      <c r="C506" s="1351"/>
      <c r="D506" s="1351"/>
      <c r="E506" s="1351"/>
      <c r="F506" s="1351"/>
      <c r="G506" s="1351"/>
      <c r="H506" s="1352"/>
      <c r="I506" s="1353">
        <f>I495</f>
        <v>0</v>
      </c>
      <c r="J506" s="1348">
        <f ca="1">IF(I530="n/a",I506,IFERROR(IF((OFFSET($C506,0,$A506))&lt;0,
MIN(0,I506-(OFFSET($C506,0,$A506)/(OFFSET($C501,-$A505,$A506)))),
MAX(0,I506-(OFFSET($C506,0,$A506)/(OFFSET($C501,-$A505,$A506))))),0))</f>
        <v>0</v>
      </c>
      <c r="K506" s="1348">
        <f t="shared" ca="1" si="688"/>
        <v>0</v>
      </c>
      <c r="L506" s="1348">
        <f t="shared" ca="1" si="689"/>
        <v>0</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2022-23</v>
      </c>
      <c r="C507" s="1351"/>
      <c r="D507" s="1351"/>
      <c r="E507" s="1351"/>
      <c r="F507" s="1351"/>
      <c r="G507" s="1351"/>
      <c r="H507" s="1351"/>
      <c r="I507" s="1352"/>
      <c r="J507" s="1353">
        <f>J495</f>
        <v>0</v>
      </c>
      <c r="K507" s="1348">
        <f ca="1">IF(J531="n/a",J507,IFERROR(IF((OFFSET($C507,0,$A507))&lt;0,
MIN(0,J507-(OFFSET($C507,0,$A507)/(OFFSET($C502,-$A506,$A507)))),
MAX(0,J507-(OFFSET($C507,0,$A507)/(OFFSET($C502,-$A506,$A507))))),0))</f>
        <v>0</v>
      </c>
      <c r="L507" s="1348">
        <f t="shared" ca="1" si="689"/>
        <v>0</v>
      </c>
      <c r="M507" s="1348">
        <f t="shared" ca="1" si="690"/>
        <v>0</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2023-24</v>
      </c>
      <c r="C508" s="1351"/>
      <c r="D508" s="1351"/>
      <c r="E508" s="1351"/>
      <c r="F508" s="1351"/>
      <c r="G508" s="1351"/>
      <c r="H508" s="1351"/>
      <c r="I508" s="1351"/>
      <c r="J508" s="1352"/>
      <c r="K508" s="1353">
        <f>K495</f>
        <v>0</v>
      </c>
      <c r="L508" s="1348">
        <f ca="1">IF(K532="n/a",K508,IFERROR(IF((OFFSET($C508,0,$A508))&lt;0,
MIN(0,K508-(OFFSET($C508,0,$A508)/(OFFSET($C503,-$A507,$A508)))),
MAX(0,K508-(OFFSET($C508,0,$A508)/(OFFSET($C503,-$A507,$A508))))),0))</f>
        <v>0</v>
      </c>
      <c r="M508" s="1348">
        <f t="shared" ca="1" si="690"/>
        <v>0</v>
      </c>
      <c r="N508" s="1348">
        <f t="shared" ca="1" si="691"/>
        <v>0</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2024-25</v>
      </c>
      <c r="C509" s="1351"/>
      <c r="D509" s="1351"/>
      <c r="E509" s="1351"/>
      <c r="F509" s="1351"/>
      <c r="G509" s="1351"/>
      <c r="H509" s="1351"/>
      <c r="I509" s="1351"/>
      <c r="J509" s="1351"/>
      <c r="K509" s="1352"/>
      <c r="L509" s="1353">
        <f>L495</f>
        <v>0</v>
      </c>
      <c r="M509" s="1348">
        <f ca="1">IF(L533="n/a",L509,IFERROR(IF((OFFSET($C509,0,$A509))&lt;0,
MIN(0,L509-(OFFSET($C509,0,$A509)/(OFFSET($C504,-$A508,$A509)))),
MAX(0,L509-(OFFSET($C509,0,$A509)/(OFFSET($C504,-$A508,$A509))))),0))</f>
        <v>0</v>
      </c>
      <c r="N509" s="1348">
        <f t="shared" ca="1" si="691"/>
        <v>0</v>
      </c>
      <c r="O509" s="1348">
        <f t="shared" ca="1" si="692"/>
        <v>0</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2025-26</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2026-27</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2027-28</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2028-29</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2029-30</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2030-31</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2031-32</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2032-33</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2033-34</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2034-35</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2035-36</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2.7467822098076176</v>
      </c>
      <c r="D524" s="1348">
        <f t="shared" ref="D524" ca="1" si="720">IF(C524="n/a","n/a",MAX(0,C524-1))</f>
        <v>1.7467822098076176</v>
      </c>
      <c r="E524" s="1348">
        <f t="shared" ref="E524:E525" ca="1" si="721">IF(D524="n/a","n/a",MAX(0,D524-1))</f>
        <v>0.74678220980761756</v>
      </c>
      <c r="F524" s="1348">
        <f t="shared" ref="F524:F526" ca="1" si="722">IF(E524="n/a","n/a",MAX(0,E524-1))</f>
        <v>0</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2016-17</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2017-18</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2018-19</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2019-20</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2020-21</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2021-22</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2022-23</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2023-24</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2024-25</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2025-26</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2026-27</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2027-28</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2028-29</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2029-30</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2030-31</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2031-32</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2032-33</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2033-34</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2034-35</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2035-36</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2.7467822098076176</v>
      </c>
      <c r="D546" s="1356">
        <f ca="1">(IF(OR($C496&lt;&gt;"n/a",D496&lt;&gt;"n/a"),IF(SUM(D499:D521)=0,0,IF((SUMPRODUCT(D499:D521,D523:D545)/SUM(D499:D521))&lt;0,1,(SUMPRODUCT(D499:D521,D523:D545)/SUM(D499:D521)))),"n/a"))</f>
        <v>1.7467822098076176</v>
      </c>
      <c r="E546" s="1356">
        <f t="shared" ref="E546:W546" ca="1" si="741">(IF(OR($C496&lt;&gt;"n/a",E496&lt;&gt;"n/a"),IF(SUM(E499:E521)=0,0,IF((SUMPRODUCT(E499:E521,E523:E545)/SUM(E499:E521))&lt;0,1,(SUMPRODUCT(E499:E521,E523:E545)/SUM(E499:E521)))),"n/a"))</f>
        <v>1.1246440209509181</v>
      </c>
      <c r="F546" s="1356">
        <f t="shared" ca="1" si="741"/>
        <v>3</v>
      </c>
      <c r="G546" s="1356">
        <f t="shared" ca="1" si="741"/>
        <v>3.9983294137043783</v>
      </c>
      <c r="H546" s="1356">
        <f t="shared" ca="1" si="741"/>
        <v>2.9988859735046773</v>
      </c>
      <c r="I546" s="1356">
        <f t="shared" ca="1" si="741"/>
        <v>2.0000000088640273</v>
      </c>
      <c r="J546" s="1356">
        <f t="shared" ca="1" si="741"/>
        <v>1.0000000118187031</v>
      </c>
      <c r="K546" s="1356">
        <f t="shared" ca="1" si="741"/>
        <v>1</v>
      </c>
      <c r="L546" s="1356">
        <f t="shared" ca="1" si="741"/>
        <v>0</v>
      </c>
      <c r="M546" s="1356">
        <f t="shared" ca="1" si="741"/>
        <v>0</v>
      </c>
      <c r="N546" s="1356">
        <f t="shared" ca="1" si="741"/>
        <v>0</v>
      </c>
      <c r="O546" s="1356">
        <f t="shared" ca="1" si="741"/>
        <v>0</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1.1595648041935491</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6.5291527111030643</v>
      </c>
      <c r="D550" s="1367">
        <f>IF(LEFT(D$6,4)&lt;=LEFT('RFM input'!$G$60,4),"enter input",IF(LEFT(D$6,4)&gt;LEFT('RFM input'!$Q$60,4),0,
IF(MATCH(D$6,'RFM input'!$H$60:$Q$60,0),INDEX('RFM input'!$Y$7:$Y$56,$A549,1,1))))</f>
        <v>15.5</v>
      </c>
      <c r="E550" s="1367">
        <f>IF(LEFT(E$6,4)&lt;=LEFT('RFM input'!$G$60,4),"enter input",IF(LEFT(E$6,4)&gt;LEFT('RFM input'!$Q$60,4),0,
IF(MATCH(E$6,'RFM input'!$H$60:$Q$60,0),INDEX('RFM input'!$Y$7:$Y$56,$A549,1,1))))</f>
        <v>15.5</v>
      </c>
      <c r="F550" s="1367">
        <f>IF(LEFT(F$6,4)&lt;=LEFT('RFM input'!$G$60,4),"enter input",IF(LEFT(F$6,4)&gt;LEFT('RFM input'!$Q$60,4),0,
IF(MATCH(F$6,'RFM input'!$H$60:$Q$60,0),INDEX('RFM input'!$Y$7:$Y$56,$A549,1,1))))</f>
        <v>15.5</v>
      </c>
      <c r="G550" s="1367">
        <f>IF(LEFT(G$6,4)&lt;=LEFT('RFM input'!$G$60,4),"enter input",IF(LEFT(G$6,4)&gt;LEFT('RFM input'!$Q$60,4),0,
IF(MATCH(G$6,'RFM input'!$H$60:$Q$60,0),INDEX('RFM input'!$Y$7:$Y$56,$A549,1,1))))</f>
        <v>15.5</v>
      </c>
      <c r="H550" s="1367">
        <f>IF(LEFT(H$6,4)&lt;=LEFT('RFM input'!$G$60,4),"enter input",IF(LEFT(H$6,4)&gt;LEFT('RFM input'!$Q$60,4),0,
IF(MATCH(H$6,'RFM input'!$H$60:$Q$60,0),INDEX('RFM input'!$Y$7:$Y$56,$A549,1,1))))</f>
        <v>15.5</v>
      </c>
      <c r="I550" s="1367">
        <f>IF(LEFT(I$6,4)&lt;=LEFT('RFM input'!$G$60,4),"enter input",IF(LEFT(I$6,4)&gt;LEFT('RFM input'!$Q$60,4),0,
IF(MATCH(I$6,'RFM input'!$H$60:$Q$60,0),INDEX('RFM input'!$Y$7:$Y$56,$A549,1,1))))</f>
        <v>15.5</v>
      </c>
      <c r="J550" s="1367">
        <f>IF(LEFT(J$6,4)&lt;=LEFT('RFM input'!$G$60,4),"enter input",IF(LEFT(J$6,4)&gt;LEFT('RFM input'!$Q$60,4),0,
IF(MATCH(J$6,'RFM input'!$H$60:$Q$60,0),INDEX('RFM input'!$Y$7:$Y$56,$A549,1,1))))</f>
        <v>15.5</v>
      </c>
      <c r="K550" s="1367">
        <f>IF(LEFT(K$6,4)&lt;=LEFT('RFM input'!$G$60,4),"enter input",IF(LEFT(K$6,4)&gt;LEFT('RFM input'!$Q$60,4),0,
IF(MATCH(K$6,'RFM input'!$H$60:$Q$60,0),INDEX('RFM input'!$Y$7:$Y$56,$A549,1,1))))</f>
        <v>15.5</v>
      </c>
      <c r="L550" s="1367">
        <f>IF(LEFT(L$6,4)&lt;=LEFT('RFM input'!$G$60,4),"enter input",IF(LEFT(L$6,4)&gt;LEFT('RFM input'!$Q$60,4),0,
IF(MATCH(L$6,'RFM input'!$H$60:$Q$60,0),INDEX('RFM input'!$Y$7:$Y$56,$A549,1,1))))</f>
        <v>15.5</v>
      </c>
      <c r="M550" s="1367">
        <f>IF(LEFT(M$6,4)&lt;=LEFT('RFM input'!$G$60,4),"enter input",IF(LEFT(M$6,4)&gt;LEFT('RFM input'!$Q$60,4),0,
IF(MATCH(M$6,'RFM input'!$H$60:$Q$60,0),INDEX('RFM input'!$Y$7:$Y$56,$A549,1,1))))</f>
        <v>15.5</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1.1595648041935491</v>
      </c>
      <c r="D554" s="1348">
        <f ca="1">IF(C578="n/a",C554,IFERROR(IF((OFFSET($C554,0,$A554))&lt;0,
MIN(0,C554-(OFFSET($C554,0,$A554)/(OFFSET($C549,-$A553,$A554)))),
MAX(0,C554-(OFFSET($C554,0,$A554)/(OFFSET($C549,-$A553,$A554))))),0))</f>
        <v>0.98196675196516936</v>
      </c>
      <c r="E554" s="1348">
        <f t="shared" ref="E554" ca="1" si="761">IF(D578="n/a",D554,IFERROR(IF((OFFSET($C554,0,$A554))&lt;0,
MIN(0,D554-(OFFSET($C554,0,$A554)/(OFFSET($C549,-$A553,$A554)))),
MAX(0,D554-(OFFSET($C554,0,$A554)/(OFFSET($C549,-$A553,$A554))))),0))</f>
        <v>0.80436869973678959</v>
      </c>
      <c r="F554" s="1348">
        <f t="shared" ref="F554:F555" ca="1" si="762">IF(E578="n/a",E554,IFERROR(IF((OFFSET($C554,0,$A554))&lt;0,
MIN(0,E554-(OFFSET($C554,0,$A554)/(OFFSET($C549,-$A553,$A554)))),
MAX(0,E554-(OFFSET($C554,0,$A554)/(OFFSET($C549,-$A553,$A554))))),0))</f>
        <v>0.62677064750840983</v>
      </c>
      <c r="G554" s="1348">
        <f t="shared" ref="G554:G556" ca="1" si="763">IF(F578="n/a",F554,IFERROR(IF((OFFSET($C554,0,$A554))&lt;0,
MIN(0,F554-(OFFSET($C554,0,$A554)/(OFFSET($C549,-$A553,$A554)))),
MAX(0,F554-(OFFSET($C554,0,$A554)/(OFFSET($C549,-$A553,$A554))))),0))</f>
        <v>0.44917259528003006</v>
      </c>
      <c r="H554" s="1348">
        <f t="shared" ref="H554:H557" ca="1" si="764">IF(G578="n/a",G554,IFERROR(IF((OFFSET($C554,0,$A554))&lt;0,
MIN(0,G554-(OFFSET($C554,0,$A554)/(OFFSET($C549,-$A553,$A554)))),
MAX(0,G554-(OFFSET($C554,0,$A554)/(OFFSET($C549,-$A553,$A554))))),0))</f>
        <v>0.2715745430516503</v>
      </c>
      <c r="I554" s="1348">
        <f t="shared" ref="I554:I558" ca="1" si="765">IF(H578="n/a",H554,IFERROR(IF((OFFSET($C554,0,$A554))&lt;0,
MIN(0,H554-(OFFSET($C554,0,$A554)/(OFFSET($C549,-$A553,$A554)))),
MAX(0,H554-(OFFSET($C554,0,$A554)/(OFFSET($C549,-$A553,$A554))))),0))</f>
        <v>9.3976490823270559E-2</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2016-17</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2017-18</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2018-19</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2019-20</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2020-21</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2021-22</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2022-23</v>
      </c>
      <c r="C561" s="1351"/>
      <c r="D561" s="1351"/>
      <c r="E561" s="1351"/>
      <c r="F561" s="1351"/>
      <c r="G561" s="1351"/>
      <c r="H561" s="1351"/>
      <c r="I561" s="1352"/>
      <c r="J561" s="1353">
        <f>J549</f>
        <v>0</v>
      </c>
      <c r="K561" s="1348">
        <f ca="1">IF(J585="n/a",J561,IFERROR(IF((OFFSET($C561,0,$A561))&lt;0,
MIN(0,J561-(OFFSET($C561,0,$A561)/(OFFSET($C556,-$A560,$A561)))),
MAX(0,J561-(OFFSET($C561,0,$A561)/(OFFSET($C556,-$A560,$A561))))),0))</f>
        <v>0</v>
      </c>
      <c r="L561" s="1348">
        <f t="shared" ca="1" si="768"/>
        <v>0</v>
      </c>
      <c r="M561" s="1348">
        <f t="shared" ca="1" si="769"/>
        <v>0</v>
      </c>
      <c r="N561" s="1348">
        <f t="shared" ca="1" si="770"/>
        <v>0</v>
      </c>
      <c r="O561" s="1348">
        <f t="shared" ca="1" si="771"/>
        <v>0</v>
      </c>
      <c r="P561" s="1348">
        <f t="shared" ca="1" si="772"/>
        <v>0</v>
      </c>
      <c r="Q561" s="1348">
        <f t="shared" ca="1" si="773"/>
        <v>0</v>
      </c>
      <c r="R561" s="1348">
        <f t="shared" ca="1" si="774"/>
        <v>0</v>
      </c>
      <c r="S561" s="1348">
        <f t="shared" ca="1" si="775"/>
        <v>0</v>
      </c>
      <c r="T561" s="1348">
        <f t="shared" ca="1" si="776"/>
        <v>0</v>
      </c>
      <c r="U561" s="1348">
        <f t="shared" ca="1" si="777"/>
        <v>0</v>
      </c>
      <c r="V561" s="1348">
        <f t="shared" ca="1" si="778"/>
        <v>0</v>
      </c>
      <c r="W561" s="1348">
        <f t="shared" ca="1" si="779"/>
        <v>0</v>
      </c>
      <c r="X561" s="228"/>
      <c r="Y561" s="228"/>
      <c r="Z561" s="228"/>
      <c r="AA561" s="172"/>
      <c r="AB561" s="172"/>
    </row>
    <row r="562" spans="1:28" ht="12.75" hidden="1" customHeight="1" outlineLevel="1">
      <c r="A562" s="225">
        <v>8</v>
      </c>
      <c r="B562" s="212" t="str">
        <f t="shared" ca="1" si="780"/>
        <v>Depreciated Net Capex 2023-24</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2024-25</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2025-26</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2026-27</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2027-28</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2028-29</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2029-30</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2030-31</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2031-32</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2032-33</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2033-34</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2034-35</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2035-36</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6.5291527111030643</v>
      </c>
      <c r="D578" s="1348">
        <f t="shared" ref="D578" ca="1" si="799">IF(C578="n/a","n/a",MAX(0,C578-1))</f>
        <v>5.5291527111030643</v>
      </c>
      <c r="E578" s="1348">
        <f t="shared" ref="E578:E579" ca="1" si="800">IF(D578="n/a","n/a",MAX(0,D578-1))</f>
        <v>4.5291527111030643</v>
      </c>
      <c r="F578" s="1348">
        <f t="shared" ref="F578:F580" ca="1" si="801">IF(E578="n/a","n/a",MAX(0,E578-1))</f>
        <v>3.5291527111030643</v>
      </c>
      <c r="G578" s="1348">
        <f t="shared" ref="G578:G581" ca="1" si="802">IF(F578="n/a","n/a",MAX(0,F578-1))</f>
        <v>2.5291527111030643</v>
      </c>
      <c r="H578" s="1348">
        <f t="shared" ref="H578:H582" ca="1" si="803">IF(G578="n/a","n/a",MAX(0,G578-1))</f>
        <v>1.5291527111030643</v>
      </c>
      <c r="I578" s="1348">
        <f t="shared" ref="I578:I583" ca="1" si="804">IF(H578="n/a","n/a",MAX(0,H578-1))</f>
        <v>0.52915271110306428</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2016-17</v>
      </c>
      <c r="C579" s="1349"/>
      <c r="D579" s="1353">
        <f>D550</f>
        <v>15.5</v>
      </c>
      <c r="E579" s="1348">
        <f t="shared" si="800"/>
        <v>14.5</v>
      </c>
      <c r="F579" s="1348">
        <f t="shared" si="801"/>
        <v>13.5</v>
      </c>
      <c r="G579" s="1348">
        <f t="shared" si="802"/>
        <v>12.5</v>
      </c>
      <c r="H579" s="1348">
        <f t="shared" si="803"/>
        <v>11.5</v>
      </c>
      <c r="I579" s="1348">
        <f t="shared" si="804"/>
        <v>10.5</v>
      </c>
      <c r="J579" s="1348">
        <f t="shared" si="805"/>
        <v>9.5</v>
      </c>
      <c r="K579" s="1348">
        <f t="shared" si="806"/>
        <v>8.5</v>
      </c>
      <c r="L579" s="1348">
        <f t="shared" si="807"/>
        <v>7.5</v>
      </c>
      <c r="M579" s="1348">
        <f t="shared" si="808"/>
        <v>6.5</v>
      </c>
      <c r="N579" s="1348">
        <f t="shared" si="809"/>
        <v>5.5</v>
      </c>
      <c r="O579" s="1348">
        <f t="shared" si="810"/>
        <v>4.5</v>
      </c>
      <c r="P579" s="1348">
        <f t="shared" si="811"/>
        <v>3.5</v>
      </c>
      <c r="Q579" s="1348">
        <f t="shared" si="812"/>
        <v>2.5</v>
      </c>
      <c r="R579" s="1348">
        <f t="shared" si="813"/>
        <v>1.5</v>
      </c>
      <c r="S579" s="1348">
        <f t="shared" si="814"/>
        <v>0.5</v>
      </c>
      <c r="T579" s="1348">
        <f t="shared" si="815"/>
        <v>0</v>
      </c>
      <c r="U579" s="1348">
        <f t="shared" si="816"/>
        <v>0</v>
      </c>
      <c r="V579" s="1348">
        <f t="shared" si="817"/>
        <v>0</v>
      </c>
      <c r="W579" s="1348">
        <f t="shared" si="818"/>
        <v>0</v>
      </c>
      <c r="X579" s="172"/>
      <c r="Y579" s="172"/>
      <c r="Z579" s="172"/>
      <c r="AA579" s="172"/>
      <c r="AB579" s="172"/>
    </row>
    <row r="580" spans="1:28" ht="12.75" hidden="1" customHeight="1" outlineLevel="1">
      <c r="A580" s="280"/>
      <c r="B580" s="212" t="str">
        <f t="shared" ca="1" si="819"/>
        <v>RL Capex 2017-18</v>
      </c>
      <c r="C580" s="1354"/>
      <c r="D580" s="1349"/>
      <c r="E580" s="1353">
        <f>E550</f>
        <v>15.5</v>
      </c>
      <c r="F580" s="1348">
        <f t="shared" si="801"/>
        <v>14.5</v>
      </c>
      <c r="G580" s="1348">
        <f t="shared" si="802"/>
        <v>13.5</v>
      </c>
      <c r="H580" s="1348">
        <f t="shared" si="803"/>
        <v>12.5</v>
      </c>
      <c r="I580" s="1348">
        <f t="shared" si="804"/>
        <v>11.5</v>
      </c>
      <c r="J580" s="1348">
        <f t="shared" si="805"/>
        <v>10.5</v>
      </c>
      <c r="K580" s="1348">
        <f t="shared" si="806"/>
        <v>9.5</v>
      </c>
      <c r="L580" s="1348">
        <f t="shared" si="807"/>
        <v>8.5</v>
      </c>
      <c r="M580" s="1348">
        <f t="shared" si="808"/>
        <v>7.5</v>
      </c>
      <c r="N580" s="1348">
        <f t="shared" si="809"/>
        <v>6.5</v>
      </c>
      <c r="O580" s="1348">
        <f t="shared" si="810"/>
        <v>5.5</v>
      </c>
      <c r="P580" s="1348">
        <f t="shared" si="811"/>
        <v>4.5</v>
      </c>
      <c r="Q580" s="1348">
        <f t="shared" si="812"/>
        <v>3.5</v>
      </c>
      <c r="R580" s="1348">
        <f t="shared" si="813"/>
        <v>2.5</v>
      </c>
      <c r="S580" s="1348">
        <f t="shared" si="814"/>
        <v>1.5</v>
      </c>
      <c r="T580" s="1348">
        <f t="shared" si="815"/>
        <v>0.5</v>
      </c>
      <c r="U580" s="1348">
        <f t="shared" si="816"/>
        <v>0</v>
      </c>
      <c r="V580" s="1348">
        <f t="shared" si="817"/>
        <v>0</v>
      </c>
      <c r="W580" s="1348">
        <f t="shared" si="818"/>
        <v>0</v>
      </c>
      <c r="X580" s="172"/>
      <c r="Y580" s="172"/>
      <c r="Z580" s="172"/>
      <c r="AA580" s="172"/>
      <c r="AB580" s="172"/>
    </row>
    <row r="581" spans="1:28" ht="12.75" hidden="1" customHeight="1" outlineLevel="1">
      <c r="A581" s="280"/>
      <c r="B581" s="212" t="str">
        <f t="shared" ca="1" si="819"/>
        <v>RL Capex 2018-19</v>
      </c>
      <c r="C581" s="1354"/>
      <c r="D581" s="1354"/>
      <c r="E581" s="1349"/>
      <c r="F581" s="1353">
        <f>F550</f>
        <v>15.5</v>
      </c>
      <c r="G581" s="1348">
        <f t="shared" si="802"/>
        <v>14.5</v>
      </c>
      <c r="H581" s="1348">
        <f t="shared" si="803"/>
        <v>13.5</v>
      </c>
      <c r="I581" s="1348">
        <f t="shared" si="804"/>
        <v>12.5</v>
      </c>
      <c r="J581" s="1348">
        <f t="shared" si="805"/>
        <v>11.5</v>
      </c>
      <c r="K581" s="1348">
        <f t="shared" si="806"/>
        <v>10.5</v>
      </c>
      <c r="L581" s="1348">
        <f t="shared" si="807"/>
        <v>9.5</v>
      </c>
      <c r="M581" s="1348">
        <f t="shared" si="808"/>
        <v>8.5</v>
      </c>
      <c r="N581" s="1348">
        <f t="shared" si="809"/>
        <v>7.5</v>
      </c>
      <c r="O581" s="1348">
        <f t="shared" si="810"/>
        <v>6.5</v>
      </c>
      <c r="P581" s="1348">
        <f t="shared" si="811"/>
        <v>5.5</v>
      </c>
      <c r="Q581" s="1348">
        <f t="shared" si="812"/>
        <v>4.5</v>
      </c>
      <c r="R581" s="1348">
        <f t="shared" si="813"/>
        <v>3.5</v>
      </c>
      <c r="S581" s="1348">
        <f t="shared" si="814"/>
        <v>2.5</v>
      </c>
      <c r="T581" s="1348">
        <f t="shared" si="815"/>
        <v>1.5</v>
      </c>
      <c r="U581" s="1348">
        <f t="shared" si="816"/>
        <v>0.5</v>
      </c>
      <c r="V581" s="1348">
        <f t="shared" si="817"/>
        <v>0</v>
      </c>
      <c r="W581" s="1348">
        <f t="shared" si="818"/>
        <v>0</v>
      </c>
      <c r="X581" s="172"/>
      <c r="Y581" s="172"/>
      <c r="Z581" s="172"/>
      <c r="AA581" s="172"/>
      <c r="AB581" s="172"/>
    </row>
    <row r="582" spans="1:28" ht="12.75" hidden="1" customHeight="1" outlineLevel="1">
      <c r="A582" s="280"/>
      <c r="B582" s="212" t="str">
        <f t="shared" ca="1" si="819"/>
        <v>RL Capex 2019-20</v>
      </c>
      <c r="C582" s="1354"/>
      <c r="D582" s="1354"/>
      <c r="E582" s="1354"/>
      <c r="F582" s="1349"/>
      <c r="G582" s="1353">
        <f>G550</f>
        <v>15.5</v>
      </c>
      <c r="H582" s="1348">
        <f t="shared" si="803"/>
        <v>14.5</v>
      </c>
      <c r="I582" s="1348">
        <f t="shared" si="804"/>
        <v>13.5</v>
      </c>
      <c r="J582" s="1348">
        <f t="shared" si="805"/>
        <v>12.5</v>
      </c>
      <c r="K582" s="1348">
        <f t="shared" si="806"/>
        <v>11.5</v>
      </c>
      <c r="L582" s="1348">
        <f t="shared" si="807"/>
        <v>10.5</v>
      </c>
      <c r="M582" s="1348">
        <f t="shared" si="808"/>
        <v>9.5</v>
      </c>
      <c r="N582" s="1348">
        <f t="shared" si="809"/>
        <v>8.5</v>
      </c>
      <c r="O582" s="1348">
        <f t="shared" si="810"/>
        <v>7.5</v>
      </c>
      <c r="P582" s="1348">
        <f t="shared" si="811"/>
        <v>6.5</v>
      </c>
      <c r="Q582" s="1348">
        <f t="shared" si="812"/>
        <v>5.5</v>
      </c>
      <c r="R582" s="1348">
        <f t="shared" si="813"/>
        <v>4.5</v>
      </c>
      <c r="S582" s="1348">
        <f t="shared" si="814"/>
        <v>3.5</v>
      </c>
      <c r="T582" s="1348">
        <f t="shared" si="815"/>
        <v>2.5</v>
      </c>
      <c r="U582" s="1348">
        <f t="shared" si="816"/>
        <v>1.5</v>
      </c>
      <c r="V582" s="1348">
        <f t="shared" si="817"/>
        <v>0.5</v>
      </c>
      <c r="W582" s="1348">
        <f t="shared" si="818"/>
        <v>0</v>
      </c>
      <c r="X582" s="172"/>
      <c r="Y582" s="172"/>
      <c r="Z582" s="172"/>
      <c r="AA582" s="172"/>
      <c r="AB582" s="172"/>
    </row>
    <row r="583" spans="1:28" ht="12.75" hidden="1" customHeight="1" outlineLevel="1">
      <c r="A583" s="280"/>
      <c r="B583" s="212" t="str">
        <f t="shared" ca="1" si="819"/>
        <v>RL Capex 2020-21</v>
      </c>
      <c r="C583" s="1354"/>
      <c r="D583" s="1354"/>
      <c r="E583" s="1354"/>
      <c r="F583" s="1354"/>
      <c r="G583" s="1349"/>
      <c r="H583" s="1353">
        <f>H550</f>
        <v>15.5</v>
      </c>
      <c r="I583" s="1348">
        <f t="shared" si="804"/>
        <v>14.5</v>
      </c>
      <c r="J583" s="1348">
        <f t="shared" si="805"/>
        <v>13.5</v>
      </c>
      <c r="K583" s="1348">
        <f t="shared" si="806"/>
        <v>12.5</v>
      </c>
      <c r="L583" s="1348">
        <f t="shared" si="807"/>
        <v>11.5</v>
      </c>
      <c r="M583" s="1348">
        <f t="shared" si="808"/>
        <v>10.5</v>
      </c>
      <c r="N583" s="1348">
        <f t="shared" si="809"/>
        <v>9.5</v>
      </c>
      <c r="O583" s="1348">
        <f t="shared" si="810"/>
        <v>8.5</v>
      </c>
      <c r="P583" s="1348">
        <f t="shared" si="811"/>
        <v>7.5</v>
      </c>
      <c r="Q583" s="1348">
        <f t="shared" si="812"/>
        <v>6.5</v>
      </c>
      <c r="R583" s="1348">
        <f t="shared" si="813"/>
        <v>5.5</v>
      </c>
      <c r="S583" s="1348">
        <f t="shared" si="814"/>
        <v>4.5</v>
      </c>
      <c r="T583" s="1348">
        <f t="shared" si="815"/>
        <v>3.5</v>
      </c>
      <c r="U583" s="1348">
        <f t="shared" si="816"/>
        <v>2.5</v>
      </c>
      <c r="V583" s="1348">
        <f t="shared" si="817"/>
        <v>1.5</v>
      </c>
      <c r="W583" s="1348">
        <f t="shared" si="818"/>
        <v>0.5</v>
      </c>
      <c r="X583" s="172"/>
      <c r="Y583" s="172"/>
      <c r="Z583" s="172"/>
      <c r="AA583" s="172"/>
      <c r="AB583" s="172"/>
    </row>
    <row r="584" spans="1:28" ht="12.75" hidden="1" customHeight="1" outlineLevel="1">
      <c r="A584" s="280"/>
      <c r="B584" s="212" t="str">
        <f t="shared" ca="1" si="819"/>
        <v>RL Capex 2021-22</v>
      </c>
      <c r="C584" s="1354"/>
      <c r="D584" s="1354"/>
      <c r="E584" s="1354"/>
      <c r="F584" s="1354"/>
      <c r="G584" s="1354"/>
      <c r="H584" s="1349"/>
      <c r="I584" s="1353">
        <f>I550</f>
        <v>15.5</v>
      </c>
      <c r="J584" s="1348">
        <f t="shared" si="805"/>
        <v>14.5</v>
      </c>
      <c r="K584" s="1348">
        <f t="shared" si="806"/>
        <v>13.5</v>
      </c>
      <c r="L584" s="1348">
        <f t="shared" si="807"/>
        <v>12.5</v>
      </c>
      <c r="M584" s="1348">
        <f t="shared" si="808"/>
        <v>11.5</v>
      </c>
      <c r="N584" s="1348">
        <f t="shared" si="809"/>
        <v>10.5</v>
      </c>
      <c r="O584" s="1348">
        <f t="shared" si="810"/>
        <v>9.5</v>
      </c>
      <c r="P584" s="1348">
        <f t="shared" si="811"/>
        <v>8.5</v>
      </c>
      <c r="Q584" s="1348">
        <f t="shared" si="812"/>
        <v>7.5</v>
      </c>
      <c r="R584" s="1348">
        <f t="shared" si="813"/>
        <v>6.5</v>
      </c>
      <c r="S584" s="1348">
        <f t="shared" si="814"/>
        <v>5.5</v>
      </c>
      <c r="T584" s="1348">
        <f t="shared" si="815"/>
        <v>4.5</v>
      </c>
      <c r="U584" s="1348">
        <f t="shared" si="816"/>
        <v>3.5</v>
      </c>
      <c r="V584" s="1348">
        <f t="shared" si="817"/>
        <v>2.5</v>
      </c>
      <c r="W584" s="1348">
        <f t="shared" si="818"/>
        <v>1.5</v>
      </c>
      <c r="X584" s="172"/>
      <c r="Y584" s="172"/>
      <c r="Z584" s="172"/>
      <c r="AA584" s="172"/>
      <c r="AB584" s="172"/>
    </row>
    <row r="585" spans="1:28" ht="12.75" hidden="1" customHeight="1" outlineLevel="1">
      <c r="A585" s="280"/>
      <c r="B585" s="212" t="str">
        <f t="shared" ca="1" si="819"/>
        <v>RL Capex 2022-23</v>
      </c>
      <c r="C585" s="1354"/>
      <c r="D585" s="1354"/>
      <c r="E585" s="1354"/>
      <c r="F585" s="1354"/>
      <c r="G585" s="1354"/>
      <c r="H585" s="1354"/>
      <c r="I585" s="1349"/>
      <c r="J585" s="1353">
        <f>J550</f>
        <v>15.5</v>
      </c>
      <c r="K585" s="1348">
        <f t="shared" si="806"/>
        <v>14.5</v>
      </c>
      <c r="L585" s="1348">
        <f t="shared" si="807"/>
        <v>13.5</v>
      </c>
      <c r="M585" s="1348">
        <f t="shared" si="808"/>
        <v>12.5</v>
      </c>
      <c r="N585" s="1348">
        <f t="shared" si="809"/>
        <v>11.5</v>
      </c>
      <c r="O585" s="1348">
        <f t="shared" si="810"/>
        <v>10.5</v>
      </c>
      <c r="P585" s="1348">
        <f t="shared" si="811"/>
        <v>9.5</v>
      </c>
      <c r="Q585" s="1348">
        <f t="shared" si="812"/>
        <v>8.5</v>
      </c>
      <c r="R585" s="1348">
        <f t="shared" si="813"/>
        <v>7.5</v>
      </c>
      <c r="S585" s="1348">
        <f t="shared" si="814"/>
        <v>6.5</v>
      </c>
      <c r="T585" s="1348">
        <f t="shared" si="815"/>
        <v>5.5</v>
      </c>
      <c r="U585" s="1348">
        <f t="shared" si="816"/>
        <v>4.5</v>
      </c>
      <c r="V585" s="1348">
        <f t="shared" si="817"/>
        <v>3.5</v>
      </c>
      <c r="W585" s="1348">
        <f t="shared" si="818"/>
        <v>2.5</v>
      </c>
      <c r="X585" s="172"/>
      <c r="Y585" s="172"/>
      <c r="Z585" s="172"/>
      <c r="AA585" s="172"/>
      <c r="AB585" s="172"/>
    </row>
    <row r="586" spans="1:28" ht="12.75" hidden="1" customHeight="1" outlineLevel="1">
      <c r="A586" s="280"/>
      <c r="B586" s="212" t="str">
        <f t="shared" ca="1" si="819"/>
        <v>RL Capex 2023-24</v>
      </c>
      <c r="C586" s="1354"/>
      <c r="D586" s="1354"/>
      <c r="E586" s="1354"/>
      <c r="F586" s="1354"/>
      <c r="G586" s="1354"/>
      <c r="H586" s="1354"/>
      <c r="I586" s="1354"/>
      <c r="J586" s="1349"/>
      <c r="K586" s="1353">
        <f>K550</f>
        <v>15.5</v>
      </c>
      <c r="L586" s="1348">
        <f t="shared" si="807"/>
        <v>14.5</v>
      </c>
      <c r="M586" s="1348">
        <f t="shared" si="808"/>
        <v>13.5</v>
      </c>
      <c r="N586" s="1348">
        <f t="shared" si="809"/>
        <v>12.5</v>
      </c>
      <c r="O586" s="1348">
        <f t="shared" si="810"/>
        <v>11.5</v>
      </c>
      <c r="P586" s="1348">
        <f t="shared" si="811"/>
        <v>10.5</v>
      </c>
      <c r="Q586" s="1348">
        <f t="shared" si="812"/>
        <v>9.5</v>
      </c>
      <c r="R586" s="1348">
        <f t="shared" si="813"/>
        <v>8.5</v>
      </c>
      <c r="S586" s="1348">
        <f t="shared" si="814"/>
        <v>7.5</v>
      </c>
      <c r="T586" s="1348">
        <f t="shared" si="815"/>
        <v>6.5</v>
      </c>
      <c r="U586" s="1348">
        <f t="shared" si="816"/>
        <v>5.5</v>
      </c>
      <c r="V586" s="1348">
        <f t="shared" si="817"/>
        <v>4.5</v>
      </c>
      <c r="W586" s="1348">
        <f t="shared" si="818"/>
        <v>3.5</v>
      </c>
      <c r="X586" s="172"/>
      <c r="Y586" s="172"/>
      <c r="Z586" s="172"/>
      <c r="AA586" s="172"/>
      <c r="AB586" s="172"/>
    </row>
    <row r="587" spans="1:28" ht="12.75" hidden="1" customHeight="1" outlineLevel="1">
      <c r="A587" s="280"/>
      <c r="B587" s="212" t="str">
        <f t="shared" ca="1" si="819"/>
        <v>RL Capex 2024-25</v>
      </c>
      <c r="C587" s="1354"/>
      <c r="D587" s="1354"/>
      <c r="E587" s="1354"/>
      <c r="F587" s="1354"/>
      <c r="G587" s="1354"/>
      <c r="H587" s="1354"/>
      <c r="I587" s="1354"/>
      <c r="J587" s="1354"/>
      <c r="K587" s="1349"/>
      <c r="L587" s="1353">
        <f>L550</f>
        <v>15.5</v>
      </c>
      <c r="M587" s="1348">
        <f t="shared" si="808"/>
        <v>14.5</v>
      </c>
      <c r="N587" s="1348">
        <f t="shared" si="809"/>
        <v>13.5</v>
      </c>
      <c r="O587" s="1348">
        <f t="shared" si="810"/>
        <v>12.5</v>
      </c>
      <c r="P587" s="1348">
        <f t="shared" si="811"/>
        <v>11.5</v>
      </c>
      <c r="Q587" s="1348">
        <f t="shared" si="812"/>
        <v>10.5</v>
      </c>
      <c r="R587" s="1348">
        <f t="shared" si="813"/>
        <v>9.5</v>
      </c>
      <c r="S587" s="1348">
        <f t="shared" si="814"/>
        <v>8.5</v>
      </c>
      <c r="T587" s="1348">
        <f t="shared" si="815"/>
        <v>7.5</v>
      </c>
      <c r="U587" s="1348">
        <f t="shared" si="816"/>
        <v>6.5</v>
      </c>
      <c r="V587" s="1348">
        <f t="shared" si="817"/>
        <v>5.5</v>
      </c>
      <c r="W587" s="1348">
        <f t="shared" si="818"/>
        <v>4.5</v>
      </c>
      <c r="X587" s="172"/>
      <c r="Y587" s="172"/>
      <c r="Z587" s="172"/>
      <c r="AA587" s="172"/>
      <c r="AB587" s="172"/>
    </row>
    <row r="588" spans="1:28" ht="12.75" hidden="1" customHeight="1" outlineLevel="1">
      <c r="A588" s="280"/>
      <c r="B588" s="212" t="str">
        <f t="shared" ca="1" si="819"/>
        <v>RL Capex 2025-26</v>
      </c>
      <c r="C588" s="1354"/>
      <c r="D588" s="1354"/>
      <c r="E588" s="1354"/>
      <c r="F588" s="1354"/>
      <c r="G588" s="1354"/>
      <c r="H588" s="1354"/>
      <c r="I588" s="1354"/>
      <c r="J588" s="1354"/>
      <c r="K588" s="1354"/>
      <c r="L588" s="1349"/>
      <c r="M588" s="1353">
        <f>M550</f>
        <v>15.5</v>
      </c>
      <c r="N588" s="1348">
        <f t="shared" si="809"/>
        <v>14.5</v>
      </c>
      <c r="O588" s="1348">
        <f t="shared" si="810"/>
        <v>13.5</v>
      </c>
      <c r="P588" s="1348">
        <f t="shared" si="811"/>
        <v>12.5</v>
      </c>
      <c r="Q588" s="1348">
        <f t="shared" si="812"/>
        <v>11.5</v>
      </c>
      <c r="R588" s="1348">
        <f t="shared" si="813"/>
        <v>10.5</v>
      </c>
      <c r="S588" s="1348">
        <f t="shared" si="814"/>
        <v>9.5</v>
      </c>
      <c r="T588" s="1348">
        <f t="shared" si="815"/>
        <v>8.5</v>
      </c>
      <c r="U588" s="1348">
        <f t="shared" si="816"/>
        <v>7.5</v>
      </c>
      <c r="V588" s="1348">
        <f t="shared" si="817"/>
        <v>6.5</v>
      </c>
      <c r="W588" s="1348">
        <f t="shared" si="818"/>
        <v>5.5</v>
      </c>
      <c r="X588" s="172"/>
      <c r="Y588" s="172"/>
      <c r="Z588" s="172"/>
      <c r="AA588" s="172"/>
      <c r="AB588" s="172"/>
    </row>
    <row r="589" spans="1:28" ht="12.75" hidden="1" customHeight="1" outlineLevel="1">
      <c r="A589" s="280"/>
      <c r="B589" s="212" t="str">
        <f t="shared" ca="1" si="819"/>
        <v>RL Capex 2026-27</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2027-28</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2028-29</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2029-30</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2030-31</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2031-32</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2032-33</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2033-34</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2034-35</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2035-36</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6.5291527111030643</v>
      </c>
      <c r="D600" s="1356">
        <f ca="1">(IF(OR($C550&lt;&gt;"n/a",D550&lt;&gt;"n/a"),IF(SUM(D553:D575)=0,0,IF((SUMPRODUCT(D553:D575,D577:D599)/SUM(D553:D575))&lt;0,1,(SUMPRODUCT(D553:D575,D577:D599)/SUM(D553:D575)))),"n/a"))</f>
        <v>5.5291527111030643</v>
      </c>
      <c r="E600" s="1356">
        <f t="shared" ref="E600:W600" ca="1" si="820">(IF(OR($C550&lt;&gt;"n/a",E550&lt;&gt;"n/a"),IF(SUM(E553:E575)=0,0,IF((SUMPRODUCT(E553:E575,E577:E599)/SUM(E553:E575))&lt;0,1,(SUMPRODUCT(E553:E575,E577:E599)/SUM(E553:E575)))),"n/a"))</f>
        <v>4.5291527111030643</v>
      </c>
      <c r="F600" s="1356">
        <f t="shared" ca="1" si="820"/>
        <v>3.5291527111030638</v>
      </c>
      <c r="G600" s="1356">
        <f t="shared" ca="1" si="820"/>
        <v>2.5291527111030643</v>
      </c>
      <c r="H600" s="1356">
        <f t="shared" ca="1" si="820"/>
        <v>1.5291527111030643</v>
      </c>
      <c r="I600" s="1356">
        <f t="shared" ca="1" si="820"/>
        <v>0.52915271110306428</v>
      </c>
      <c r="J600" s="1356">
        <f t="shared" ca="1" si="820"/>
        <v>0</v>
      </c>
      <c r="K600" s="1356">
        <f t="shared" ca="1" si="820"/>
        <v>0</v>
      </c>
      <c r="L600" s="1356">
        <f t="shared" ca="1" si="820"/>
        <v>0</v>
      </c>
      <c r="M600" s="1356">
        <f t="shared" ca="1" si="820"/>
        <v>0</v>
      </c>
      <c r="N600" s="1356">
        <f t="shared" ca="1" si="820"/>
        <v>0</v>
      </c>
      <c r="O600" s="1356">
        <f t="shared" ca="1" si="820"/>
        <v>0</v>
      </c>
      <c r="P600" s="1356">
        <f t="shared" ca="1" si="820"/>
        <v>0</v>
      </c>
      <c r="Q600" s="1356">
        <f t="shared" ca="1" si="820"/>
        <v>0</v>
      </c>
      <c r="R600" s="1356">
        <f t="shared" ca="1" si="820"/>
        <v>0</v>
      </c>
      <c r="S600" s="1356">
        <f t="shared" ca="1" si="820"/>
        <v>0</v>
      </c>
      <c r="T600" s="1356">
        <f t="shared" ca="1" si="820"/>
        <v>0</v>
      </c>
      <c r="U600" s="1356">
        <f t="shared" ca="1" si="820"/>
        <v>0</v>
      </c>
      <c r="V600" s="1356">
        <f t="shared" ca="1" si="820"/>
        <v>0</v>
      </c>
      <c r="W600" s="1356">
        <f t="shared" ca="1" si="820"/>
        <v>0</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3.5526742408734702</v>
      </c>
      <c r="D603" s="1366">
        <f>'Capital base remaining lives'!D608</f>
        <v>0.59608960190783655</v>
      </c>
      <c r="E603" s="1366">
        <f>'Capital base remaining lives'!E608</f>
        <v>0.996303131885242</v>
      </c>
      <c r="F603" s="1366">
        <f>'Capital base remaining lives'!F608</f>
        <v>1.5775921696973938</v>
      </c>
      <c r="G603" s="1366">
        <f>'Capital base remaining lives'!G608</f>
        <v>1.0781475856026985</v>
      </c>
      <c r="H603" s="1366">
        <f>'Capital base remaining lives'!H608</f>
        <v>0.62503666124629231</v>
      </c>
      <c r="I603" s="1366">
        <f>'Capital base remaining lives'!I608</f>
        <v>3.0548332362262967</v>
      </c>
      <c r="J603" s="1366">
        <f>'Capital base remaining lives'!J608</f>
        <v>0</v>
      </c>
      <c r="K603" s="1366">
        <f>'Capital base remaining lives'!K608</f>
        <v>0</v>
      </c>
      <c r="L603" s="1366">
        <f>'Capital base remaining lives'!L608</f>
        <v>0</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4.2926758334891728</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3.5526742408734702</v>
      </c>
      <c r="D608" s="1348">
        <f ca="1">IF(C632="n/a",C608,IFERROR(IF((OFFSET($C608,0,$A608))&lt;0,
MIN(0,C608-(OFFSET($C608,0,$A608)/(OFFSET($C603,-$A607,$A608)))),
MAX(0,C608-(OFFSET($C608,0,$A608)/(OFFSET($C603,-$A607,$A608))))),0))</f>
        <v>2.7250612603736624</v>
      </c>
      <c r="E608" s="1348">
        <f t="shared" ref="E608" ca="1" si="840">IF(D632="n/a",D608,IFERROR(IF((OFFSET($C608,0,$A608))&lt;0,
MIN(0,D608-(OFFSET($C608,0,$A608)/(OFFSET($C603,-$A607,$A608)))),
MAX(0,D608-(OFFSET($C608,0,$A608)/(OFFSET($C603,-$A607,$A608))))),0))</f>
        <v>1.8974482798738548</v>
      </c>
      <c r="F608" s="1348">
        <f t="shared" ref="F608:F609" ca="1" si="841">IF(E632="n/a",E608,IFERROR(IF((OFFSET($C608,0,$A608))&lt;0,
MIN(0,E608-(OFFSET($C608,0,$A608)/(OFFSET($C603,-$A607,$A608)))),
MAX(0,E608-(OFFSET($C608,0,$A608)/(OFFSET($C603,-$A607,$A608))))),0))</f>
        <v>1.0698352993740472</v>
      </c>
      <c r="G608" s="1348">
        <f t="shared" ref="G608:G610" ca="1" si="842">IF(F632="n/a",F608,IFERROR(IF((OFFSET($C608,0,$A608))&lt;0,
MIN(0,F608-(OFFSET($C608,0,$A608)/(OFFSET($C603,-$A607,$A608)))),
MAX(0,F608-(OFFSET($C608,0,$A608)/(OFFSET($C603,-$A607,$A608))))),0))</f>
        <v>0.24222231887423962</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2016-17</v>
      </c>
      <c r="C609" s="1349"/>
      <c r="D609" s="1350">
        <f>D603</f>
        <v>0.59608960190783655</v>
      </c>
      <c r="E609" s="1348">
        <f ca="1">IF(D633="n/a",D609,IFERROR(IF((OFFSET($C609,0,$A609))&lt;0,
MIN(0,D609-(OFFSET($C609,0,$A609)/(OFFSET($C604,-$A608,$A609)))),
MAX(0,D609-(OFFSET($C609,0,$A609)/(OFFSET($C604,-$A608,$A609))))),0))</f>
        <v>0.47687168152626924</v>
      </c>
      <c r="F609" s="1348">
        <f t="shared" ca="1" si="841"/>
        <v>0.35765376114470193</v>
      </c>
      <c r="G609" s="1348">
        <f t="shared" ca="1" si="842"/>
        <v>0.23843584076313462</v>
      </c>
      <c r="H609" s="1348">
        <f t="shared" ca="1" si="843"/>
        <v>0.11921792038156731</v>
      </c>
      <c r="I609" s="1348">
        <f t="shared" ca="1" si="844"/>
        <v>0</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2017-18</v>
      </c>
      <c r="C610" s="1351"/>
      <c r="D610" s="1352"/>
      <c r="E610" s="1350">
        <f>E603</f>
        <v>0.996303131885242</v>
      </c>
      <c r="F610" s="1348">
        <f ca="1">IF(E634="n/a",E610,IFERROR(IF((OFFSET($C610,0,$A610))&lt;0,
MIN(0,E610-(OFFSET($C610,0,$A610)/(OFFSET($C605,-$A609,$A610)))),
MAX(0,E610-(OFFSET($C610,0,$A610)/(OFFSET($C605,-$A609,$A610))))),0))</f>
        <v>0.79704250550819356</v>
      </c>
      <c r="G610" s="1348">
        <f t="shared" ca="1" si="842"/>
        <v>0.59778187913114511</v>
      </c>
      <c r="H610" s="1348">
        <f t="shared" ca="1" si="843"/>
        <v>0.39852125275409672</v>
      </c>
      <c r="I610" s="1348">
        <f t="shared" ca="1" si="844"/>
        <v>0.19926062637704833</v>
      </c>
      <c r="J610" s="1348">
        <f t="shared" ca="1" si="845"/>
        <v>0</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2018-19</v>
      </c>
      <c r="C611" s="1351"/>
      <c r="D611" s="1351"/>
      <c r="E611" s="1352"/>
      <c r="F611" s="1353">
        <f>F603</f>
        <v>1.5775921696973938</v>
      </c>
      <c r="G611" s="1348">
        <f ca="1">IF(F635="n/a",F611,IFERROR(IF((OFFSET($C611,0,$A611))&lt;0,
MIN(0,F611-(OFFSET($C611,0,$A611)/(OFFSET($C606,-$A610,$A611)))),
MAX(0,F611-(OFFSET($C611,0,$A611)/(OFFSET($C606,-$A610,$A611))))),0))</f>
        <v>1.262073735757915</v>
      </c>
      <c r="H611" s="1348">
        <f t="shared" ca="1" si="843"/>
        <v>0.94655530181843628</v>
      </c>
      <c r="I611" s="1348">
        <f t="shared" ca="1" si="844"/>
        <v>0.63103686787895752</v>
      </c>
      <c r="J611" s="1348">
        <f t="shared" ca="1" si="845"/>
        <v>0.31551843393947876</v>
      </c>
      <c r="K611" s="1348">
        <f t="shared" ca="1" si="846"/>
        <v>0</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2019-20</v>
      </c>
      <c r="C612" s="1351"/>
      <c r="D612" s="1351"/>
      <c r="E612" s="1351"/>
      <c r="F612" s="1352"/>
      <c r="G612" s="1353">
        <f>G603</f>
        <v>1.0781475856026985</v>
      </c>
      <c r="H612" s="1348">
        <f ca="1">IF(G636="n/a",G612,IFERROR(IF((OFFSET($C612,0,$A612))&lt;0,
MIN(0,G612-(OFFSET($C612,0,$A612)/(OFFSET($C607,-$A611,$A612)))),
MAX(0,G612-(OFFSET($C612,0,$A612)/(OFFSET($C607,-$A611,$A612))))),0))</f>
        <v>0.86251806848215884</v>
      </c>
      <c r="I612" s="1348">
        <f t="shared" ca="1" si="844"/>
        <v>0.64688855136161916</v>
      </c>
      <c r="J612" s="1348">
        <f t="shared" ca="1" si="845"/>
        <v>0.43125903424107948</v>
      </c>
      <c r="K612" s="1348">
        <f t="shared" ca="1" si="846"/>
        <v>0.21562951712053977</v>
      </c>
      <c r="L612" s="1348">
        <f t="shared" ca="1" si="847"/>
        <v>5.5511151231257827E-17</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2020-21</v>
      </c>
      <c r="C613" s="1351"/>
      <c r="D613" s="1351"/>
      <c r="E613" s="1351"/>
      <c r="F613" s="1351"/>
      <c r="G613" s="1352"/>
      <c r="H613" s="1353">
        <f>H603</f>
        <v>0.62503666124629231</v>
      </c>
      <c r="I613" s="1348">
        <f ca="1">IF(H637="n/a",H613,IFERROR(IF((OFFSET($C613,0,$A613))&lt;0,
MIN(0,H613-(OFFSET($C613,0,$A613)/(OFFSET($C608,-$A612,$A613)))),
MAX(0,H613-(OFFSET($C613,0,$A613)/(OFFSET($C608,-$A612,$A613))))),0))</f>
        <v>0.5000293289970339</v>
      </c>
      <c r="J613" s="1348">
        <f t="shared" ca="1" si="845"/>
        <v>0.37502199674777542</v>
      </c>
      <c r="K613" s="1348">
        <f t="shared" ca="1" si="846"/>
        <v>0.25001466449851695</v>
      </c>
      <c r="L613" s="1348">
        <f t="shared" ca="1" si="847"/>
        <v>0.12500733224925847</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2021-22</v>
      </c>
      <c r="C614" s="1351"/>
      <c r="D614" s="1351"/>
      <c r="E614" s="1351"/>
      <c r="F614" s="1351"/>
      <c r="G614" s="1351"/>
      <c r="H614" s="1352"/>
      <c r="I614" s="1353">
        <f>I603</f>
        <v>3.0548332362262967</v>
      </c>
      <c r="J614" s="1348">
        <f ca="1">IF(I638="n/a",I614,IFERROR(IF((OFFSET($C614,0,$A614))&lt;0,
MIN(0,I614-(OFFSET($C614,0,$A614)/(OFFSET($C609,-$A613,$A614)))),
MAX(0,I614-(OFFSET($C614,0,$A614)/(OFFSET($C609,-$A613,$A614))))),0))</f>
        <v>2.4438665889810371</v>
      </c>
      <c r="K614" s="1348">
        <f t="shared" ca="1" si="846"/>
        <v>1.8328999417357779</v>
      </c>
      <c r="L614" s="1348">
        <f t="shared" ca="1" si="847"/>
        <v>1.2219332944905186</v>
      </c>
      <c r="M614" s="1348">
        <f t="shared" ca="1" si="848"/>
        <v>0.61096664724525929</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2022-23</v>
      </c>
      <c r="C615" s="1351"/>
      <c r="D615" s="1351"/>
      <c r="E615" s="1351"/>
      <c r="F615" s="1351"/>
      <c r="G615" s="1351"/>
      <c r="H615" s="1351"/>
      <c r="I615" s="1352"/>
      <c r="J615" s="1353">
        <f>J603</f>
        <v>0</v>
      </c>
      <c r="K615" s="1348">
        <f ca="1">IF(J639="n/a",J615,IFERROR(IF((OFFSET($C615,0,$A615))&lt;0,
MIN(0,J615-(OFFSET($C615,0,$A615)/(OFFSET($C610,-$A614,$A615)))),
MAX(0,J615-(OFFSET($C615,0,$A615)/(OFFSET($C610,-$A614,$A615))))),0))</f>
        <v>0</v>
      </c>
      <c r="L615" s="1348">
        <f t="shared" ca="1" si="847"/>
        <v>0</v>
      </c>
      <c r="M615" s="1348">
        <f t="shared" ca="1" si="848"/>
        <v>0</v>
      </c>
      <c r="N615" s="1348">
        <f t="shared" ca="1" si="849"/>
        <v>0</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2023-24</v>
      </c>
      <c r="C616" s="1351"/>
      <c r="D616" s="1351"/>
      <c r="E616" s="1351"/>
      <c r="F616" s="1351"/>
      <c r="G616" s="1351"/>
      <c r="H616" s="1351"/>
      <c r="I616" s="1351"/>
      <c r="J616" s="1352"/>
      <c r="K616" s="1353">
        <f>K603</f>
        <v>0</v>
      </c>
      <c r="L616" s="1348">
        <f ca="1">IF(K640="n/a",K616,IFERROR(IF((OFFSET($C616,0,$A616))&lt;0,
MIN(0,K616-(OFFSET($C616,0,$A616)/(OFFSET($C611,-$A615,$A616)))),
MAX(0,K616-(OFFSET($C616,0,$A616)/(OFFSET($C611,-$A615,$A616))))),0))</f>
        <v>0</v>
      </c>
      <c r="M616" s="1348">
        <f t="shared" ca="1" si="848"/>
        <v>0</v>
      </c>
      <c r="N616" s="1348">
        <f t="shared" ca="1" si="849"/>
        <v>0</v>
      </c>
      <c r="O616" s="1348">
        <f t="shared" ca="1" si="850"/>
        <v>0</v>
      </c>
      <c r="P616" s="1348">
        <f t="shared" ca="1" si="851"/>
        <v>0</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2024-25</v>
      </c>
      <c r="C617" s="1351"/>
      <c r="D617" s="1351"/>
      <c r="E617" s="1351"/>
      <c r="F617" s="1351"/>
      <c r="G617" s="1351"/>
      <c r="H617" s="1351"/>
      <c r="I617" s="1351"/>
      <c r="J617" s="1351"/>
      <c r="K617" s="1352"/>
      <c r="L617" s="1353">
        <f>L603</f>
        <v>0</v>
      </c>
      <c r="M617" s="1348">
        <f ca="1">IF(L641="n/a",L617,IFERROR(IF((OFFSET($C617,0,$A617))&lt;0,
MIN(0,L617-(OFFSET($C617,0,$A617)/(OFFSET($C612,-$A616,$A617)))),
MAX(0,L617-(OFFSET($C617,0,$A617)/(OFFSET($C612,-$A616,$A617))))),0))</f>
        <v>0</v>
      </c>
      <c r="N617" s="1348">
        <f t="shared" ca="1" si="849"/>
        <v>0</v>
      </c>
      <c r="O617" s="1348">
        <f t="shared" ca="1" si="850"/>
        <v>0</v>
      </c>
      <c r="P617" s="1348">
        <f t="shared" ca="1" si="851"/>
        <v>0</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2025-26</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2026-27</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2027-28</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2028-29</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2029-30</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2030-31</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2031-32</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2032-33</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2033-34</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2034-35</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2035-36</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4.2926758334891728</v>
      </c>
      <c r="D632" s="1348">
        <f t="shared" ref="D632" ca="1" si="878">IF(C632="n/a","n/a",MAX(0,C632-1))</f>
        <v>3.2926758334891728</v>
      </c>
      <c r="E632" s="1348">
        <f t="shared" ref="E632:E633" ca="1" si="879">IF(D632="n/a","n/a",MAX(0,D632-1))</f>
        <v>2.2926758334891728</v>
      </c>
      <c r="F632" s="1348">
        <f t="shared" ref="F632:F634" ca="1" si="880">IF(E632="n/a","n/a",MAX(0,E632-1))</f>
        <v>1.2926758334891728</v>
      </c>
      <c r="G632" s="1348">
        <f t="shared" ref="G632:G635" ca="1" si="881">IF(F632="n/a","n/a",MAX(0,F632-1))</f>
        <v>0.29267583348917281</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2016-17</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2017-18</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2018-19</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2019-20</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2020-21</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2021-22</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2022-23</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2023-24</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2024-25</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2025-26</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2026-27</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2027-28</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2028-29</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2029-30</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2030-31</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2031-32</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2032-33</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2033-34</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2034-35</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2035-36</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4.2926758334891728</v>
      </c>
      <c r="D654" s="1356">
        <f ca="1">(IF(OR($C604&lt;&gt;"n/a",D604&lt;&gt;"n/a"),IF(SUM(D607:D629)=0,0,IF((SUMPRODUCT(D607:D629,D631:D653)/SUM(D607:D629))&lt;0,1,(SUMPRODUCT(D607:D629,D631:D653)/SUM(D607:D629)))),"n/a"))</f>
        <v>3.5991112304177952</v>
      </c>
      <c r="E654" s="1356">
        <f t="shared" ref="E654:W654" ca="1" si="899">(IF(OR($C604&lt;&gt;"n/a",E604&lt;&gt;"n/a"),IF(SUM(E607:E629)=0,0,IF((SUMPRODUCT(E607:E629,E631:E653)/SUM(E607:E629))&lt;0,1,(SUMPRODUCT(E607:E629,E631:E653)/SUM(E607:E629)))),"n/a"))</f>
        <v>3.3344684027363987</v>
      </c>
      <c r="F654" s="1356">
        <f t="shared" ca="1" si="899"/>
        <v>3.5590746992589306</v>
      </c>
      <c r="G654" s="1356">
        <f t="shared" ca="1" si="899"/>
        <v>3.7383471080470843</v>
      </c>
      <c r="H654" s="1356">
        <f t="shared" ca="1" si="899"/>
        <v>3.4999016532134153</v>
      </c>
      <c r="I654" s="1356">
        <f t="shared" ca="1" si="899"/>
        <v>4.1089196691770482</v>
      </c>
      <c r="J654" s="1356">
        <f t="shared" ca="1" si="899"/>
        <v>3.387464968949141</v>
      </c>
      <c r="K654" s="1356">
        <f t="shared" ca="1" si="899"/>
        <v>2.7036064299060554</v>
      </c>
      <c r="L654" s="1356">
        <f t="shared" ca="1" si="899"/>
        <v>1.9071916536129478</v>
      </c>
      <c r="M654" s="1356">
        <f t="shared" ca="1" si="899"/>
        <v>1</v>
      </c>
      <c r="N654" s="1356">
        <f t="shared" ca="1" si="899"/>
        <v>0</v>
      </c>
      <c r="O654" s="1356">
        <f t="shared" ca="1" si="899"/>
        <v>0</v>
      </c>
      <c r="P654" s="1356">
        <f t="shared" ca="1" si="899"/>
        <v>0</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0</v>
      </c>
      <c r="D657" s="1366">
        <f>'Capital base remaining lives'!D662</f>
        <v>0</v>
      </c>
      <c r="E657" s="1366">
        <f>'Capital base remaining lives'!E662</f>
        <v>0</v>
      </c>
      <c r="F657" s="1366">
        <f>'Capital base remaining lives'!F662</f>
        <v>0</v>
      </c>
      <c r="G657" s="1366">
        <f>'Capital base remaining lives'!G662</f>
        <v>0.8789407222009713</v>
      </c>
      <c r="H657" s="1366">
        <f>'Capital base remaining lives'!H662</f>
        <v>0.20130235316493469</v>
      </c>
      <c r="I657" s="1366">
        <f>'Capital base remaining lives'!I662</f>
        <v>0.23104586098364646</v>
      </c>
      <c r="J657" s="1366">
        <f>'Capital base remaining lives'!J662</f>
        <v>0</v>
      </c>
      <c r="K657" s="1366">
        <f>'Capital base remaining lives'!K662</f>
        <v>0</v>
      </c>
      <c r="L657" s="1366">
        <f>'Capital base remaining lives'!L662</f>
        <v>0</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0</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0</v>
      </c>
      <c r="D662" s="1348">
        <f ca="1">IF(C686="n/a",C662,IFERROR(IF((OFFSET($C662,0,$A662))&lt;0,
MIN(0,C662-(OFFSET($C662,0,$A662)/(OFFSET($C657,-$A661,$A662)))),
MAX(0,C662-(OFFSET($C662,0,$A662)/(OFFSET($C657,-$A661,$A662))))),0))</f>
        <v>0</v>
      </c>
      <c r="E662" s="1348">
        <f t="shared" ref="E662" ca="1" si="919">IF(D686="n/a",D662,IFERROR(IF((OFFSET($C662,0,$A662))&lt;0,
MIN(0,D662-(OFFSET($C662,0,$A662)/(OFFSET($C657,-$A661,$A662)))),
MAX(0,D662-(OFFSET($C662,0,$A662)/(OFFSET($C657,-$A661,$A662))))),0))</f>
        <v>0</v>
      </c>
      <c r="F662" s="1348">
        <f t="shared" ref="F662:F663" ca="1" si="920">IF(E686="n/a",E662,IFERROR(IF((OFFSET($C662,0,$A662))&lt;0,
MIN(0,E662-(OFFSET($C662,0,$A662)/(OFFSET($C657,-$A661,$A662)))),
MAX(0,E662-(OFFSET($C662,0,$A662)/(OFFSET($C657,-$A661,$A662))))),0))</f>
        <v>0</v>
      </c>
      <c r="G662" s="1348">
        <f t="shared" ref="G662:G664" ca="1" si="921">IF(F686="n/a",F662,IFERROR(IF((OFFSET($C662,0,$A662))&lt;0,
MIN(0,F662-(OFFSET($C662,0,$A662)/(OFFSET($C657,-$A661,$A662)))),
MAX(0,F662-(OFFSET($C662,0,$A662)/(OFFSET($C657,-$A661,$A662))))),0))</f>
        <v>0</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2016-17</v>
      </c>
      <c r="C663" s="1349"/>
      <c r="D663" s="1350">
        <f>D657</f>
        <v>0</v>
      </c>
      <c r="E663" s="1348">
        <f ca="1">IF(D687="n/a",D663,IFERROR(IF((OFFSET($C663,0,$A663))&lt;0,
MIN(0,D663-(OFFSET($C663,0,$A663)/(OFFSET($C658,-$A662,$A663)))),
MAX(0,D663-(OFFSET($C663,0,$A663)/(OFFSET($C658,-$A662,$A663))))),0))</f>
        <v>0</v>
      </c>
      <c r="F663" s="1348">
        <f t="shared" ca="1" si="920"/>
        <v>0</v>
      </c>
      <c r="G663" s="1348">
        <f t="shared" ca="1" si="921"/>
        <v>0</v>
      </c>
      <c r="H663" s="1348">
        <f t="shared" ca="1" si="922"/>
        <v>0</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2017-18</v>
      </c>
      <c r="C664" s="1351"/>
      <c r="D664" s="1352"/>
      <c r="E664" s="1350">
        <f>E657</f>
        <v>0</v>
      </c>
      <c r="F664" s="1348">
        <f ca="1">IF(E688="n/a",E664,IFERROR(IF((OFFSET($C664,0,$A664))&lt;0,
MIN(0,E664-(OFFSET($C664,0,$A664)/(OFFSET($C659,-$A663,$A664)))),
MAX(0,E664-(OFFSET($C664,0,$A664)/(OFFSET($C659,-$A663,$A664))))),0))</f>
        <v>0</v>
      </c>
      <c r="G664" s="1348">
        <f t="shared" ca="1" si="921"/>
        <v>0</v>
      </c>
      <c r="H664" s="1348">
        <f t="shared" ca="1" si="922"/>
        <v>0</v>
      </c>
      <c r="I664" s="1348">
        <f t="shared" ca="1" si="923"/>
        <v>0</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2018-19</v>
      </c>
      <c r="C665" s="1351"/>
      <c r="D665" s="1351"/>
      <c r="E665" s="1352"/>
      <c r="F665" s="1353">
        <f>F657</f>
        <v>0</v>
      </c>
      <c r="G665" s="1348">
        <f ca="1">IF(F689="n/a",F665,IFERROR(IF((OFFSET($C665,0,$A665))&lt;0,
MIN(0,F665-(OFFSET($C665,0,$A665)/(OFFSET($C660,-$A664,$A665)))),
MAX(0,F665-(OFFSET($C665,0,$A665)/(OFFSET($C660,-$A664,$A665))))),0))</f>
        <v>0</v>
      </c>
      <c r="H665" s="1348">
        <f t="shared" ca="1" si="922"/>
        <v>0</v>
      </c>
      <c r="I665" s="1348">
        <f t="shared" ca="1" si="923"/>
        <v>0</v>
      </c>
      <c r="J665" s="1348">
        <f t="shared" ca="1" si="924"/>
        <v>0</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2019-20</v>
      </c>
      <c r="C666" s="1351"/>
      <c r="D666" s="1351"/>
      <c r="E666" s="1351"/>
      <c r="F666" s="1352"/>
      <c r="G666" s="1353">
        <f>G657</f>
        <v>0.8789407222009713</v>
      </c>
      <c r="H666" s="1348">
        <f ca="1">IF(G690="n/a",G666,IFERROR(IF((OFFSET($C666,0,$A666))&lt;0,
MIN(0,G666-(OFFSET($C666,0,$A666)/(OFFSET($C661,-$A665,$A666)))),
MAX(0,G666-(OFFSET($C666,0,$A666)/(OFFSET($C661,-$A665,$A666))))),0))</f>
        <v>0.703152577760777</v>
      </c>
      <c r="I666" s="1348">
        <f t="shared" ca="1" si="923"/>
        <v>0.52736443332058269</v>
      </c>
      <c r="J666" s="1348">
        <f t="shared" ca="1" si="924"/>
        <v>0.35157628888038844</v>
      </c>
      <c r="K666" s="1348">
        <f t="shared" ca="1" si="925"/>
        <v>0.17578814444019419</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2020-21</v>
      </c>
      <c r="C667" s="1351"/>
      <c r="D667" s="1351"/>
      <c r="E667" s="1351"/>
      <c r="F667" s="1351"/>
      <c r="G667" s="1352"/>
      <c r="H667" s="1353">
        <f>H657</f>
        <v>0.20130235316493469</v>
      </c>
      <c r="I667" s="1348">
        <f ca="1">IF(H691="n/a",H667,IFERROR(IF((OFFSET($C667,0,$A667))&lt;0,
MIN(0,H667-(OFFSET($C667,0,$A667)/(OFFSET($C662,-$A666,$A667)))),
MAX(0,H667-(OFFSET($C667,0,$A667)/(OFFSET($C662,-$A666,$A667))))),0))</f>
        <v>0.16104188253194776</v>
      </c>
      <c r="J667" s="1348">
        <f t="shared" ca="1" si="924"/>
        <v>0.12078141189896083</v>
      </c>
      <c r="K667" s="1348">
        <f t="shared" ca="1" si="925"/>
        <v>8.0520941265973894E-2</v>
      </c>
      <c r="L667" s="1348">
        <f t="shared" ca="1" si="926"/>
        <v>4.0260470632986954E-2</v>
      </c>
      <c r="M667" s="1348">
        <f t="shared" ca="1" si="927"/>
        <v>1.3877787807814457E-17</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2021-22</v>
      </c>
      <c r="C668" s="1351"/>
      <c r="D668" s="1351"/>
      <c r="E668" s="1351"/>
      <c r="F668" s="1351"/>
      <c r="G668" s="1351"/>
      <c r="H668" s="1352"/>
      <c r="I668" s="1353">
        <f>I657</f>
        <v>0.23104586098364646</v>
      </c>
      <c r="J668" s="1348">
        <f ca="1">IF(I692="n/a",I668,IFERROR(IF((OFFSET($C668,0,$A668))&lt;0,
MIN(0,I668-(OFFSET($C668,0,$A668)/(OFFSET($C663,-$A667,$A668)))),
MAX(0,I668-(OFFSET($C668,0,$A668)/(OFFSET($C663,-$A667,$A668))))),0))</f>
        <v>0.18483668878691717</v>
      </c>
      <c r="K668" s="1348">
        <f t="shared" ca="1" si="925"/>
        <v>0.13862751659018788</v>
      </c>
      <c r="L668" s="1348">
        <f t="shared" ca="1" si="926"/>
        <v>9.2418344393458585E-2</v>
      </c>
      <c r="M668" s="1348">
        <f t="shared" ca="1" si="927"/>
        <v>4.6209172196729292E-2</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2022-23</v>
      </c>
      <c r="C669" s="1351"/>
      <c r="D669" s="1351"/>
      <c r="E669" s="1351"/>
      <c r="F669" s="1351"/>
      <c r="G669" s="1351"/>
      <c r="H669" s="1351"/>
      <c r="I669" s="1352"/>
      <c r="J669" s="1353">
        <f>J657</f>
        <v>0</v>
      </c>
      <c r="K669" s="1348">
        <f ca="1">IF(J693="n/a",J669,IFERROR(IF((OFFSET($C669,0,$A669))&lt;0,
MIN(0,J669-(OFFSET($C669,0,$A669)/(OFFSET($C664,-$A668,$A669)))),
MAX(0,J669-(OFFSET($C669,0,$A669)/(OFFSET($C664,-$A668,$A669))))),0))</f>
        <v>0</v>
      </c>
      <c r="L669" s="1348">
        <f t="shared" ca="1" si="926"/>
        <v>0</v>
      </c>
      <c r="M669" s="1348">
        <f t="shared" ca="1" si="927"/>
        <v>0</v>
      </c>
      <c r="N669" s="1348">
        <f t="shared" ca="1" si="928"/>
        <v>0</v>
      </c>
      <c r="O669" s="1348">
        <f t="shared" ca="1" si="929"/>
        <v>0</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2023-24</v>
      </c>
      <c r="C670" s="1351"/>
      <c r="D670" s="1351"/>
      <c r="E670" s="1351"/>
      <c r="F670" s="1351"/>
      <c r="G670" s="1351"/>
      <c r="H670" s="1351"/>
      <c r="I670" s="1351"/>
      <c r="J670" s="1352"/>
      <c r="K670" s="1353">
        <f>K657</f>
        <v>0</v>
      </c>
      <c r="L670" s="1348">
        <f ca="1">IF(K694="n/a",K670,IFERROR(IF((OFFSET($C670,0,$A670))&lt;0,
MIN(0,K670-(OFFSET($C670,0,$A670)/(OFFSET($C665,-$A669,$A670)))),
MAX(0,K670-(OFFSET($C670,0,$A670)/(OFFSET($C665,-$A669,$A670))))),0))</f>
        <v>0</v>
      </c>
      <c r="M670" s="1348">
        <f t="shared" ca="1" si="927"/>
        <v>0</v>
      </c>
      <c r="N670" s="1348">
        <f t="shared" ca="1" si="928"/>
        <v>0</v>
      </c>
      <c r="O670" s="1348">
        <f t="shared" ca="1" si="929"/>
        <v>0</v>
      </c>
      <c r="P670" s="1348">
        <f t="shared" ca="1" si="930"/>
        <v>0</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2024-25</v>
      </c>
      <c r="C671" s="1351"/>
      <c r="D671" s="1351"/>
      <c r="E671" s="1351"/>
      <c r="F671" s="1351"/>
      <c r="G671" s="1351"/>
      <c r="H671" s="1351"/>
      <c r="I671" s="1351"/>
      <c r="J671" s="1351"/>
      <c r="K671" s="1352"/>
      <c r="L671" s="1353">
        <f>L657</f>
        <v>0</v>
      </c>
      <c r="M671" s="1348">
        <f ca="1">IF(L695="n/a",L671,IFERROR(IF((OFFSET($C671,0,$A671))&lt;0,
MIN(0,L671-(OFFSET($C671,0,$A671)/(OFFSET($C666,-$A670,$A671)))),
MAX(0,L671-(OFFSET($C671,0,$A671)/(OFFSET($C666,-$A670,$A671))))),0))</f>
        <v>0</v>
      </c>
      <c r="N671" s="1348">
        <f t="shared" ca="1" si="928"/>
        <v>0</v>
      </c>
      <c r="O671" s="1348">
        <f t="shared" ca="1" si="929"/>
        <v>0</v>
      </c>
      <c r="P671" s="1348">
        <f t="shared" ca="1" si="930"/>
        <v>0</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2025-26</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2026-27</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2027-28</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2028-29</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2029-30</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2030-31</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2031-32</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2032-33</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2033-34</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2034-35</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2035-36</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0</v>
      </c>
      <c r="D686" s="1348">
        <f t="shared" ref="D686" ca="1" si="957">IF(C686="n/a","n/a",MAX(0,C686-1))</f>
        <v>0</v>
      </c>
      <c r="E686" s="1348">
        <f t="shared" ref="E686:E687" ca="1" si="958">IF(D686="n/a","n/a",MAX(0,D686-1))</f>
        <v>0</v>
      </c>
      <c r="F686" s="1348">
        <f t="shared" ref="F686:F688" ca="1" si="959">IF(E686="n/a","n/a",MAX(0,E686-1))</f>
        <v>0</v>
      </c>
      <c r="G686" s="1348">
        <f t="shared" ref="G686:G689" ca="1" si="960">IF(F686="n/a","n/a",MAX(0,F686-1))</f>
        <v>0</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2016-17</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2017-18</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2018-19</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2019-20</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2020-21</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2021-22</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2022-23</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2023-24</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2024-25</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2025-26</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2026-27</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2027-28</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2028-29</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2029-30</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2030-31</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2031-32</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2032-33</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2033-34</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2034-35</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2035-36</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0</v>
      </c>
      <c r="D708" s="1356">
        <f ca="1">(IF(OR($C658&lt;&gt;"n/a",D658&lt;&gt;"n/a"),IF(SUM(D661:D683)=0,0,IF((SUMPRODUCT(D661:D683,D685:D707)/SUM(D661:D683))&lt;0,1,(SUMPRODUCT(D661:D683,D685:D707)/SUM(D661:D683)))),"n/a"))</f>
        <v>0</v>
      </c>
      <c r="E708" s="1356">
        <f t="shared" ref="E708:W708" ca="1" si="978">(IF(OR($C658&lt;&gt;"n/a",E658&lt;&gt;"n/a"),IF(SUM(E661:E683)=0,0,IF((SUMPRODUCT(E661:E683,E685:E707)/SUM(E661:E683))&lt;0,1,(SUMPRODUCT(E661:E683,E685:E707)/SUM(E661:E683)))),"n/a"))</f>
        <v>0</v>
      </c>
      <c r="F708" s="1356">
        <f t="shared" ca="1" si="978"/>
        <v>0</v>
      </c>
      <c r="G708" s="1356">
        <f t="shared" ca="1" si="978"/>
        <v>5</v>
      </c>
      <c r="H708" s="1356">
        <f t="shared" ca="1" si="978"/>
        <v>4.222567588811641</v>
      </c>
      <c r="I708" s="1356">
        <f t="shared" ca="1" si="978"/>
        <v>3.6777226920528219</v>
      </c>
      <c r="J708" s="1356">
        <f t="shared" ca="1" si="978"/>
        <v>2.7462857219406338</v>
      </c>
      <c r="K708" s="1356">
        <f t="shared" ca="1" si="978"/>
        <v>1.9059073592218698</v>
      </c>
      <c r="L708" s="1356">
        <f t="shared" ca="1" si="978"/>
        <v>1.696556902283441</v>
      </c>
      <c r="M708" s="1356">
        <f t="shared" ca="1" si="978"/>
        <v>0.99999999999999967</v>
      </c>
      <c r="N708" s="1356">
        <f t="shared" ca="1" si="978"/>
        <v>0</v>
      </c>
      <c r="O708" s="1356">
        <f t="shared" ca="1" si="978"/>
        <v>0</v>
      </c>
      <c r="P708" s="1356">
        <f t="shared" ca="1" si="978"/>
        <v>0</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-1.7763568394002505E-15</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5</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-1.7763568394002505E-15</v>
      </c>
      <c r="D716" s="1348">
        <f ca="1">IF(C740="n/a",C716,IFERROR(IF((OFFSET($C716,0,$A716))&lt;0,
MIN(0,C716-(OFFSET($C716,0,$A716)/(OFFSET($C711,-$A715,$A716)))),
MAX(0,C716-(OFFSET($C716,0,$A716)/(OFFSET($C711,-$A715,$A716))))),0))</f>
        <v>-1.4210854715202005E-15</v>
      </c>
      <c r="E716" s="1348">
        <f t="shared" ref="E716" ca="1" si="998">IF(D740="n/a",D716,IFERROR(IF((OFFSET($C716,0,$A716))&lt;0,
MIN(0,D716-(OFFSET($C716,0,$A716)/(OFFSET($C711,-$A715,$A716)))),
MAX(0,D716-(OFFSET($C716,0,$A716)/(OFFSET($C711,-$A715,$A716))))),0))</f>
        <v>-1.0658141036401504E-15</v>
      </c>
      <c r="F716" s="1348">
        <f t="shared" ref="F716:F717" ca="1" si="999">IF(E740="n/a",E716,IFERROR(IF((OFFSET($C716,0,$A716))&lt;0,
MIN(0,E716-(OFFSET($C716,0,$A716)/(OFFSET($C711,-$A715,$A716)))),
MAX(0,E716-(OFFSET($C716,0,$A716)/(OFFSET($C711,-$A715,$A716))))),0))</f>
        <v>-7.1054273576010032E-16</v>
      </c>
      <c r="G716" s="1348">
        <f t="shared" ref="G716:G718" ca="1" si="1000">IF(F740="n/a",F716,IFERROR(IF((OFFSET($C716,0,$A716))&lt;0,
MIN(0,F716-(OFFSET($C716,0,$A716)/(OFFSET($C711,-$A715,$A716)))),
MAX(0,F716-(OFFSET($C716,0,$A716)/(OFFSET($C711,-$A715,$A716))))),0))</f>
        <v>-3.5527136788005021E-16</v>
      </c>
      <c r="H716" s="1348">
        <f t="shared" ref="H716:H719" ca="1" si="1001">IF(G740="n/a",G716,IFERROR(IF((OFFSET($C716,0,$A716))&lt;0,
MIN(0,G716-(OFFSET($C716,0,$A716)/(OFFSET($C711,-$A715,$A716)))),
MAX(0,G716-(OFFSET($C716,0,$A716)/(OFFSET($C711,-$A715,$A716))))),0))</f>
        <v>-9.8607613152626476E-32</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2016-17</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2017-18</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2018-19</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2019-20</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2020-21</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2021-22</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2022-23</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2023-24</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2024-25</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2025-26</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2026-27</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2027-28</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2028-29</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2029-30</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2030-31</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2031-32</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2032-33</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2033-34</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2034-35</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2035-36</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5</v>
      </c>
      <c r="D740" s="1348">
        <f t="shared" ref="D740" ca="1" si="1036">IF(C740="n/a","n/a",MAX(0,C740-1))</f>
        <v>4</v>
      </c>
      <c r="E740" s="1348">
        <f t="shared" ref="E740:E741" ca="1" si="1037">IF(D740="n/a","n/a",MAX(0,D740-1))</f>
        <v>3</v>
      </c>
      <c r="F740" s="1348">
        <f t="shared" ref="F740:F742" ca="1" si="1038">IF(E740="n/a","n/a",MAX(0,E740-1))</f>
        <v>2</v>
      </c>
      <c r="G740" s="1348">
        <f t="shared" ref="G740:G743" ca="1" si="1039">IF(F740="n/a","n/a",MAX(0,F740-1))</f>
        <v>1</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2016-17</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2017-18</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2018-19</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2019-20</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2020-21</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2021-22</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2022-23</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2023-24</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2024-25</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2025-26</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2026-27</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2027-28</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2028-29</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2029-30</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2030-31</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2031-32</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2032-33</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2033-34</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2034-35</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2035-36</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5</v>
      </c>
      <c r="D762" s="1356">
        <f ca="1">(IF(OR($C712&lt;&gt;"n/a",D712&lt;&gt;"n/a"),IF(SUM(D715:D737)=0,0,IF((SUMPRODUCT(D715:D737,D739:D761)/SUM(D715:D737))&lt;0,1,(SUMPRODUCT(D715:D737,D739:D761)/SUM(D715:D737)))),"n/a"))</f>
        <v>4</v>
      </c>
      <c r="E762" s="1356">
        <f t="shared" ref="E762:W762" ca="1" si="1057">(IF(OR($C712&lt;&gt;"n/a",E712&lt;&gt;"n/a"),IF(SUM(E715:E737)=0,0,IF((SUMPRODUCT(E715:E737,E739:E761)/SUM(E715:E737))&lt;0,1,(SUMPRODUCT(E715:E737,E739:E761)/SUM(E715:E737)))),"n/a"))</f>
        <v>3</v>
      </c>
      <c r="F762" s="1356">
        <f t="shared" ca="1" si="1057"/>
        <v>2</v>
      </c>
      <c r="G762" s="1356">
        <f t="shared" ca="1" si="1057"/>
        <v>1</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f>VLOOKUP($A764,'RFM input'!$E$7:$F$56,2,FALSE)</f>
        <v>0</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0</v>
      </c>
      <c r="E766" s="1367">
        <f>IF(LEFT(E$6,4)&lt;=LEFT('RFM input'!$G$60,4),"enter input",IF(LEFT(E$6,4)&gt;LEFT('RFM input'!$Q$60,4),0,
IF(MATCH(E$6,'RFM input'!$H$60:$Q$60,0),INDEX('RFM input'!$Y$7:$Y$56,$A765,1,1))))</f>
        <v>0</v>
      </c>
      <c r="F766" s="1367">
        <f>IF(LEFT(F$6,4)&lt;=LEFT('RFM input'!$G$60,4),"enter input",IF(LEFT(F$6,4)&gt;LEFT('RFM input'!$Q$60,4),0,
IF(MATCH(F$6,'RFM input'!$H$60:$Q$60,0),INDEX('RFM input'!$Y$7:$Y$56,$A765,1,1))))</f>
        <v>0</v>
      </c>
      <c r="G766" s="1367">
        <f>IF(LEFT(G$6,4)&lt;=LEFT('RFM input'!$G$60,4),"enter input",IF(LEFT(G$6,4)&gt;LEFT('RFM input'!$Q$60,4),0,
IF(MATCH(G$6,'RFM input'!$H$60:$Q$60,0),INDEX('RFM input'!$Y$7:$Y$56,$A765,1,1))))</f>
        <v>0</v>
      </c>
      <c r="H766" s="1367">
        <f>IF(LEFT(H$6,4)&lt;=LEFT('RFM input'!$G$60,4),"enter input",IF(LEFT(H$6,4)&gt;LEFT('RFM input'!$Q$60,4),0,
IF(MATCH(H$6,'RFM input'!$H$60:$Q$60,0),INDEX('RFM input'!$Y$7:$Y$56,$A765,1,1))))</f>
        <v>0</v>
      </c>
      <c r="I766" s="1367">
        <f>IF(LEFT(I$6,4)&lt;=LEFT('RFM input'!$G$60,4),"enter input",IF(LEFT(I$6,4)&gt;LEFT('RFM input'!$Q$60,4),0,
IF(MATCH(I$6,'RFM input'!$H$60:$Q$60,0),INDEX('RFM input'!$Y$7:$Y$56,$A765,1,1))))</f>
        <v>0</v>
      </c>
      <c r="J766" s="1367">
        <f>IF(LEFT(J$6,4)&lt;=LEFT('RFM input'!$G$60,4),"enter input",IF(LEFT(J$6,4)&gt;LEFT('RFM input'!$Q$60,4),0,
IF(MATCH(J$6,'RFM input'!$H$60:$Q$60,0),INDEX('RFM input'!$Y$7:$Y$56,$A765,1,1))))</f>
        <v>0</v>
      </c>
      <c r="K766" s="1367">
        <f>IF(LEFT(K$6,4)&lt;=LEFT('RFM input'!$G$60,4),"enter input",IF(LEFT(K$6,4)&gt;LEFT('RFM input'!$Q$60,4),0,
IF(MATCH(K$6,'RFM input'!$H$60:$Q$60,0),INDEX('RFM input'!$Y$7:$Y$56,$A765,1,1))))</f>
        <v>0</v>
      </c>
      <c r="L766" s="1367">
        <f>IF(LEFT(L$6,4)&lt;=LEFT('RFM input'!$G$60,4),"enter input",IF(LEFT(L$6,4)&gt;LEFT('RFM input'!$Q$60,4),0,
IF(MATCH(L$6,'RFM input'!$H$60:$Q$60,0),INDEX('RFM input'!$Y$7:$Y$56,$A765,1,1))))</f>
        <v>0</v>
      </c>
      <c r="M766" s="1367">
        <f>IF(LEFT(M$6,4)&lt;=LEFT('RFM input'!$G$60,4),"enter input",IF(LEFT(M$6,4)&gt;LEFT('RFM input'!$Q$60,4),0,
IF(MATCH(M$6,'RFM input'!$H$60:$Q$60,0),INDEX('RFM input'!$Y$7:$Y$56,$A765,1,1))))</f>
        <v>0</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2016-17</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2017-18</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2018-19</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2019-20</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2020-21</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2021-22</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2022-23</v>
      </c>
      <c r="C777" s="1351"/>
      <c r="D777" s="1351"/>
      <c r="E777" s="1351"/>
      <c r="F777" s="1351"/>
      <c r="G777" s="1351"/>
      <c r="H777" s="1351"/>
      <c r="I777" s="1352"/>
      <c r="J777" s="1353">
        <f>J765</f>
        <v>0</v>
      </c>
      <c r="K777" s="1348">
        <f ca="1">IF(J801="n/a",J777,IFERROR(IF((OFFSET($C777,0,$A777))&lt;0,
MIN(0,J777-(OFFSET($C777,0,$A777)/(OFFSET($C772,-$A776,$A777)))),
MAX(0,J777-(OFFSET($C777,0,$A777)/(OFFSET($C772,-$A776,$A777))))),0))</f>
        <v>0</v>
      </c>
      <c r="L777" s="1348">
        <f t="shared" ca="1" si="1084"/>
        <v>0</v>
      </c>
      <c r="M777" s="1348">
        <f t="shared" ca="1" si="1085"/>
        <v>0</v>
      </c>
      <c r="N777" s="1348">
        <f t="shared" ca="1" si="1086"/>
        <v>0</v>
      </c>
      <c r="O777" s="1348">
        <f t="shared" ca="1" si="1087"/>
        <v>0</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2023-24</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2024-25</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2025-26</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2026-27</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2027-28</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2028-29</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2029-30</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2030-31</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2031-32</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2032-33</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2033-34</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2034-35</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2035-36</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2016-17</v>
      </c>
      <c r="C795" s="1349"/>
      <c r="D795" s="1353">
        <f>D766</f>
        <v>0</v>
      </c>
      <c r="E795" s="1348">
        <f t="shared" si="1116"/>
        <v>0</v>
      </c>
      <c r="F795" s="1348">
        <f t="shared" si="1117"/>
        <v>0</v>
      </c>
      <c r="G795" s="1348">
        <f t="shared" si="1118"/>
        <v>0</v>
      </c>
      <c r="H795" s="1348">
        <f t="shared" si="1119"/>
        <v>0</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2017-18</v>
      </c>
      <c r="C796" s="1354"/>
      <c r="D796" s="1349"/>
      <c r="E796" s="1353">
        <f>E766</f>
        <v>0</v>
      </c>
      <c r="F796" s="1348">
        <f t="shared" si="1117"/>
        <v>0</v>
      </c>
      <c r="G796" s="1348">
        <f t="shared" si="1118"/>
        <v>0</v>
      </c>
      <c r="H796" s="1348">
        <f t="shared" si="1119"/>
        <v>0</v>
      </c>
      <c r="I796" s="1348">
        <f t="shared" si="1120"/>
        <v>0</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2018-19</v>
      </c>
      <c r="C797" s="1354"/>
      <c r="D797" s="1354"/>
      <c r="E797" s="1349"/>
      <c r="F797" s="1353">
        <f>F766</f>
        <v>0</v>
      </c>
      <c r="G797" s="1348">
        <f t="shared" si="1118"/>
        <v>0</v>
      </c>
      <c r="H797" s="1348">
        <f t="shared" si="1119"/>
        <v>0</v>
      </c>
      <c r="I797" s="1348">
        <f t="shared" si="1120"/>
        <v>0</v>
      </c>
      <c r="J797" s="1348">
        <f t="shared" si="1121"/>
        <v>0</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2019-20</v>
      </c>
      <c r="C798" s="1354"/>
      <c r="D798" s="1354"/>
      <c r="E798" s="1354"/>
      <c r="F798" s="1349"/>
      <c r="G798" s="1353">
        <f>G766</f>
        <v>0</v>
      </c>
      <c r="H798" s="1348">
        <f t="shared" si="1119"/>
        <v>0</v>
      </c>
      <c r="I798" s="1348">
        <f t="shared" si="1120"/>
        <v>0</v>
      </c>
      <c r="J798" s="1348">
        <f t="shared" si="1121"/>
        <v>0</v>
      </c>
      <c r="K798" s="1348">
        <f t="shared" si="1122"/>
        <v>0</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2020-21</v>
      </c>
      <c r="C799" s="1354"/>
      <c r="D799" s="1354"/>
      <c r="E799" s="1354"/>
      <c r="F799" s="1354"/>
      <c r="G799" s="1349"/>
      <c r="H799" s="1353">
        <f>H766</f>
        <v>0</v>
      </c>
      <c r="I799" s="1348">
        <f t="shared" si="1120"/>
        <v>0</v>
      </c>
      <c r="J799" s="1348">
        <f t="shared" si="1121"/>
        <v>0</v>
      </c>
      <c r="K799" s="1348">
        <f t="shared" si="1122"/>
        <v>0</v>
      </c>
      <c r="L799" s="1348">
        <f t="shared" si="1123"/>
        <v>0</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2021-22</v>
      </c>
      <c r="C800" s="1354"/>
      <c r="D800" s="1354"/>
      <c r="E800" s="1354"/>
      <c r="F800" s="1354"/>
      <c r="G800" s="1354"/>
      <c r="H800" s="1349"/>
      <c r="I800" s="1353">
        <f>I766</f>
        <v>0</v>
      </c>
      <c r="J800" s="1348">
        <f t="shared" si="1121"/>
        <v>0</v>
      </c>
      <c r="K800" s="1348">
        <f t="shared" si="1122"/>
        <v>0</v>
      </c>
      <c r="L800" s="1348">
        <f t="shared" si="1123"/>
        <v>0</v>
      </c>
      <c r="M800" s="1348">
        <f t="shared" si="1124"/>
        <v>0</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2022-23</v>
      </c>
      <c r="C801" s="1354"/>
      <c r="D801" s="1354"/>
      <c r="E801" s="1354"/>
      <c r="F801" s="1354"/>
      <c r="G801" s="1354"/>
      <c r="H801" s="1354"/>
      <c r="I801" s="1349"/>
      <c r="J801" s="1353">
        <f>J766</f>
        <v>0</v>
      </c>
      <c r="K801" s="1348">
        <f t="shared" si="1122"/>
        <v>0</v>
      </c>
      <c r="L801" s="1348">
        <f t="shared" si="1123"/>
        <v>0</v>
      </c>
      <c r="M801" s="1348">
        <f t="shared" si="1124"/>
        <v>0</v>
      </c>
      <c r="N801" s="1348">
        <f t="shared" si="1125"/>
        <v>0</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2023-24</v>
      </c>
      <c r="C802" s="1354"/>
      <c r="D802" s="1354"/>
      <c r="E802" s="1354"/>
      <c r="F802" s="1354"/>
      <c r="G802" s="1354"/>
      <c r="H802" s="1354"/>
      <c r="I802" s="1354"/>
      <c r="J802" s="1349"/>
      <c r="K802" s="1353">
        <f>K766</f>
        <v>0</v>
      </c>
      <c r="L802" s="1348">
        <f t="shared" si="1123"/>
        <v>0</v>
      </c>
      <c r="M802" s="1348">
        <f t="shared" si="1124"/>
        <v>0</v>
      </c>
      <c r="N802" s="1348">
        <f t="shared" si="1125"/>
        <v>0</v>
      </c>
      <c r="O802" s="1348">
        <f t="shared" si="1126"/>
        <v>0</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2024-25</v>
      </c>
      <c r="C803" s="1354"/>
      <c r="D803" s="1354"/>
      <c r="E803" s="1354"/>
      <c r="F803" s="1354"/>
      <c r="G803" s="1354"/>
      <c r="H803" s="1354"/>
      <c r="I803" s="1354"/>
      <c r="J803" s="1354"/>
      <c r="K803" s="1349"/>
      <c r="L803" s="1353">
        <f>L766</f>
        <v>0</v>
      </c>
      <c r="M803" s="1348">
        <f t="shared" si="1124"/>
        <v>0</v>
      </c>
      <c r="N803" s="1348">
        <f t="shared" si="1125"/>
        <v>0</v>
      </c>
      <c r="O803" s="1348">
        <f t="shared" si="1126"/>
        <v>0</v>
      </c>
      <c r="P803" s="1348">
        <f t="shared" si="1127"/>
        <v>0</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2025-26</v>
      </c>
      <c r="C804" s="1354"/>
      <c r="D804" s="1354"/>
      <c r="E804" s="1354"/>
      <c r="F804" s="1354"/>
      <c r="G804" s="1354"/>
      <c r="H804" s="1354"/>
      <c r="I804" s="1354"/>
      <c r="J804" s="1354"/>
      <c r="K804" s="1354"/>
      <c r="L804" s="1349"/>
      <c r="M804" s="1353">
        <f>M766</f>
        <v>0</v>
      </c>
      <c r="N804" s="1348">
        <f t="shared" si="1125"/>
        <v>0</v>
      </c>
      <c r="O804" s="1348">
        <f t="shared" si="1126"/>
        <v>0</v>
      </c>
      <c r="P804" s="1348">
        <f t="shared" si="1127"/>
        <v>0</v>
      </c>
      <c r="Q804" s="1348">
        <f t="shared" si="1128"/>
        <v>0</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2026-27</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2027-28</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2028-29</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2029-30</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2030-31</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2031-32</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2032-33</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2033-34</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2034-35</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2035-36</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0</v>
      </c>
      <c r="K816" s="1356">
        <f t="shared" ca="1" si="1136"/>
        <v>0</v>
      </c>
      <c r="L816" s="1356">
        <f t="shared" ca="1" si="1136"/>
        <v>0</v>
      </c>
      <c r="M816" s="1356">
        <f t="shared" ca="1" si="1136"/>
        <v>0</v>
      </c>
      <c r="N816" s="1356">
        <f t="shared" ca="1" si="1136"/>
        <v>0</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2016-17</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2017-18</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2018-19</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2019-20</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2020-21</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2021-22</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2022-23</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2023-24</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2024-25</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2025-26</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2026-27</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2027-28</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2028-29</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2029-30</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2030-31</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2031-32</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2032-33</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2033-34</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2034-35</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2035-36</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2016-17</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2017-18</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2018-19</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2019-20</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2020-21</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2021-22</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2022-23</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2023-24</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2024-25</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2025-26</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2026-27</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2027-28</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2028-29</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2029-30</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2030-31</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2031-32</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2032-33</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2033-34</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2034-35</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2035-36</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2016-17</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2017-18</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2018-19</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2019-20</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2020-21</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2021-22</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2022-23</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2023-24</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2024-25</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2025-26</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2026-27</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2027-28</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2028-29</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2029-30</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2030-31</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2031-32</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2032-33</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2033-34</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2034-35</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2035-36</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2016-17</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2017-18</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2018-19</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2019-20</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2020-21</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2021-22</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2022-23</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2023-24</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2024-25</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2025-26</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2026-27</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2027-28</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2028-29</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2029-30</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2030-31</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2031-32</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2032-33</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2033-34</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2034-35</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2035-36</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2016-17</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2017-18</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2018-19</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2019-20</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2020-21</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2021-22</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2022-23</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2023-24</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2024-25</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2025-26</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2026-27</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2027-28</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2028-29</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2029-30</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2030-31</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2031-32</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2032-33</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2033-34</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2034-35</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2035-36</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2016-17</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2017-18</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2018-19</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2019-20</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2020-21</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2021-22</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2022-23</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2023-24</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2024-25</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2025-26</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2026-27</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2027-28</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2028-29</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2029-30</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2030-31</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2031-32</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2032-33</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2033-34</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2034-35</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2035-36</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2016-17</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2017-18</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2018-19</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2019-20</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2020-21</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2021-22</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2022-23</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2023-24</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2024-25</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2025-26</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2026-27</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2027-28</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2028-29</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2029-30</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2030-31</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2031-32</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2032-33</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2033-34</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2034-35</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2035-36</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2016-17</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2017-18</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2018-19</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2019-20</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2020-21</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2021-22</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2022-23</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2023-24</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2024-25</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2025-26</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2026-27</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2027-28</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2028-29</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2029-30</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2030-31</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2031-32</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2032-33</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2033-34</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2034-35</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2035-36</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2016-17</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2017-18</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2018-19</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2019-20</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2020-21</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2021-22</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2022-23</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2023-24</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2024-25</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2025-26</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2026-27</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2027-28</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2028-29</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2029-30</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2030-31</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2031-32</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2032-33</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2033-34</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2034-35</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2035-36</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2016-17</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2017-18</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2018-19</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2019-20</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2020-21</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2021-22</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2022-23</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2023-24</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2024-25</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2025-26</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2026-27</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2027-28</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2028-29</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2029-30</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2030-31</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2031-32</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2032-33</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2033-34</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2034-35</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2035-36</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2016-17</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2017-18</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2018-19</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2019-20</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2020-21</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2021-22</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2022-23</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2023-24</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2024-25</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2025-26</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2026-27</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2027-28</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2028-29</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2029-30</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2030-31</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2031-32</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2032-33</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2033-34</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2034-35</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2035-36</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2016-17</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2017-18</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2018-19</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2019-20</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2020-21</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2021-22</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2022-23</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2023-24</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2024-25</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2025-26</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2026-27</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2027-28</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2028-29</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2029-30</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2030-31</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2031-32</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2032-33</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2033-34</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2034-35</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2035-36</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2016-17</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2017-18</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2018-19</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2019-20</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2020-21</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2021-22</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2022-23</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2023-24</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2024-25</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2025-26</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2026-27</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2027-28</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2028-29</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2029-30</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2030-31</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2031-32</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2032-33</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2033-34</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2034-35</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2035-36</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2016-17</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2017-18</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2018-19</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2019-20</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2020-21</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2021-22</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2022-23</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2023-24</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2024-25</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2025-26</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2026-27</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2027-28</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2028-29</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2029-30</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2030-31</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2031-32</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2032-33</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2033-34</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2034-35</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2035-36</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2016-17</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2017-18</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2018-19</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2019-20</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2020-21</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2021-22</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2022-23</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2023-24</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2024-25</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2025-26</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2026-27</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2027-28</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2028-29</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2029-30</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2030-31</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2031-32</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2032-33</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2033-34</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2034-35</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2035-36</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2016-17</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2017-18</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2018-19</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2019-20</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2020-21</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2021-22</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2022-23</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2023-24</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2024-25</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2025-26</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2026-27</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2027-28</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2028-29</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2029-30</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2030-31</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2031-32</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2032-33</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2033-34</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2034-35</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2035-36</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2016-17</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2017-18</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2018-19</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2019-20</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2020-21</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2021-22</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2022-23</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2023-24</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2024-25</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2025-26</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2026-27</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2027-28</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2028-29</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2029-30</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2030-31</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2031-32</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2032-33</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2033-34</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2034-35</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2035-36</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2016-17</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2017-18</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2018-19</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2019-20</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2020-21</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2021-22</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2022-23</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2023-24</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2024-25</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2025-26</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2026-27</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2027-28</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2028-29</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2029-30</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2030-31</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2031-32</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2032-33</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2033-34</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2034-35</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2035-36</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2016-17</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2017-18</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2018-19</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2019-20</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2020-21</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2021-22</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2022-23</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2023-24</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2024-25</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2025-26</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2026-27</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2027-28</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2028-29</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2029-30</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2030-31</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2031-32</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2032-33</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2033-34</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2034-35</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2035-36</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2016-17</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2017-18</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2018-19</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2019-20</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2020-21</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2021-22</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2022-23</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2023-24</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2024-25</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2025-26</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2026-27</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2027-28</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2028-29</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2029-30</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2030-31</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2031-32</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2032-33</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2033-34</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2034-35</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2035-36</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2016-17</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2017-18</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2018-19</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2019-20</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2020-21</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2021-22</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2022-23</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2023-24</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2024-25</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2025-26</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2026-27</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2027-28</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2028-29</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2029-30</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2030-31</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2031-32</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2032-33</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2033-34</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2034-35</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2035-36</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2016-17</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2017-18</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2018-19</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2019-20</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2020-21</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2021-22</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2022-23</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2023-24</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2024-25</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2025-26</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2026-27</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2027-28</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2028-29</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2029-30</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2030-31</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2031-32</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2032-33</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2033-34</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2034-35</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2035-36</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2016-17</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2017-18</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2018-19</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2019-20</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2020-21</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2021-22</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2022-23</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2023-24</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2024-25</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2025-26</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2026-27</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2027-28</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2028-29</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2029-30</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2030-31</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2031-32</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2032-33</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2033-34</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2034-35</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2035-36</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2016-17</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2017-18</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2018-19</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2019-20</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2020-21</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2021-22</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2022-23</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2023-24</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2024-25</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2025-26</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2026-27</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2027-28</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2028-29</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2029-30</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2030-31</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2031-32</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2032-33</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2033-34</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2034-35</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2035-36</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2016-17</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2017-18</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2018-19</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2019-20</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2020-21</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2021-22</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2022-23</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2023-24</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2024-25</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2025-26</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2026-27</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2027-28</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2028-29</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2029-30</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2030-31</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2031-32</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2032-33</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2033-34</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2034-35</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2035-36</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2016-17</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2017-18</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2018-19</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2019-20</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2020-21</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2021-22</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2022-23</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2023-24</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2024-25</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2025-26</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2026-27</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2027-28</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2028-29</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2029-30</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2030-31</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2031-32</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2032-33</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2033-34</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2034-35</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2035-36</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2016-17</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2017-18</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2018-19</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2019-20</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2020-21</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2021-22</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2022-23</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2023-24</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2024-25</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2025-26</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2026-27</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2027-28</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2028-29</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2029-30</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2030-31</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2031-32</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2032-33</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2033-34</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2034-35</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2035-36</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2016-17</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2017-18</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2018-19</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2019-20</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2020-21</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2021-22</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2022-23</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2023-24</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2024-25</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2025-26</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2026-27</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2027-28</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2028-29</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2029-30</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2030-31</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2031-32</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2032-33</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2033-34</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2034-35</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2035-36</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2016-17</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2017-18</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2018-19</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2019-20</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2020-21</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2021-22</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2022-23</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2023-24</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2024-25</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2025-26</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2026-27</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2027-28</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2028-29</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2029-30</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2030-31</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2031-32</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2032-33</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2033-34</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2034-35</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2035-36</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2016-17</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2017-18</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2018-19</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2019-20</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2020-21</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2021-22</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2022-23</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2023-24</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2024-25</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2025-26</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2026-27</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2027-28</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2028-29</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2029-30</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2030-31</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2031-32</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2032-33</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2033-34</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2034-35</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2035-36</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2016-17</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2017-18</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2018-19</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2019-20</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2020-21</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2021-22</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2022-23</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2023-24</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2024-25</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2025-26</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2026-27</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2027-28</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2028-29</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2029-30</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2030-31</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2031-32</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2032-33</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2033-34</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2034-35</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2035-36</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2016-17</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2017-18</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2018-19</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2019-20</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2020-21</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2021-22</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2022-23</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2023-24</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2024-25</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2025-26</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2026-27</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2027-28</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2028-29</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2029-30</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2030-31</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2031-32</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2032-33</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2033-34</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2034-35</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2035-36</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2016-17</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2017-18</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2018-19</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2019-20</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2020-21</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2021-22</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2022-23</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2023-24</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2024-25</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2025-26</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2026-27</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2027-28</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2028-29</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2029-30</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2030-31</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2031-32</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2032-33</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2033-34</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2034-35</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2035-36</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2016-17</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2017-18</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2018-19</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2019-20</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2020-21</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2021-22</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2022-23</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2023-24</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2024-25</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2025-26</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2026-27</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2027-28</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2028-29</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2029-30</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2030-31</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2031-32</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2032-33</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2033-34</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2034-35</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2035-36</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2016-17</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2017-18</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2018-19</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2019-20</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2020-21</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2021-22</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2022-23</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2023-24</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2024-25</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2025-26</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2026-27</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2027-28</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2028-29</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2029-30</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2030-31</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2031-32</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2032-33</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2033-34</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2034-35</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2035-36</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2016-17</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2017-18</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2018-19</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2019-20</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2020-21</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2021-22</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2022-23</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2023-24</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2024-25</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2025-26</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2026-27</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2027-28</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2028-29</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2029-30</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2030-31</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2031-32</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2032-33</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2033-34</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2034-35</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2035-36</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2016-17</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2017-18</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2018-19</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2019-20</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2020-21</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2021-22</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2022-23</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2023-24</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2024-25</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2025-26</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2026-27</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2027-28</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2028-29</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2029-30</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2030-31</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2031-32</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2032-33</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2033-34</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2034-35</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2035-36</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2016-17</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2017-18</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2018-19</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2019-20</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2020-21</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2021-22</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2022-23</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2023-24</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2024-25</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2025-26</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2026-27</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2027-28</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2028-29</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2029-30</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2030-31</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2031-32</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2032-33</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2033-34</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2034-35</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2035-36</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2016-17</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2017-18</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2018-19</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2019-20</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2020-21</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2021-22</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2022-23</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2023-24</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2024-25</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2025-26</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2026-27</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2027-28</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2028-29</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2029-30</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2030-31</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2031-32</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2032-33</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2033-34</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2034-35</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2035-36</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2016-17</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2017-18</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2018-19</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2019-20</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2020-21</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2021-22</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2022-23</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2023-24</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2024-25</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2025-26</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2026-27</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2027-28</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2028-29</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2029-30</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2030-31</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2031-32</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2032-33</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2033-34</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2034-35</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2035-36</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2016-17</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2017-18</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2018-19</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2019-20</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2020-21</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2021-22</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2022-23</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2023-24</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2024-25</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2025-26</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2026-27</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2027-28</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2028-29</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2029-30</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2030-31</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2031-32</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2032-33</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2033-34</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2034-35</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2035-36</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2016-17</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2017-18</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2018-19</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2019-20</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2020-21</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2021-22</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2022-23</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2023-24</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2024-25</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2025-26</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2026-27</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2027-28</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2028-29</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2029-30</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2030-31</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2031-32</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2032-33</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2033-34</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2034-35</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2035-36</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2016-17</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2017-18</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2018-19</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2019-20</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2020-21</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2021-22</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2022-23</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2023-24</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2024-25</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2025-26</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2026-27</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2027-28</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2028-29</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2029-30</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2030-31</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2031-32</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2032-33</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2033-34</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2034-35</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2035-36</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2016-17</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2017-18</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2018-19</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2019-20</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2020-21</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2021-22</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2022-23</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2023-24</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2024-25</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2025-26</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2026-27</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2027-28</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2028-29</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2029-30</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2030-31</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2031-32</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2032-33</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2033-34</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2034-35</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2035-36</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2016-17</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2017-18</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2018-19</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2019-20</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2020-21</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2021-22</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2022-23</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2023-24</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2024-25</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2025-26</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2026-27</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2027-28</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2028-29</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2029-30</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2030-31</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2031-32</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2032-33</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2033-34</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2034-35</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2035-36</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2016-17</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2017-18</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2018-19</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2019-20</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2020-21</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2021-22</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2022-23</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2023-24</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2024-25</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2025-26</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2026-27</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2027-28</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2028-29</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2029-30</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2030-31</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2031-32</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2032-33</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2033-34</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2034-35</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2035-36</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2016-17</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2017-18</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2018-19</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2019-20</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2020-21</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2021-22</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2022-23</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2023-24</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2024-25</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2025-26</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2026-27</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2027-28</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2028-29</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2029-30</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2030-31</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2031-32</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2032-33</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2033-34</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2034-35</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2035-36</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2016-17</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2017-18</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2018-19</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2019-20</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2020-21</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2021-22</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2022-23</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2023-24</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2024-25</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2025-26</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2026-27</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2027-28</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2028-29</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2029-30</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2030-31</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2031-32</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2032-33</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2033-34</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2034-35</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2035-36</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2016-17</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2017-18</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2018-19</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2019-20</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2020-21</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2021-22</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2022-23</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2023-24</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2024-25</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2025-26</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2026-27</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2027-28</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2028-29</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2029-30</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2030-31</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2031-32</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2032-33</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2033-34</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2034-35</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2035-36</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2016-17</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2017-18</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2018-19</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2019-20</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2020-21</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2021-22</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2022-23</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2023-24</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2024-25</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2025-26</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2026-27</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2027-28</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2028-29</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2029-30</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2030-31</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2031-32</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2032-33</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2033-34</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2034-35</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2035-36</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2016-17</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2017-18</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2018-19</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2019-20</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2020-21</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2021-22</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2022-23</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2023-24</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2024-25</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2025-26</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2026-27</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2027-28</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2028-29</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2029-30</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2030-31</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2031-32</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2032-33</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2033-34</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2034-35</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2035-36</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2016-17</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2017-18</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2018-19</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2019-20</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2020-21</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2021-22</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2022-23</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2023-24</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2024-25</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2025-26</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2026-27</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2027-28</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2028-29</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2029-30</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2030-31</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2031-32</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2032-33</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2033-34</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2034-35</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2035-36</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2016-17</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2017-18</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2018-19</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2019-20</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2020-21</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2021-22</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2022-23</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2023-24</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2024-25</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2025-26</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2026-27</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2027-28</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2028-29</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2029-30</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2030-31</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2031-32</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2032-33</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2033-34</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2034-35</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2035-36</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2016-17</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2017-18</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2018-19</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2019-20</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2020-21</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2021-22</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2022-23</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2023-24</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2024-25</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2025-26</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2026-27</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2027-28</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2028-29</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2029-30</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2030-31</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2031-32</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2032-33</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2033-34</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2034-35</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2035-36</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2016-17</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2017-18</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2018-19</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2019-20</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2020-21</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2021-22</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2022-23</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2023-24</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2024-25</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2025-26</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2026-27</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2027-28</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2028-29</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2029-30</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2030-31</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2031-32</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2032-33</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2033-34</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2034-35</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2035-36</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2016-17</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2017-18</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2018-19</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2019-20</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2020-21</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2021-22</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2022-23</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2023-24</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2024-25</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2025-26</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2026-27</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2027-28</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2028-29</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2029-30</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2030-31</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2031-32</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2032-33</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2033-34</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2034-35</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2035-36</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2016-17</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2017-18</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2018-19</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2019-20</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2020-21</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2021-22</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2022-23</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2023-24</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2024-25</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2025-26</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2026-27</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2027-28</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2028-29</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2029-30</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2030-31</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2031-32</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2032-33</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2033-34</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2034-35</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2035-36</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2016-17</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2017-18</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2018-19</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2019-20</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2020-21</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2021-22</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2022-23</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2023-24</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2024-25</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2025-26</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2026-27</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2027-28</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2028-29</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2029-30</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2030-31</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2031-32</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2032-33</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2033-34</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2034-35</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2035-36</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2016-17</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2017-18</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2018-19</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2019-20</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2020-21</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2021-22</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2022-23</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2023-24</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2024-25</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2025-26</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2026-27</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2027-28</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2028-29</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2029-30</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2030-31</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2031-32</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2032-33</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2033-34</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2034-35</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2035-36</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2016-17</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2017-18</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2018-19</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2019-20</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2020-21</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2021-22</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2022-23</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2023-24</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2024-25</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2025-26</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2026-27</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2027-28</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2028-29</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2029-30</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2030-31</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2031-32</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2032-33</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2033-34</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2034-35</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2035-36</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2016-17</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2017-18</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2018-19</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2019-20</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2020-21</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2021-22</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2022-23</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2023-24</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2024-25</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2025-26</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2026-27</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2027-28</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2028-29</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2029-30</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2030-31</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2031-32</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2032-33</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2033-34</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2034-35</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2035-36</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2016-17</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2017-18</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2018-19</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2019-20</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2020-21</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2021-22</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2022-23</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2023-24</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2024-25</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2025-26</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2026-27</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2027-28</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2028-29</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2029-30</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2030-31</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2031-32</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2032-33</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2033-34</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2034-35</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2035-36</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2016-17</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2017-18</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2018-19</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2019-20</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2020-21</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2021-22</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2022-23</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2023-24</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2024-25</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2025-26</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2026-27</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2027-28</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2028-29</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2029-30</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2030-31</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2031-32</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2032-33</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2033-34</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2034-35</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2035-36</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2016-17</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2017-18</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2018-19</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2019-20</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2020-21</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2021-22</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2022-23</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2023-24</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2024-25</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2025-26</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2026-27</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2027-28</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2028-29</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2029-30</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2030-31</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2031-32</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2032-33</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2033-34</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2034-35</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2035-36</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2016-17</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2017-18</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2018-19</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2019-20</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2020-21</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2021-22</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2022-23</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2023-24</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2024-25</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2025-26</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2026-27</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2027-28</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2028-29</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2029-30</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2030-31</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2031-32</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2032-33</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2033-34</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2034-35</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2035-36</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2016-17</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2017-18</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2018-19</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2019-20</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2020-21</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2021-22</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2022-23</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2023-24</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2024-25</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2025-26</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2026-27</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2027-28</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2028-29</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2029-30</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2030-31</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2031-32</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2032-33</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2033-34</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2034-35</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2035-36</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2016-17</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2017-18</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2018-19</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2019-20</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2020-21</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2021-22</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2022-23</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2023-24</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2024-25</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2025-26</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2026-27</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2027-28</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2028-29</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2029-30</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2030-31</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2031-32</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2032-33</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2033-34</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2034-35</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2035-36</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2016-17</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2017-18</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2018-19</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2019-20</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2020-21</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2021-22</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2022-23</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2023-24</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2024-25</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2025-26</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2026-27</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2027-28</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2028-29</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2029-30</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2030-31</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2031-32</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2032-33</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2033-34</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2034-35</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2035-36</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2016-17</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2017-18</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2018-19</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2019-20</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2020-21</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2021-22</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2022-23</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2023-24</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2024-25</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2025-26</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2026-27</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2027-28</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2028-29</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2029-30</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2030-31</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2031-32</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2032-33</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2033-34</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2034-35</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2035-36</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2016-17</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2017-18</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2018-19</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2019-20</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2020-21</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2021-22</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2022-23</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2023-24</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2024-25</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2025-26</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2026-27</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2027-28</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2028-29</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2029-30</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2030-31</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2031-32</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2032-33</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2033-34</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2034-35</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2035-36</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85" zoomScaleNormal="85" workbookViewId="0">
      <selection activeCell="H61" sqref="H61"/>
    </sheetView>
  </sheetViews>
  <sheetFormatPr defaultColWidth="9.109375" defaultRowHeight="13.2" outlineLevelRow="1"/>
  <cols>
    <col min="1" max="4" width="1.5546875" style="241" customWidth="1"/>
    <col min="5" max="5" width="29.5546875" style="172" customWidth="1"/>
    <col min="6" max="9" width="14.33203125" style="172" customWidth="1"/>
    <col min="10" max="10" width="15.33203125" style="172" customWidth="1"/>
    <col min="11" max="11" width="17.33203125" style="172" customWidth="1"/>
    <col min="12" max="12" width="14.33203125" style="172" customWidth="1"/>
    <col min="13" max="13" width="12.33203125" style="172" customWidth="1"/>
    <col min="14" max="14" width="11.33203125" style="172" customWidth="1"/>
    <col min="15" max="15" width="14.33203125" style="172" customWidth="1"/>
    <col min="16" max="17" width="12.5546875" style="172" customWidth="1"/>
    <col min="18" max="18" width="15.109375" style="172" customWidth="1"/>
    <col min="19" max="16384" width="9.10937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6">
      <c r="A2" s="147"/>
      <c r="B2" s="39"/>
      <c r="C2" s="29"/>
      <c r="D2" s="29"/>
      <c r="E2" s="203" t="str">
        <f>'DMS input'!$C$16&amp;" - PTRM Input Summary"&amp;" - TNSP RFM - version "&amp;Intro!$M$4</f>
        <v>Carpentaria Gas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86" t="str">
        <f>"Opening Capital Base for "&amp;Q7&amp;" ($m Nominal)"</f>
        <v>Opening Capital Base for 2026-27 ($m Nominal)</v>
      </c>
      <c r="F5" s="1486"/>
      <c r="G5" s="1486"/>
      <c r="H5" s="1486"/>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08" t="s">
        <v>47</v>
      </c>
      <c r="H6" s="1508"/>
      <c r="I6" s="1508"/>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06" t="str">
        <f>'RFM input'!E7</f>
        <v>Asset Class 1</v>
      </c>
      <c r="F7" s="1507"/>
      <c r="G7" s="1509" t="str">
        <f>Asset1</f>
        <v>Pipelines</v>
      </c>
      <c r="H7" s="1510"/>
      <c r="I7" s="1510"/>
      <c r="J7" s="1369">
        <f>HLOOKUP(IF('RFM input'!$AA$7="",5,'RFM input'!$AA$7),'Total capital base roll forward'!$I$528:$Q$579,A7,FALSE)</f>
        <v>234.49823342747163</v>
      </c>
      <c r="K7" s="1370">
        <f>HLOOKUP(IF('RFM input'!$AA$7="",5,'RFM input'!$AA$7),'Total capital base roll forward'!$I$1104:$Q$1155,A7,FALSE)</f>
        <v>234.49823342747163</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52.408302986607893</v>
      </c>
      <c r="M7" s="1371"/>
      <c r="N7" s="1372">
        <f>HLOOKUP(IF('RFM input'!$AA$7="",5,'RFM input'!$AA$7),'TAB roll forward'!$J$2:$R$57,B7,FALSE)</f>
        <v>1.4041744710000028</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14.322053696559477</v>
      </c>
      <c r="P7" s="165"/>
      <c r="Q7" s="167" t="str">
        <f>HLOOKUP(IF('RFM input'!AA7="",5,'RFM input'!AA7),'TAB roll forward'!I2:R4,3,FALSE)</f>
        <v>2026-27</v>
      </c>
      <c r="R7" s="166"/>
      <c r="S7" s="29"/>
      <c r="T7" s="88"/>
      <c r="U7" s="88"/>
      <c r="V7" s="88"/>
      <c r="W7" s="88"/>
      <c r="X7" s="29"/>
      <c r="Y7" s="29"/>
      <c r="Z7" s="29"/>
    </row>
    <row r="8" spans="1:26">
      <c r="A8" s="297">
        <f>A7+1</f>
        <v>4</v>
      </c>
      <c r="B8" s="297">
        <f>B7+1</f>
        <v>8</v>
      </c>
      <c r="C8" s="297"/>
      <c r="D8" s="297"/>
      <c r="E8" s="1506" t="str">
        <f>'RFM input'!E8</f>
        <v>Asset Class 2</v>
      </c>
      <c r="F8" s="1507"/>
      <c r="G8" s="1504" t="str">
        <f>Asset2</f>
        <v>Compressors</v>
      </c>
      <c r="H8" s="1505"/>
      <c r="I8" s="1505"/>
      <c r="J8" s="1373">
        <f>HLOOKUP(IF('RFM input'!$AA$7="",5,'RFM input'!$AA$7),'Total capital base roll forward'!$I$528:$Q$579,A8,FALSE)</f>
        <v>32.948412708844032</v>
      </c>
      <c r="K8" s="1374">
        <f>HLOOKUP(IF('RFM input'!$AA$7="",5,'RFM input'!$AA$7),'Total capital base roll forward'!$I$1104:$Q$1155,A8,FALSE)</f>
        <v>32.948412708844032</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17.249018548014909</v>
      </c>
      <c r="M8" s="1375"/>
      <c r="N8" s="272">
        <f>HLOOKUP(IF('RFM input'!$AA$7="",5,'RFM input'!$AA$7),'TAB roll forward'!$J$2:$R$57,B8,FALSE)</f>
        <v>5.9021933357822824</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4.353690905036566</v>
      </c>
      <c r="P8" s="163"/>
      <c r="Q8" s="158"/>
      <c r="R8" s="4"/>
      <c r="S8" s="29"/>
      <c r="T8" s="88"/>
      <c r="U8" s="88"/>
      <c r="V8" s="88"/>
      <c r="W8" s="88"/>
      <c r="X8" s="29"/>
      <c r="Y8" s="29"/>
      <c r="Z8" s="29"/>
    </row>
    <row r="9" spans="1:26">
      <c r="A9" s="297">
        <f t="shared" ref="A9:A56" si="0">A8+1</f>
        <v>5</v>
      </c>
      <c r="B9" s="297">
        <f t="shared" ref="B9:B56" si="1">B8+1</f>
        <v>9</v>
      </c>
      <c r="C9" s="297"/>
      <c r="D9" s="297"/>
      <c r="E9" s="1506" t="str">
        <f>'RFM input'!E9</f>
        <v>Asset Class 3</v>
      </c>
      <c r="F9" s="1507"/>
      <c r="G9" s="1504" t="str">
        <f>Asset3</f>
        <v>City Gates, supply regulators and valve stations</v>
      </c>
      <c r="H9" s="1505"/>
      <c r="I9" s="1505"/>
      <c r="J9" s="1373">
        <f>HLOOKUP(IF('RFM input'!$AA$7="",5,'RFM input'!$AA$7),'Total capital base roll forward'!$I$528:$Q$579,A9,FALSE)</f>
        <v>0.10648645306395135</v>
      </c>
      <c r="K9" s="1374">
        <f>HLOOKUP(IF('RFM input'!$AA$7="",5,'RFM input'!$AA$7),'Total capital base roll forward'!$I$1104:$Q$1155,A9,FALSE)</f>
        <v>0.10648645306395135</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33.760581082428011</v>
      </c>
      <c r="M9" s="1375"/>
      <c r="N9" s="272">
        <f>HLOOKUP(IF('RFM input'!$AA$7="",5,'RFM input'!$AA$7),'TAB roll forward'!$J$2:$R$57,B9,FALSE)</f>
        <v>2.593864670023522E-2</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4.887846193002515</v>
      </c>
      <c r="P9" s="163"/>
      <c r="Q9" s="158"/>
      <c r="R9" s="4"/>
      <c r="S9" s="29"/>
      <c r="T9" s="88"/>
      <c r="U9" s="88"/>
      <c r="V9" s="88"/>
      <c r="W9" s="88"/>
      <c r="X9" s="29"/>
      <c r="Y9" s="29"/>
      <c r="Z9" s="29"/>
    </row>
    <row r="10" spans="1:26">
      <c r="A10" s="297">
        <f t="shared" si="0"/>
        <v>6</v>
      </c>
      <c r="B10" s="297">
        <f t="shared" si="1"/>
        <v>10</v>
      </c>
      <c r="C10" s="297"/>
      <c r="D10" s="297"/>
      <c r="E10" s="1506" t="str">
        <f>'RFM input'!E10</f>
        <v>Asset Class 4</v>
      </c>
      <c r="F10" s="1507"/>
      <c r="G10" s="1504" t="str">
        <f>Asset4</f>
        <v>Metering</v>
      </c>
      <c r="H10" s="1505"/>
      <c r="I10" s="1505"/>
      <c r="J10" s="1373">
        <f>HLOOKUP(IF('RFM input'!$AA$7="",5,'RFM input'!$AA$7),'Total capital base roll forward'!$I$528:$Q$579,A10,FALSE)</f>
        <v>7.0249664658896229</v>
      </c>
      <c r="K10" s="1374">
        <f>HLOOKUP(IF('RFM input'!$AA$7="",5,'RFM input'!$AA$7),'Total capital base roll forward'!$I$1104:$Q$1155,A10,FALSE)</f>
        <v>7.0249664658896229</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26.679279619295947</v>
      </c>
      <c r="M10" s="1375"/>
      <c r="N10" s="272">
        <f>HLOOKUP(IF('RFM input'!$AA$7="",5,'RFM input'!$AA$7),'TAB roll forward'!$J$2:$R$57,B10,FALSE)</f>
        <v>0.76547467486972365</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8.4061763402710614</v>
      </c>
      <c r="P10" s="163"/>
      <c r="Q10" s="158"/>
      <c r="R10" s="4"/>
      <c r="S10" s="29"/>
      <c r="T10" s="88"/>
      <c r="U10" s="88"/>
      <c r="V10" s="88"/>
      <c r="W10" s="88"/>
      <c r="X10" s="29"/>
      <c r="Y10" s="29"/>
      <c r="Z10" s="29"/>
    </row>
    <row r="11" spans="1:26">
      <c r="A11" s="297">
        <f t="shared" si="0"/>
        <v>7</v>
      </c>
      <c r="B11" s="297">
        <f t="shared" si="1"/>
        <v>11</v>
      </c>
      <c r="C11" s="297"/>
      <c r="D11" s="297"/>
      <c r="E11" s="1506" t="str">
        <f>'RFM input'!E11</f>
        <v>Asset Class 5</v>
      </c>
      <c r="F11" s="1507"/>
      <c r="G11" s="1504" t="str">
        <f>Asset5</f>
        <v>Odourant plants</v>
      </c>
      <c r="H11" s="1505"/>
      <c r="I11" s="1505"/>
      <c r="J11" s="1373">
        <f>HLOOKUP(IF('RFM input'!$AA$7="",5,'RFM input'!$AA$7),'Total capital base roll forward'!$I$528:$Q$579,A11,FALSE)</f>
        <v>0.10628695762614154</v>
      </c>
      <c r="K11" s="1374">
        <f>HLOOKUP(IF('RFM input'!$AA$7="",5,'RFM input'!$AA$7),'Total capital base roll forward'!$I$1104:$Q$1155,A11,FALSE)</f>
        <v>0.10628695762614154</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68</v>
      </c>
      <c r="M11" s="1375"/>
      <c r="N11" s="272">
        <f>HLOOKUP(IF('RFM input'!$AA$7="",5,'RFM input'!$AA$7),'TAB roll forward'!$J$2:$R$57,B11,FALSE)</f>
        <v>4.0396735999999968E-2</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8</v>
      </c>
      <c r="P11" s="163"/>
      <c r="Q11" s="158"/>
      <c r="R11" s="4"/>
      <c r="S11" s="29"/>
      <c r="T11" s="88"/>
      <c r="U11" s="88"/>
      <c r="V11" s="88"/>
      <c r="W11" s="88"/>
      <c r="X11" s="29"/>
      <c r="Y11" s="29"/>
      <c r="Z11" s="29"/>
    </row>
    <row r="12" spans="1:26">
      <c r="A12" s="297">
        <f t="shared" si="0"/>
        <v>8</v>
      </c>
      <c r="B12" s="297">
        <f t="shared" si="1"/>
        <v>12</v>
      </c>
      <c r="C12" s="297"/>
      <c r="D12" s="297"/>
      <c r="E12" s="1506" t="str">
        <f>'RFM input'!E12</f>
        <v>Asset Class 6</v>
      </c>
      <c r="F12" s="1507"/>
      <c r="G12" s="1504" t="str">
        <f>Asset6</f>
        <v>SCADA (Communications)</v>
      </c>
      <c r="H12" s="1505"/>
      <c r="I12" s="1505"/>
      <c r="J12" s="1373">
        <f>HLOOKUP(IF('RFM input'!$AA$7="",5,'RFM input'!$AA$7),'Total capital base roll forward'!$I$528:$Q$579,A12,FALSE)</f>
        <v>0.99423521968050643</v>
      </c>
      <c r="K12" s="1374">
        <f>HLOOKUP(IF('RFM input'!$AA$7="",5,'RFM input'!$AA$7),'Total capital base roll forward'!$I$1104:$Q$1155,A12,FALSE)</f>
        <v>0.99423521968050643</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5.5537827111275657</v>
      </c>
      <c r="M12" s="1375"/>
      <c r="N12" s="272">
        <f>HLOOKUP(IF('RFM input'!$AA$7="",5,'RFM input'!$AA$7),'TAB roll forward'!$J$2:$R$57,B12,FALSE)</f>
        <v>0.21525096899999963</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3.3571999436620428</v>
      </c>
      <c r="P12" s="163"/>
      <c r="Q12" s="158"/>
      <c r="R12" s="4"/>
      <c r="S12" s="29"/>
      <c r="T12" s="88"/>
      <c r="U12" s="88"/>
      <c r="V12" s="88"/>
      <c r="W12" s="88"/>
      <c r="X12" s="29"/>
      <c r="Y12" s="29"/>
      <c r="Z12" s="29"/>
    </row>
    <row r="13" spans="1:26">
      <c r="A13" s="297">
        <f t="shared" si="0"/>
        <v>9</v>
      </c>
      <c r="B13" s="297">
        <f t="shared" si="1"/>
        <v>13</v>
      </c>
      <c r="C13" s="297"/>
      <c r="D13" s="297"/>
      <c r="E13" s="1506" t="str">
        <f>'RFM input'!E13</f>
        <v>Asset Class 7</v>
      </c>
      <c r="F13" s="1507"/>
      <c r="G13" s="1504" t="str">
        <f>Asset7</f>
        <v>Buildings</v>
      </c>
      <c r="H13" s="1505"/>
      <c r="I13" s="1505"/>
      <c r="J13" s="1373">
        <f>HLOOKUP(IF('RFM input'!$AA$7="",5,'RFM input'!$AA$7),'Total capital base roll forward'!$I$528:$Q$579,A13,FALSE)</f>
        <v>4.1502658188757788</v>
      </c>
      <c r="K13" s="1374">
        <f>HLOOKUP(IF('RFM input'!$AA$7="",5,'RFM input'!$AA$7),'Total capital base roll forward'!$I$1104:$Q$1155,A13,FALSE)</f>
        <v>4.1502658188757788</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52.960154804636616</v>
      </c>
      <c r="M13" s="1375"/>
      <c r="N13" s="272">
        <f>HLOOKUP(IF('RFM input'!$AA$7="",5,'RFM input'!$AA$7),'TAB roll forward'!$J$2:$R$57,B13,FALSE)</f>
        <v>1.0679400746078833</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13.116706080935028</v>
      </c>
      <c r="P13" s="163"/>
      <c r="Q13" s="158"/>
      <c r="R13" s="4"/>
      <c r="S13" s="29"/>
      <c r="T13" s="88"/>
      <c r="U13" s="88"/>
      <c r="V13" s="88"/>
      <c r="W13" s="88"/>
      <c r="X13" s="29"/>
      <c r="Y13" s="29"/>
      <c r="Z13" s="29"/>
    </row>
    <row r="14" spans="1:26">
      <c r="A14" s="297">
        <f t="shared" si="0"/>
        <v>10</v>
      </c>
      <c r="B14" s="297">
        <f t="shared" si="1"/>
        <v>14</v>
      </c>
      <c r="C14" s="297"/>
      <c r="D14" s="297"/>
      <c r="E14" s="1506" t="str">
        <f>'RFM input'!E14</f>
        <v>Asset Class 8</v>
      </c>
      <c r="F14" s="1507"/>
      <c r="G14" s="1504" t="str">
        <f>Asset8</f>
        <v>Land and easements</v>
      </c>
      <c r="H14" s="1505"/>
      <c r="I14" s="1505"/>
      <c r="J14" s="1373">
        <f>HLOOKUP(IF('RFM input'!$AA$7="",5,'RFM input'!$AA$7),'Total capital base roll forward'!$I$528:$Q$579,A14,FALSE)</f>
        <v>1.5642058987782453E-2</v>
      </c>
      <c r="K14" s="1374">
        <f>HLOOKUP(IF('RFM input'!$AA$7="",5,'RFM input'!$AA$7),'Total capital base roll forward'!$I$1104:$Q$1155,A14,FALSE)</f>
        <v>1.5642058987782453E-2</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7.9469999999999992E-3</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06" t="str">
        <f>'RFM input'!E15</f>
        <v>Asset Class 9</v>
      </c>
      <c r="F15" s="1507"/>
      <c r="G15" s="1504" t="str">
        <f>Asset9</f>
        <v>Other depreciable pipeline assets</v>
      </c>
      <c r="H15" s="1505"/>
      <c r="I15" s="1505"/>
      <c r="J15" s="1373">
        <f>HLOOKUP(IF('RFM input'!$AA$7="",5,'RFM input'!$AA$7),'Total capital base roll forward'!$I$528:$Q$579,A15,FALSE)</f>
        <v>7.4488523390976304</v>
      </c>
      <c r="K15" s="1374">
        <f>HLOOKUP(IF('RFM input'!$AA$7="",5,'RFM input'!$AA$7),'Total capital base roll forward'!$I$1104:$Q$1155,A15,FALSE)</f>
        <v>7.4488523390976304</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63.838806010818757</v>
      </c>
      <c r="M15" s="1375"/>
      <c r="N15" s="272">
        <f>HLOOKUP(IF('RFM input'!$AA$7="",5,'RFM input'!$AA$7),'TAB roll forward'!$J$2:$R$57,B15,FALSE)</f>
        <v>1.9636125794774677</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7.3134768098329701</v>
      </c>
      <c r="P15" s="163"/>
      <c r="Q15" s="158"/>
      <c r="R15" s="4"/>
      <c r="S15" s="29"/>
      <c r="T15" s="88"/>
      <c r="U15" s="88"/>
      <c r="V15" s="88"/>
      <c r="W15" s="29"/>
      <c r="X15" s="29"/>
      <c r="Y15" s="29"/>
      <c r="Z15" s="29"/>
    </row>
    <row r="16" spans="1:26">
      <c r="A16" s="297">
        <f t="shared" si="0"/>
        <v>12</v>
      </c>
      <c r="B16" s="297">
        <f t="shared" si="1"/>
        <v>16</v>
      </c>
      <c r="C16" s="297"/>
      <c r="D16" s="297"/>
      <c r="E16" s="1506" t="str">
        <f>'RFM input'!E16</f>
        <v>Asset Class 10</v>
      </c>
      <c r="F16" s="1507"/>
      <c r="G16" s="1504" t="str">
        <f>Asset10</f>
        <v>IT Systems</v>
      </c>
      <c r="H16" s="1505"/>
      <c r="I16" s="1505"/>
      <c r="J16" s="1373">
        <f>HLOOKUP(IF('RFM input'!$AA$7="",5,'RFM input'!$AA$7),'Total capital base roll forward'!$I$528:$Q$579,A16,FALSE)</f>
        <v>3.2010314929476862E-2</v>
      </c>
      <c r="K16" s="1374">
        <f>HLOOKUP(IF('RFM input'!$AA$7="",5,'RFM input'!$AA$7),'Total capital base roll forward'!$I$1104:$Q$1155,A16,FALSE)</f>
        <v>3.2010314929476862E-2</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5"/>
      <c r="N16" s="272">
        <f>HLOOKUP(IF('RFM input'!$AA$7="",5,'RFM input'!$AA$7),'TAB roll forward'!$J$2:$R$57,B16,FALSE)</f>
        <v>-3.2983393896501307E-17</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4</v>
      </c>
      <c r="P16" s="163"/>
      <c r="Q16" s="158"/>
      <c r="R16" s="4"/>
      <c r="S16" s="29"/>
      <c r="T16" s="88"/>
      <c r="U16" s="88"/>
      <c r="V16" s="88"/>
      <c r="W16" s="29"/>
      <c r="X16" s="29"/>
      <c r="Y16" s="29"/>
      <c r="Z16" s="29"/>
    </row>
    <row r="17" spans="1:26">
      <c r="A17" s="297">
        <f t="shared" si="0"/>
        <v>13</v>
      </c>
      <c r="B17" s="297">
        <f t="shared" si="1"/>
        <v>17</v>
      </c>
      <c r="C17" s="297"/>
      <c r="D17" s="297"/>
      <c r="E17" s="1506" t="str">
        <f>'RFM input'!E17</f>
        <v>Asset Class 11</v>
      </c>
      <c r="F17" s="1507"/>
      <c r="G17" s="1504" t="str">
        <f>Asset11</f>
        <v>Leased pipeline assets</v>
      </c>
      <c r="H17" s="1505"/>
      <c r="I17" s="1505"/>
      <c r="J17" s="1373">
        <f>HLOOKUP(IF('RFM input'!$AA$7="",5,'RFM input'!$AA$7),'Total capital base roll forward'!$I$528:$Q$579,A17,FALSE)</f>
        <v>2.1587646361771351E-2</v>
      </c>
      <c r="K17" s="1374">
        <f>HLOOKUP(IF('RFM input'!$AA$7="",5,'RFM input'!$AA$7),'Total capital base roll forward'!$I$1104:$Q$1155,A17,FALSE)</f>
        <v>2.1587646361771351E-2</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10</v>
      </c>
      <c r="M17" s="1375"/>
      <c r="N17" s="272">
        <f>HLOOKUP(IF('RFM input'!$AA$7="",5,'RFM input'!$AA$7),'TAB roll forward'!$J$2:$R$57,B17,FALSE)</f>
        <v>-1.9428902930940239E-16</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10</v>
      </c>
      <c r="P17" s="163"/>
      <c r="Q17" s="158"/>
      <c r="R17" s="4"/>
      <c r="S17" s="29"/>
      <c r="T17" s="88"/>
      <c r="U17" s="88"/>
      <c r="V17" s="88"/>
      <c r="W17" s="29"/>
      <c r="X17" s="29"/>
      <c r="Y17" s="29"/>
      <c r="Z17" s="29"/>
    </row>
    <row r="18" spans="1:26">
      <c r="A18" s="297">
        <f t="shared" si="0"/>
        <v>14</v>
      </c>
      <c r="B18" s="297">
        <f t="shared" si="1"/>
        <v>18</v>
      </c>
      <c r="C18" s="297"/>
      <c r="D18" s="297"/>
      <c r="E18" s="1506" t="str">
        <f>'RFM input'!E18</f>
        <v>Asset Class 12</v>
      </c>
      <c r="F18" s="1507"/>
      <c r="G18" s="1504" t="str">
        <f>Asset12</f>
        <v>Shared supporting assets</v>
      </c>
      <c r="H18" s="1505"/>
      <c r="I18" s="1505"/>
      <c r="J18" s="1373">
        <f>HLOOKUP(IF('RFM input'!$AA$7="",5,'RFM input'!$AA$7),'Total capital base roll forward'!$I$528:$Q$579,A18,FALSE)</f>
        <v>0.51886190200881255</v>
      </c>
      <c r="K18" s="1374">
        <f>HLOOKUP(IF('RFM input'!$AA$7="",5,'RFM input'!$AA$7),'Total capital base roll forward'!$I$1104:$Q$1155,A18,FALSE)</f>
        <v>0.51886190200881255</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1</v>
      </c>
      <c r="M18" s="1375"/>
      <c r="N18" s="272">
        <f>HLOOKUP(IF('RFM input'!$AA$7="",5,'RFM input'!$AA$7),'TAB roll forward'!$J$2:$R$57,B18,FALSE)</f>
        <v>0.61096664724525929</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1</v>
      </c>
      <c r="P18" s="163"/>
      <c r="Q18" s="158"/>
      <c r="R18" s="4"/>
      <c r="S18" s="29"/>
      <c r="T18" s="88"/>
      <c r="U18" s="88"/>
      <c r="V18" s="88"/>
      <c r="W18" s="29"/>
      <c r="X18" s="29"/>
      <c r="Y18" s="29"/>
      <c r="Z18" s="29"/>
    </row>
    <row r="19" spans="1:26">
      <c r="A19" s="297">
        <f t="shared" si="0"/>
        <v>15</v>
      </c>
      <c r="B19" s="297">
        <f t="shared" si="1"/>
        <v>19</v>
      </c>
      <c r="C19" s="297"/>
      <c r="D19" s="297"/>
      <c r="E19" s="1506" t="str">
        <f>'RFM input'!E19</f>
        <v>Asset Class 13</v>
      </c>
      <c r="F19" s="1507"/>
      <c r="G19" s="1504" t="str">
        <f>Asset13</f>
        <v>Shared leased assets</v>
      </c>
      <c r="H19" s="1505"/>
      <c r="I19" s="1505"/>
      <c r="J19" s="1373">
        <f>HLOOKUP(IF('RFM input'!$AA$7="",5,'RFM input'!$AA$7),'Total capital base roll forward'!$I$528:$Q$579,A19,FALSE)</f>
        <v>5.2493750579034618E-2</v>
      </c>
      <c r="K19" s="1374">
        <f>HLOOKUP(IF('RFM input'!$AA$7="",5,'RFM input'!$AA$7),'Total capital base roll forward'!$I$1104:$Q$1155,A19,FALSE)</f>
        <v>5.2493750579034618E-2</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1</v>
      </c>
      <c r="M19" s="1375"/>
      <c r="N19" s="272">
        <f>HLOOKUP(IF('RFM input'!$AA$7="",5,'RFM input'!$AA$7),'TAB roll forward'!$J$2:$R$57,B19,FALSE)</f>
        <v>4.6209172196729514E-2</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0.99999999999999967</v>
      </c>
      <c r="P19" s="163"/>
      <c r="Q19" s="158"/>
      <c r="R19" s="4"/>
      <c r="S19" s="29"/>
      <c r="T19" s="88"/>
      <c r="U19" s="88"/>
      <c r="V19" s="88"/>
      <c r="W19" s="29"/>
      <c r="X19" s="29"/>
      <c r="Y19" s="29"/>
      <c r="Z19" s="29"/>
    </row>
    <row r="20" spans="1:26">
      <c r="A20" s="297">
        <f t="shared" si="0"/>
        <v>16</v>
      </c>
      <c r="B20" s="297">
        <f t="shared" si="1"/>
        <v>20</v>
      </c>
      <c r="C20" s="297"/>
      <c r="D20" s="297"/>
      <c r="E20" s="1506" t="str">
        <f>'RFM input'!E20</f>
        <v>Asset Class 14</v>
      </c>
      <c r="F20" s="1507"/>
      <c r="G20" s="1504" t="str">
        <f>Asset14</f>
        <v>PMA - Buyout contract</v>
      </c>
      <c r="H20" s="1505"/>
      <c r="I20" s="1505"/>
      <c r="J20" s="1373">
        <f>HLOOKUP(IF('RFM input'!$AA$7="",5,'RFM input'!$AA$7),'Total capital base roll forward'!$I$528:$Q$579,A20,FALSE)</f>
        <v>3.1137078462589046E-2</v>
      </c>
      <c r="K20" s="1374">
        <f>HLOOKUP(IF('RFM input'!$AA$7="",5,'RFM input'!$AA$7),'Total capital base roll forward'!$I$1104:$Q$1155,A20,FALSE)</f>
        <v>3.1137078462589046E-2</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-9.8607613152626476E-32</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5</v>
      </c>
      <c r="P20" s="163"/>
      <c r="Q20" s="158"/>
      <c r="R20" s="4"/>
      <c r="S20" s="29"/>
      <c r="T20" s="88"/>
      <c r="U20" s="88"/>
      <c r="V20" s="88"/>
      <c r="W20" s="29"/>
      <c r="X20" s="29"/>
      <c r="Y20" s="29"/>
      <c r="Z20" s="29"/>
    </row>
    <row r="21" spans="1:26">
      <c r="A21" s="297">
        <f t="shared" si="0"/>
        <v>17</v>
      </c>
      <c r="B21" s="297">
        <f t="shared" si="1"/>
        <v>21</v>
      </c>
      <c r="C21" s="297"/>
      <c r="D21" s="297"/>
      <c r="E21" s="1506" t="str">
        <f>'RFM input'!E21</f>
        <v>Asset Class 15</v>
      </c>
      <c r="F21" s="1507"/>
      <c r="G21" s="1504">
        <f>Asset15</f>
        <v>0</v>
      </c>
      <c r="H21" s="1505"/>
      <c r="I21" s="1505"/>
      <c r="J21" s="1373">
        <f>HLOOKUP(IF('RFM input'!$AA$7="",5,'RFM input'!$AA$7),'Total capital base roll forward'!$I$528:$Q$579,A21,FALSE)</f>
        <v>0</v>
      </c>
      <c r="K21" s="1374">
        <f>HLOOKUP(IF('RFM input'!$AA$7="",5,'RFM input'!$AA$7),'Total capital base roll forward'!$I$1104:$Q$1155,A21,FALSE)</f>
        <v>0</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5"/>
      <c r="N21" s="272">
        <f>HLOOKUP(IF('RFM input'!$AA$7="",5,'RFM input'!$AA$7),'TAB roll forward'!$J$2:$R$57,B21,FALSE)</f>
        <v>0</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3"/>
      <c r="Q21" s="158"/>
      <c r="R21" s="4"/>
      <c r="S21" s="29"/>
      <c r="T21" s="88"/>
      <c r="U21" s="88"/>
      <c r="V21" s="88"/>
      <c r="W21" s="29"/>
      <c r="X21" s="29"/>
      <c r="Y21" s="29"/>
      <c r="Z21" s="29"/>
    </row>
    <row r="22" spans="1:26">
      <c r="A22" s="297">
        <f t="shared" si="0"/>
        <v>18</v>
      </c>
      <c r="B22" s="297">
        <f t="shared" si="1"/>
        <v>22</v>
      </c>
      <c r="C22" s="297"/>
      <c r="D22" s="297"/>
      <c r="E22" s="1506" t="str">
        <f>'RFM input'!E22</f>
        <v>Asset Class 16</v>
      </c>
      <c r="F22" s="1507"/>
      <c r="G22" s="1504">
        <f>Asset16</f>
        <v>0</v>
      </c>
      <c r="H22" s="1505"/>
      <c r="I22" s="1505"/>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06" t="str">
        <f>'RFM input'!E23</f>
        <v>Asset Class 17</v>
      </c>
      <c r="F23" s="1507"/>
      <c r="G23" s="1504">
        <f>Asset17</f>
        <v>0</v>
      </c>
      <c r="H23" s="1505"/>
      <c r="I23" s="1505"/>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06" t="str">
        <f>'RFM input'!E24</f>
        <v>Asset Class 18</v>
      </c>
      <c r="F24" s="1507"/>
      <c r="G24" s="1504">
        <f>Asset18</f>
        <v>0</v>
      </c>
      <c r="H24" s="1505"/>
      <c r="I24" s="1505"/>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06" t="str">
        <f>'RFM input'!E25</f>
        <v>Asset Class 19</v>
      </c>
      <c r="F25" s="1507"/>
      <c r="G25" s="1504">
        <f>Asset19</f>
        <v>0</v>
      </c>
      <c r="H25" s="1505"/>
      <c r="I25" s="1505"/>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06" t="str">
        <f>'RFM input'!E26</f>
        <v>Asset Class 20</v>
      </c>
      <c r="F26" s="1507"/>
      <c r="G26" s="1504">
        <f>Asset20</f>
        <v>0</v>
      </c>
      <c r="H26" s="1505"/>
      <c r="I26" s="1505"/>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06" t="str">
        <f>'RFM input'!E27</f>
        <v>Asset Class 21</v>
      </c>
      <c r="F27" s="1507"/>
      <c r="G27" s="1504">
        <f>Asset21</f>
        <v>0</v>
      </c>
      <c r="H27" s="1505"/>
      <c r="I27" s="1505"/>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06" t="str">
        <f>'RFM input'!E28</f>
        <v>Asset Class 22</v>
      </c>
      <c r="F28" s="1507"/>
      <c r="G28" s="1504">
        <f>Asset22</f>
        <v>0</v>
      </c>
      <c r="H28" s="1505"/>
      <c r="I28" s="1505"/>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06" t="str">
        <f>'RFM input'!E29</f>
        <v>Asset Class 23</v>
      </c>
      <c r="F29" s="1507"/>
      <c r="G29" s="1504">
        <f>Asset23</f>
        <v>0</v>
      </c>
      <c r="H29" s="1505"/>
      <c r="I29" s="1505"/>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06" t="str">
        <f>'RFM input'!E30</f>
        <v>Asset Class 24</v>
      </c>
      <c r="F30" s="1507"/>
      <c r="G30" s="1504">
        <f>Asset24</f>
        <v>0</v>
      </c>
      <c r="H30" s="1505"/>
      <c r="I30" s="1505"/>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06" t="str">
        <f>'RFM input'!E31</f>
        <v>Asset Class 25</v>
      </c>
      <c r="F31" s="1507"/>
      <c r="G31" s="1504">
        <f>Asset25</f>
        <v>0</v>
      </c>
      <c r="H31" s="1505"/>
      <c r="I31" s="1505"/>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06" t="str">
        <f>'RFM input'!E32</f>
        <v>Asset Class 26</v>
      </c>
      <c r="F32" s="1507"/>
      <c r="G32" s="1504">
        <f>Asset26</f>
        <v>0</v>
      </c>
      <c r="H32" s="1505"/>
      <c r="I32" s="1505"/>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06" t="str">
        <f>'RFM input'!E33</f>
        <v>Asset Class 27</v>
      </c>
      <c r="F33" s="1507"/>
      <c r="G33" s="1504">
        <f>Asset27</f>
        <v>0</v>
      </c>
      <c r="H33" s="1505"/>
      <c r="I33" s="1505"/>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06" t="str">
        <f>'RFM input'!E34</f>
        <v>Asset Class 28</v>
      </c>
      <c r="F34" s="1507"/>
      <c r="G34" s="1504">
        <f>Asset28</f>
        <v>0</v>
      </c>
      <c r="H34" s="1505"/>
      <c r="I34" s="1505"/>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06" t="str">
        <f>'RFM input'!E35</f>
        <v>Asset Class 29</v>
      </c>
      <c r="F35" s="1507"/>
      <c r="G35" s="1504">
        <f>Asset29</f>
        <v>0</v>
      </c>
      <c r="H35" s="1505"/>
      <c r="I35" s="1505"/>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06" t="str">
        <f>'RFM input'!E36</f>
        <v>Asset Class 30</v>
      </c>
      <c r="F36" s="1507"/>
      <c r="G36" s="1504">
        <f>Asset30</f>
        <v>0</v>
      </c>
      <c r="H36" s="1505"/>
      <c r="I36" s="1505"/>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06" t="str">
        <f>'RFM input'!E37</f>
        <v>Asset Class 31</v>
      </c>
      <c r="F37" s="1507"/>
      <c r="G37" s="1504">
        <f>Asset31</f>
        <v>0</v>
      </c>
      <c r="H37" s="1505">
        <f>Asset31</f>
        <v>0</v>
      </c>
      <c r="I37" s="1505">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06" t="str">
        <f>'RFM input'!E38</f>
        <v>Asset Class 32</v>
      </c>
      <c r="F38" s="1507"/>
      <c r="G38" s="1504">
        <f>Asset32</f>
        <v>0</v>
      </c>
      <c r="H38" s="1505">
        <f>Asset32</f>
        <v>0</v>
      </c>
      <c r="I38" s="1505">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06" t="str">
        <f>'RFM input'!E39</f>
        <v>Asset Class 33</v>
      </c>
      <c r="F39" s="1507"/>
      <c r="G39" s="1504">
        <f>Asset33</f>
        <v>0</v>
      </c>
      <c r="H39" s="1505">
        <f>Asset33</f>
        <v>0</v>
      </c>
      <c r="I39" s="1505">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06" t="str">
        <f>'RFM input'!E40</f>
        <v>Asset Class 34</v>
      </c>
      <c r="F40" s="1507"/>
      <c r="G40" s="1504">
        <f>Asset34</f>
        <v>0</v>
      </c>
      <c r="H40" s="1505">
        <f>Asset34</f>
        <v>0</v>
      </c>
      <c r="I40" s="1505">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06" t="str">
        <f>'RFM input'!E41</f>
        <v>Asset Class 35</v>
      </c>
      <c r="F41" s="1507"/>
      <c r="G41" s="1504">
        <f>Asset35</f>
        <v>0</v>
      </c>
      <c r="H41" s="1505">
        <f>Asset35</f>
        <v>0</v>
      </c>
      <c r="I41" s="1505">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06" t="str">
        <f>'RFM input'!E42</f>
        <v>Asset Class 36</v>
      </c>
      <c r="F42" s="1507"/>
      <c r="G42" s="1504">
        <f>Asset36</f>
        <v>0</v>
      </c>
      <c r="H42" s="1505">
        <f>Asset36</f>
        <v>0</v>
      </c>
      <c r="I42" s="1505">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06" t="str">
        <f>'RFM input'!E43</f>
        <v>Asset Class 37</v>
      </c>
      <c r="F43" s="1507"/>
      <c r="G43" s="1504">
        <f>Asset37</f>
        <v>0</v>
      </c>
      <c r="H43" s="1505">
        <f>Asset37</f>
        <v>0</v>
      </c>
      <c r="I43" s="1505">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06" t="str">
        <f>'RFM input'!E44</f>
        <v>Asset Class 38</v>
      </c>
      <c r="F44" s="1507"/>
      <c r="G44" s="1504">
        <f>Asset38</f>
        <v>0</v>
      </c>
      <c r="H44" s="1505">
        <f>Asset38</f>
        <v>0</v>
      </c>
      <c r="I44" s="1505">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06" t="str">
        <f>'RFM input'!E45</f>
        <v>Asset Class 39</v>
      </c>
      <c r="F45" s="1507"/>
      <c r="G45" s="1504">
        <f>Asset39</f>
        <v>0</v>
      </c>
      <c r="H45" s="1505">
        <f>Asset39</f>
        <v>0</v>
      </c>
      <c r="I45" s="1505">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06" t="str">
        <f>'RFM input'!E46</f>
        <v>Asset Class 40</v>
      </c>
      <c r="F46" s="1507"/>
      <c r="G46" s="1504">
        <f>Asset40</f>
        <v>0</v>
      </c>
      <c r="H46" s="1505">
        <f>Asset40</f>
        <v>0</v>
      </c>
      <c r="I46" s="1505">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06" t="str">
        <f>'RFM input'!E47</f>
        <v>Asset Class 41</v>
      </c>
      <c r="F47" s="1507"/>
      <c r="G47" s="1504">
        <f>Asset41</f>
        <v>0</v>
      </c>
      <c r="H47" s="1505">
        <f>Asset41</f>
        <v>0</v>
      </c>
      <c r="I47" s="1505">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06" t="str">
        <f>'RFM input'!E48</f>
        <v>Asset Class 42</v>
      </c>
      <c r="F48" s="1507"/>
      <c r="G48" s="1504">
        <f>Asset42</f>
        <v>0</v>
      </c>
      <c r="H48" s="1505">
        <f>Asset42</f>
        <v>0</v>
      </c>
      <c r="I48" s="1505">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06" t="str">
        <f>'RFM input'!E49</f>
        <v>Asset Class 43</v>
      </c>
      <c r="F49" s="1507"/>
      <c r="G49" s="1504">
        <f>Asset43</f>
        <v>0</v>
      </c>
      <c r="H49" s="1505">
        <f>Asset43</f>
        <v>0</v>
      </c>
      <c r="I49" s="1505">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06" t="str">
        <f>'RFM input'!E50</f>
        <v>Asset Class 44</v>
      </c>
      <c r="F50" s="1507"/>
      <c r="G50" s="1504">
        <f>Asset44</f>
        <v>0</v>
      </c>
      <c r="H50" s="1505">
        <f>Asset44</f>
        <v>0</v>
      </c>
      <c r="I50" s="1505">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06" t="str">
        <f>'RFM input'!E51</f>
        <v>Asset Class 45</v>
      </c>
      <c r="F51" s="1507"/>
      <c r="G51" s="1504">
        <f>Asset45</f>
        <v>0</v>
      </c>
      <c r="H51" s="1505">
        <f>Asset45</f>
        <v>0</v>
      </c>
      <c r="I51" s="1505">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06" t="str">
        <f>'RFM input'!E52</f>
        <v>Asset Class 46</v>
      </c>
      <c r="F52" s="1507"/>
      <c r="G52" s="1504">
        <f>Asset46</f>
        <v>0</v>
      </c>
      <c r="H52" s="1505">
        <f>Asset46</f>
        <v>0</v>
      </c>
      <c r="I52" s="1505">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06" t="str">
        <f>'RFM input'!E53</f>
        <v>Asset Class 47</v>
      </c>
      <c r="F53" s="1507"/>
      <c r="G53" s="1504" t="str">
        <f>Asset47</f>
        <v>Spare straight-line tax asset class</v>
      </c>
      <c r="H53" s="1505" t="str">
        <f>Asset47</f>
        <v>Spare straight-line tax asset class</v>
      </c>
      <c r="I53" s="1505"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06" t="str">
        <f>'RFM input'!E54</f>
        <v>Asset Class 48</v>
      </c>
      <c r="F54" s="1507"/>
      <c r="G54" s="1504" t="str">
        <f>Asset48</f>
        <v>Buildings - capital works</v>
      </c>
      <c r="H54" s="1505" t="str">
        <f>Asset48</f>
        <v>Buildings - capital works</v>
      </c>
      <c r="I54" s="1505"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06" t="str">
        <f>'RFM input'!E55</f>
        <v>Asset Class 49</v>
      </c>
      <c r="F55" s="1507"/>
      <c r="G55" s="1504" t="str">
        <f>Asset49</f>
        <v>In-house software</v>
      </c>
      <c r="H55" s="1505" t="str">
        <f>Asset49</f>
        <v>In-house software</v>
      </c>
      <c r="I55" s="1505"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06" t="str">
        <f>'RFM input'!E56</f>
        <v>Asset Class 50</v>
      </c>
      <c r="F56" s="1507"/>
      <c r="G56" s="1504" t="str">
        <f>Asset50</f>
        <v>Equity raising costs</v>
      </c>
      <c r="H56" s="1505" t="str">
        <f>Asset50</f>
        <v>Equity raising costs</v>
      </c>
      <c r="I56" s="1505"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287.9494721418788</v>
      </c>
      <c r="K57" s="1315">
        <f>SUM(K7:K56)</f>
        <v>287.9494721418788</v>
      </c>
      <c r="L57" s="1376"/>
      <c r="M57" s="1297"/>
      <c r="N57" s="1269">
        <f>SUM(N7:N56)</f>
        <v>12.050104306879582</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P331"/>
  <sheetViews>
    <sheetView showGridLines="0" zoomScale="80" zoomScaleNormal="80" workbookViewId="0">
      <selection activeCell="D238" sqref="D238"/>
    </sheetView>
  </sheetViews>
  <sheetFormatPr defaultRowHeight="13.2" outlineLevelRow="1"/>
  <cols>
    <col min="2" max="2" width="64" customWidth="1"/>
  </cols>
  <sheetData>
    <row r="2" spans="2:14" ht="15.6">
      <c r="B2" s="356" t="str">
        <f>'DMS input'!$C$16&amp;" - Inputs working"&amp;" - TNSP RFM - version "&amp;Intro!$M$4</f>
        <v>Carpentaria Gas Pipeline - Inputs working - TNSP RFM - version 1.1</v>
      </c>
    </row>
    <row r="4" spans="2:14" ht="15.6">
      <c r="B4" s="1485" t="s">
        <v>528</v>
      </c>
      <c r="C4" s="1485"/>
      <c r="D4" s="1485"/>
      <c r="E4" s="1511"/>
      <c r="F4" s="1511"/>
      <c r="G4" s="1511"/>
      <c r="H4" s="53"/>
      <c r="I4" s="53"/>
      <c r="J4" s="51"/>
      <c r="K4" s="51"/>
      <c r="L4" s="51"/>
      <c r="M4" s="51"/>
      <c r="N4" s="51"/>
    </row>
    <row r="5" spans="2:14">
      <c r="B5" s="23" t="s">
        <v>2</v>
      </c>
      <c r="C5" s="172"/>
      <c r="D5" s="210" t="str">
        <f>'RFM input'!G$60</f>
        <v>2015-16</v>
      </c>
      <c r="E5" s="210" t="str">
        <f>'RFM input'!H$60</f>
        <v>2016-17</v>
      </c>
      <c r="F5" s="210" t="str">
        <f>'RFM input'!I$60</f>
        <v>2017-18</v>
      </c>
      <c r="G5" s="210" t="str">
        <f>'RFM input'!J$60</f>
        <v>2018-19</v>
      </c>
      <c r="H5" s="210" t="str">
        <f>'RFM input'!K$60</f>
        <v>2019-20</v>
      </c>
      <c r="I5" s="210" t="str">
        <f>'RFM input'!L$60</f>
        <v>2020-21</v>
      </c>
      <c r="J5" s="210" t="str">
        <f>'RFM input'!M$60</f>
        <v>2021-22</v>
      </c>
      <c r="K5" s="210" t="str">
        <f>'RFM input'!N$60</f>
        <v>2022-23</v>
      </c>
      <c r="L5" s="210" t="str">
        <f>'RFM input'!O$60</f>
        <v>2023-24</v>
      </c>
      <c r="M5" s="210" t="str">
        <f>'RFM input'!P$60</f>
        <v>2024-25</v>
      </c>
      <c r="N5" s="210" t="str">
        <f>'RFM input'!Q$60</f>
        <v>2025-26</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f>'RFM input'!$F$21</f>
        <v>0</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6">
      <c r="B59" s="1485" t="s">
        <v>529</v>
      </c>
      <c r="C59" s="1485"/>
      <c r="D59" s="1485"/>
      <c r="E59" s="1511"/>
      <c r="F59" s="1511"/>
      <c r="G59" s="1511"/>
      <c r="H59" s="53"/>
      <c r="I59" s="53"/>
      <c r="J59" s="51"/>
      <c r="K59" s="51"/>
      <c r="L59" s="51"/>
      <c r="M59" s="51"/>
      <c r="N59" s="51"/>
    </row>
    <row r="60" spans="2:16">
      <c r="B60" s="23" t="s">
        <v>2</v>
      </c>
      <c r="C60" s="172"/>
      <c r="D60" s="210" t="str">
        <f>'RFM input'!G$60</f>
        <v>2015-16</v>
      </c>
      <c r="E60" s="210" t="str">
        <f>'RFM input'!H$60</f>
        <v>2016-17</v>
      </c>
      <c r="F60" s="210" t="str">
        <f>'RFM input'!I$60</f>
        <v>2017-18</v>
      </c>
      <c r="G60" s="210" t="str">
        <f>'RFM input'!J$60</f>
        <v>2018-19</v>
      </c>
      <c r="H60" s="210" t="str">
        <f>'RFM input'!K$60</f>
        <v>2019-20</v>
      </c>
      <c r="I60" s="210" t="str">
        <f>'RFM input'!L$60</f>
        <v>2020-21</v>
      </c>
      <c r="J60" s="210" t="str">
        <f>'RFM input'!M$60</f>
        <v>2021-22</v>
      </c>
      <c r="K60" s="210" t="str">
        <f>'RFM input'!N$60</f>
        <v>2022-23</v>
      </c>
      <c r="L60" s="210" t="str">
        <f>'RFM input'!O$60</f>
        <v>2023-24</v>
      </c>
      <c r="M60" s="210" t="str">
        <f>'RFM input'!P$60</f>
        <v>2024-25</v>
      </c>
      <c r="N60" s="210" t="str">
        <f>'RFM input'!Q$60</f>
        <v>2025-26</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f>'RFM input'!$F$21</f>
        <v>0</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6">
      <c r="B114" s="1485" t="s">
        <v>530</v>
      </c>
      <c r="C114" s="1485"/>
      <c r="D114" s="1485"/>
      <c r="E114" s="1511"/>
      <c r="F114" s="1511"/>
      <c r="G114" s="1511"/>
      <c r="H114" s="53"/>
      <c r="I114" s="53"/>
      <c r="J114" s="51"/>
      <c r="K114" s="51"/>
      <c r="L114" s="51"/>
      <c r="M114" s="51"/>
      <c r="N114" s="51"/>
    </row>
    <row r="115" spans="2:14">
      <c r="B115" s="213" t="s">
        <v>2</v>
      </c>
      <c r="C115" s="172"/>
      <c r="D115" s="210" t="str">
        <f>'RFM input'!G$60</f>
        <v>2015-16</v>
      </c>
      <c r="E115" s="210" t="str">
        <f>'RFM input'!H$60</f>
        <v>2016-17</v>
      </c>
      <c r="F115" s="210" t="str">
        <f>'RFM input'!I$60</f>
        <v>2017-18</v>
      </c>
      <c r="G115" s="210" t="str">
        <f>'RFM input'!J$60</f>
        <v>2018-19</v>
      </c>
      <c r="H115" s="210" t="str">
        <f>'RFM input'!K$60</f>
        <v>2019-20</v>
      </c>
      <c r="I115" s="210" t="str">
        <f>'RFM input'!L$60</f>
        <v>2020-21</v>
      </c>
      <c r="J115" s="210" t="str">
        <f>'RFM input'!M$60</f>
        <v>2021-22</v>
      </c>
      <c r="K115" s="210" t="str">
        <f>'RFM input'!N$60</f>
        <v>2022-23</v>
      </c>
      <c r="L115" s="210" t="str">
        <f>'RFM input'!O$60</f>
        <v>2023-24</v>
      </c>
      <c r="M115" s="210" t="str">
        <f>'RFM input'!P$60</f>
        <v>2024-25</v>
      </c>
      <c r="N115" s="210" t="str">
        <f>'RFM input'!Q$60</f>
        <v>2025-26</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f>'RFM input'!$F$21</f>
        <v>0</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6">
      <c r="B169" s="1485" t="s">
        <v>531</v>
      </c>
      <c r="C169" s="1485"/>
      <c r="D169" s="1485"/>
      <c r="E169" s="1511"/>
      <c r="F169" s="1511"/>
      <c r="G169" s="1511"/>
      <c r="H169" s="53"/>
      <c r="I169" s="53"/>
      <c r="J169" s="51"/>
      <c r="K169" s="51"/>
      <c r="L169" s="51"/>
      <c r="M169" s="51"/>
      <c r="N169" s="51"/>
    </row>
    <row r="170" spans="2:14">
      <c r="B170" s="23" t="s">
        <v>2</v>
      </c>
      <c r="C170" s="172"/>
      <c r="D170" s="210" t="str">
        <f>'RFM input'!G$60</f>
        <v>2015-16</v>
      </c>
      <c r="E170" s="210" t="str">
        <f>'RFM input'!H$60</f>
        <v>2016-17</v>
      </c>
      <c r="F170" s="210" t="str">
        <f>'RFM input'!I$60</f>
        <v>2017-18</v>
      </c>
      <c r="G170" s="210" t="str">
        <f>'RFM input'!J$60</f>
        <v>2018-19</v>
      </c>
      <c r="H170" s="210" t="str">
        <f>'RFM input'!K$60</f>
        <v>2019-20</v>
      </c>
      <c r="I170" s="210" t="str">
        <f>'RFM input'!L$60</f>
        <v>2020-21</v>
      </c>
      <c r="J170" s="210" t="str">
        <f>'RFM input'!M$60</f>
        <v>2021-22</v>
      </c>
      <c r="K170" s="210" t="str">
        <f>'RFM input'!N$60</f>
        <v>2022-23</v>
      </c>
      <c r="L170" s="210" t="str">
        <f>'RFM input'!O$60</f>
        <v>2023-24</v>
      </c>
      <c r="M170" s="210" t="str">
        <f>'RFM input'!P$60</f>
        <v>2024-25</v>
      </c>
      <c r="N170" s="210" t="str">
        <f>'RFM input'!Q$60</f>
        <v>2025-26</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f>'RFM input'!$F$21</f>
        <v>0</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6">
      <c r="B224" s="1485" t="s">
        <v>529</v>
      </c>
      <c r="C224" s="1485"/>
      <c r="D224" s="1485"/>
      <c r="E224" s="1511"/>
      <c r="F224" s="1511"/>
      <c r="G224" s="1511"/>
      <c r="H224" s="53"/>
      <c r="I224" s="53"/>
      <c r="J224" s="51"/>
      <c r="K224" s="51"/>
      <c r="L224" s="51"/>
      <c r="M224" s="51"/>
      <c r="N224" s="51"/>
    </row>
    <row r="225" spans="2:14">
      <c r="B225" s="23" t="s">
        <v>2</v>
      </c>
      <c r="C225" s="172"/>
      <c r="D225" s="210" t="str">
        <f>'RFM input'!G$60</f>
        <v>2015-16</v>
      </c>
      <c r="E225" s="210" t="str">
        <f>'RFM input'!H$60</f>
        <v>2016-17</v>
      </c>
      <c r="F225" s="210" t="str">
        <f>'RFM input'!I$60</f>
        <v>2017-18</v>
      </c>
      <c r="G225" s="210" t="str">
        <f>'RFM input'!J$60</f>
        <v>2018-19</v>
      </c>
      <c r="H225" s="210" t="str">
        <f>'RFM input'!K$60</f>
        <v>2019-20</v>
      </c>
      <c r="I225" s="210" t="str">
        <f>'RFM input'!L$60</f>
        <v>2020-21</v>
      </c>
      <c r="J225" s="210" t="str">
        <f>'RFM input'!M$60</f>
        <v>2021-22</v>
      </c>
      <c r="K225" s="210" t="str">
        <f>'RFM input'!N$60</f>
        <v>2022-23</v>
      </c>
      <c r="L225" s="210" t="str">
        <f>'RFM input'!O$60</f>
        <v>2023-24</v>
      </c>
      <c r="M225" s="210" t="str">
        <f>'RFM input'!P$60</f>
        <v>2024-25</v>
      </c>
      <c r="N225" s="210" t="str">
        <f>'RFM input'!Q$60</f>
        <v>2025-26</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f>'RFM input'!$F$21</f>
        <v>0</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6">
      <c r="B279" s="1485" t="s">
        <v>532</v>
      </c>
      <c r="C279" s="1485"/>
      <c r="D279" s="1485"/>
      <c r="E279" s="1511"/>
      <c r="F279" s="1511"/>
      <c r="G279" s="1511"/>
      <c r="H279" s="53"/>
      <c r="I279" s="53"/>
      <c r="J279" s="51"/>
      <c r="K279" s="51"/>
      <c r="L279" s="51"/>
      <c r="M279" s="51"/>
      <c r="N279" s="51"/>
    </row>
    <row r="280" spans="2:14">
      <c r="B280" s="213" t="s">
        <v>2</v>
      </c>
      <c r="C280" s="172"/>
      <c r="D280" s="210" t="str">
        <f>'RFM input'!G$60</f>
        <v>2015-16</v>
      </c>
      <c r="E280" s="210" t="str">
        <f>'RFM input'!H$60</f>
        <v>2016-17</v>
      </c>
      <c r="F280" s="210" t="str">
        <f>'RFM input'!I$60</f>
        <v>2017-18</v>
      </c>
      <c r="G280" s="210" t="str">
        <f>'RFM input'!J$60</f>
        <v>2018-19</v>
      </c>
      <c r="H280" s="210" t="str">
        <f>'RFM input'!K$60</f>
        <v>2019-20</v>
      </c>
      <c r="I280" s="210" t="str">
        <f>'RFM input'!L$60</f>
        <v>2020-21</v>
      </c>
      <c r="J280" s="210" t="str">
        <f>'RFM input'!M$60</f>
        <v>2021-22</v>
      </c>
      <c r="K280" s="210" t="str">
        <f>'RFM input'!N$60</f>
        <v>2022-23</v>
      </c>
      <c r="L280" s="210" t="str">
        <f>'RFM input'!O$60</f>
        <v>2023-24</v>
      </c>
      <c r="M280" s="210" t="str">
        <f>'RFM input'!P$60</f>
        <v>2024-25</v>
      </c>
      <c r="N280" s="210" t="str">
        <f>'RFM input'!Q$60</f>
        <v>2025-26</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f>'RFM input'!$F$21</f>
        <v>0</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2022-11-08T21:56:43Z</dcterms:modified>
  <cp:contentStatus>CURRENT @ 20191211</cp:contentStatus>
</cp:coreProperties>
</file>