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omments3.xml" ContentType="application/vnd.openxmlformats-officedocument.spreadsheetml.comments+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comments4.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codeName="ThisWorkbook"/>
  <mc:AlternateContent xmlns:mc="http://schemas.openxmlformats.org/markup-compatibility/2006">
    <mc:Choice Requires="x15">
      <x15ac:absPath xmlns:x15ac="http://schemas.microsoft.com/office/spreadsheetml/2010/11/ac" url="https://apamscloud.sharepoint.com/sites/RegulatoryReportingTeam/Shared Documents/Part 10/1. FY25/Non-scheme pipelines/11. Publication/Bi Directional &amp; WACC/"/>
    </mc:Choice>
  </mc:AlternateContent>
  <xr:revisionPtr revIDLastSave="5823" documentId="13_ncr:1_{EFE1A19F-1C4E-45C4-AD17-2498DF0C120F}" xr6:coauthVersionLast="47" xr6:coauthVersionMax="47" xr10:uidLastSave="{3736D6EC-58BB-4EFB-B4F3-54FBBD83DACC}"/>
  <bookViews>
    <workbookView xWindow="-120" yWindow="-120" windowWidth="51840" windowHeight="21120" tabRatio="931" xr2:uid="{F54BDE2C-7041-47BE-888B-A59966D83DD2}"/>
  </bookViews>
  <sheets>
    <sheet name="Cover" sheetId="11" r:id="rId1"/>
    <sheet name="Contents" sheetId="4" r:id="rId2"/>
    <sheet name="Financial summary" sheetId="69" r:id="rId3"/>
    <sheet name="Pricing benchmarks summary" sheetId="84" r:id="rId4"/>
    <sheet name="Data visualisation" sheetId="82" r:id="rId5"/>
    <sheet name="1. Pipeline information" sheetId="44" r:id="rId6"/>
    <sheet name="2. Revenue and expenses" sheetId="5" r:id="rId7"/>
    <sheet name="2.1 Profit &amp; Loss by component" sheetId="76" r:id="rId8"/>
    <sheet name="2.2 Allocation to services" sheetId="56" r:id="rId9"/>
    <sheet name="2.3 Revenue contributions " sheetId="57" r:id="rId10"/>
    <sheet name="2.4 Indirect revenue" sheetId="45" r:id="rId11"/>
    <sheet name="2.5 Shared expenses" sheetId="16" r:id="rId12"/>
    <sheet name="Sheet1" sheetId="119" state="hidden" r:id="rId13"/>
    <sheet name="3.1 Depreciated Book Value" sheetId="6" r:id="rId14"/>
    <sheet name="3.2 Regulatory Asset Base" sheetId="87" r:id="rId15"/>
    <sheet name="3.3 Asset useful life" sheetId="55" r:id="rId16"/>
    <sheet name="3.4 Asset impairment" sheetId="63" r:id="rId17"/>
    <sheet name="3.5 Depreciation amortisation" sheetId="34" r:id="rId18"/>
    <sheet name="3.6 Shared supporting assets" sheetId="59" r:id="rId19"/>
    <sheet name="Auditor's Report Statement" sheetId="132" r:id="rId20"/>
    <sheet name="4. Recovered Capital" sheetId="47" r:id="rId21"/>
    <sheet name="4.1 Pipelines capex" sheetId="66" r:id="rId22"/>
    <sheet name="Auditor's Review Report Capex" sheetId="133" r:id="rId23"/>
    <sheet name="5. Historical demand" sheetId="74" r:id="rId24"/>
    <sheet name="Auditor's Review Report Demand" sheetId="134" r:id="rId25"/>
    <sheet name="6. Pricing template" sheetId="80" r:id="rId26"/>
    <sheet name="7. Amendment record" sheetId="90" r:id="rId27"/>
    <sheet name="E1. Revenue Data (NIU)" sheetId="95" state="hidden" r:id="rId28"/>
    <sheet name="Amendment record" sheetId="67" state="hidden" r:id="rId29"/>
  </sheets>
  <definedNames>
    <definedName name="\0">#REF!</definedName>
    <definedName name="\A">#REF!</definedName>
    <definedName name="\B">#REF!</definedName>
    <definedName name="\C">#REF!</definedName>
    <definedName name="\M">#REF!</definedName>
    <definedName name="______UAG99">#REF!</definedName>
    <definedName name="_____cpi1">#REF!</definedName>
    <definedName name="_____CPI2">#REF!</definedName>
    <definedName name="_____IRR1">#REF!</definedName>
    <definedName name="_____LUT1">#REF!</definedName>
    <definedName name="_____NPV1">#REF!</definedName>
    <definedName name="_____UAG99">#REF!</definedName>
    <definedName name="____cpi1">#REF!</definedName>
    <definedName name="____CPI2">#REF!</definedName>
    <definedName name="____IRR1">#REF!</definedName>
    <definedName name="____IZS2">#REF!</definedName>
    <definedName name="____LUT1">#REF!</definedName>
    <definedName name="____NPV1">#REF!</definedName>
    <definedName name="____NPV2">#REF!</definedName>
    <definedName name="____UAG99">#REF!</definedName>
    <definedName name="___cpi1">#REF!</definedName>
    <definedName name="___CPI2">#REF!</definedName>
    <definedName name="___IRR1">#REF!</definedName>
    <definedName name="___IZS2">#REF!</definedName>
    <definedName name="___LUT1">#REF!</definedName>
    <definedName name="___May08">#REF!</definedName>
    <definedName name="___NPV1">#REF!</definedName>
    <definedName name="___NPV2">#REF!</definedName>
    <definedName name="___Tot220">#REF!</definedName>
    <definedName name="___Tot237">#REF!</definedName>
    <definedName name="___Tot257">#REF!</definedName>
    <definedName name="___Tot258">#REF!</definedName>
    <definedName name="___UAG99">#REF!</definedName>
    <definedName name="__123Graph_A" hidden="1">#REF!</definedName>
    <definedName name="__123Graph_A5YRAVER" hidden="1">#REF!</definedName>
    <definedName name="__123Graph_AAVDDAYS" hidden="1">#REF!</definedName>
    <definedName name="__123Graph_B" hidden="1">#REF!</definedName>
    <definedName name="__123Graph_B5YRAVER" hidden="1">#REF!</definedName>
    <definedName name="__123Graph_BAVDDAYS" hidden="1">#REF!</definedName>
    <definedName name="__123Graph_C" hidden="1">#REF!</definedName>
    <definedName name="__123Graph_CAVDDAYS" hidden="1">#REF!</definedName>
    <definedName name="__123Graph_D5YRAVER" hidden="1">#REF!</definedName>
    <definedName name="__123Graph_X" hidden="1">#REF!</definedName>
    <definedName name="__123Graph_X5YRAVER" hidden="1">#REF!</definedName>
    <definedName name="__123Graph_XAVDDAYS" hidden="1">#REF!</definedName>
    <definedName name="__cpi1">#REF!</definedName>
    <definedName name="__CPI2">#REF!</definedName>
    <definedName name="__DAT1">#REF!</definedName>
    <definedName name="__DAT14">#REF!</definedName>
    <definedName name="__DAT5">#REF!</definedName>
    <definedName name="__DAT6">#REF!</definedName>
    <definedName name="__DataSet1__">#REF!</definedName>
    <definedName name="__DataSet2__">#REF!</definedName>
    <definedName name="__DataSet3__">#REF!</definedName>
    <definedName name="__DataSet4__">#REF!</definedName>
    <definedName name="__int997">#REF!</definedName>
    <definedName name="__IRR1">#REF!</definedName>
    <definedName name="__IZS2">#REF!</definedName>
    <definedName name="__JUN09">#REF!</definedName>
    <definedName name="__LUT1">#REF!</definedName>
    <definedName name="__MAIN__">#REF!</definedName>
    <definedName name="__May08">#REF!</definedName>
    <definedName name="__NPV1">#REF!</definedName>
    <definedName name="__NPV2">#REF!</definedName>
    <definedName name="__PL1">#REF!</definedName>
    <definedName name="__TableData__">#REF!</definedName>
    <definedName name="__TB1">#REF!</definedName>
    <definedName name="__Tot220">#REF!</definedName>
    <definedName name="__Tot221">#REF!</definedName>
    <definedName name="__Tot232">#REF!</definedName>
    <definedName name="__Tot237">#REF!</definedName>
    <definedName name="__Tot257">#REF!</definedName>
    <definedName name="__Tot258">#REF!</definedName>
    <definedName name="__UAG99">#REF!</definedName>
    <definedName name="_0020">#REF!</definedName>
    <definedName name="_0030">#REF!</definedName>
    <definedName name="_0270">#REF!</definedName>
    <definedName name="_0700">#REF!</definedName>
    <definedName name="_0701">#REF!</definedName>
    <definedName name="_0710">#REF!</definedName>
    <definedName name="_1__123Graph_ACHART_1" hidden="1">#REF!</definedName>
    <definedName name="_10__123Graph_ACHART_2" hidden="1">#REF!</definedName>
    <definedName name="_10__123Graph_ACHART_3" hidden="1">#REF!</definedName>
    <definedName name="_10__123Graph_ACHART_9" hidden="1">#REF!</definedName>
    <definedName name="_100__123Graph_ACHART_9" hidden="1">#REF!</definedName>
    <definedName name="_100__123Graph_DCHART_25" hidden="1">#REF!</definedName>
    <definedName name="_101__123Graph_CCHART_2" hidden="1">#REF!</definedName>
    <definedName name="_102__123Graph_CCHART_26" hidden="1">#REF!</definedName>
    <definedName name="_103__123Graph_BCHART_5" hidden="1">#REF!</definedName>
    <definedName name="_104__123Graph_DCHART_7" hidden="1">#REF!</definedName>
    <definedName name="_105__123Graph_ECHART_26" hidden="1">#REF!</definedName>
    <definedName name="_107__123Graph_CCHART_4" hidden="1">#REF!</definedName>
    <definedName name="_109__123Graph_XCHART_1" hidden="1">#REF!</definedName>
    <definedName name="_11__123Graph_ACHART_1" hidden="1">#REF!</definedName>
    <definedName name="_11__123Graph_ACHART_25" hidden="1">#REF!</definedName>
    <definedName name="_11__123Graph_ACHART_5" hidden="1">#REF!</definedName>
    <definedName name="_11__123Graph_BCHART_1" hidden="1">#REF!</definedName>
    <definedName name="_110__123Graph_BCHART_6" hidden="1">#REF!</definedName>
    <definedName name="_111__123Graph_BCHART_1" hidden="1">#REF!</definedName>
    <definedName name="_112__123Graph_BCHART_13" hidden="1">#REF!</definedName>
    <definedName name="_112__123Graph_CCHART_5" hidden="1">#REF!</definedName>
    <definedName name="_113__123Graph_BCHART_19" hidden="1">#REF!</definedName>
    <definedName name="_113__123Graph_XCHART_8" hidden="1">#REF!</definedName>
    <definedName name="_117__123Graph_BCHART_7" hidden="1">#REF!</definedName>
    <definedName name="_117__123Graph_CCHART_6" hidden="1">#REF!</definedName>
    <definedName name="_12__123Graph_BCHART_13" hidden="1">#REF!</definedName>
    <definedName name="_122__123Graph_CCHART_7" hidden="1">#REF!</definedName>
    <definedName name="_123__123Graph_DCHART_25" hidden="1">#REF!</definedName>
    <definedName name="_123Graph_A1" hidden="1">#REF!</definedName>
    <definedName name="_124__123Graph_BCHART_2" hidden="1">#REF!</definedName>
    <definedName name="_124__123Graph_BCHART_8" hidden="1">#REF!</definedName>
    <definedName name="_125__123Graph_BCHART_25" hidden="1">#REF!</definedName>
    <definedName name="_126__123Graph_BCHART_26" hidden="1">#REF!</definedName>
    <definedName name="_128__123Graph_DCHART_7" hidden="1">#REF!</definedName>
    <definedName name="_129__123Graph_ECHART_26" hidden="1">#REF!</definedName>
    <definedName name="_13__123Graph_ACHART_3" hidden="1">#REF!</definedName>
    <definedName name="_13__123Graph_ACHART_4" hidden="1">#REF!</definedName>
    <definedName name="_13__123Graph_ACHART_6" hidden="1">#REF!</definedName>
    <definedName name="_13__123Graph_BCHART_19" hidden="1">#REF!</definedName>
    <definedName name="_131__123Graph_BCHART_9" hidden="1">#REF!</definedName>
    <definedName name="_132__123Graph_CCHART_12" hidden="1">#REF!</definedName>
    <definedName name="_134__123Graph_XCHART_1" hidden="1">#REF!</definedName>
    <definedName name="_137__123Graph_BCHART_3" hidden="1">#REF!</definedName>
    <definedName name="_139__123Graph_CCHART_2" hidden="1">#REF!</definedName>
    <definedName name="_139__123Graph_XCHART_8" hidden="1">#REF!</definedName>
    <definedName name="_14__123Graph_ACHART_2" hidden="1">#REF!</definedName>
    <definedName name="_14__123Graph_BCHART_2" hidden="1">#REF!</definedName>
    <definedName name="_140__123Graph_CCHART_26" hidden="1">#REF!</definedName>
    <definedName name="_147__123Graph_CCHART_4" hidden="1">#REF!</definedName>
    <definedName name="_148__123Graph_BCHART_4" hidden="1">#REF!</definedName>
    <definedName name="_15__123Graph_ACHART_25" hidden="1">#REF!</definedName>
    <definedName name="_15__123Graph_ACHART_7" hidden="1">#REF!</definedName>
    <definedName name="_15__123Graph_BCHART_25" hidden="1">#REF!</definedName>
    <definedName name="_154__123Graph_CCHART_5" hidden="1">#REF!</definedName>
    <definedName name="_159__123Graph_BCHART_5" hidden="1">#REF!</definedName>
    <definedName name="_16__123Graph_ACHART_3" hidden="1">#REF!</definedName>
    <definedName name="_16__123Graph_ACHART_5" hidden="1">#REF!</definedName>
    <definedName name="_16__123Graph_BCHART_26" hidden="1">#REF!</definedName>
    <definedName name="_161__123Graph_CCHART_6" hidden="1">#REF!</definedName>
    <definedName name="_1620">#REF!</definedName>
    <definedName name="_1621">#REF!</definedName>
    <definedName name="_1630">#REF!</definedName>
    <definedName name="_1631">#REF!</definedName>
    <definedName name="_1632">#REF!</definedName>
    <definedName name="_1633">#REF!</definedName>
    <definedName name="_1636">#REF!</definedName>
    <definedName name="_1638">#REF!</definedName>
    <definedName name="_1640">#REF!</definedName>
    <definedName name="_1642">#REF!</definedName>
    <definedName name="_1649">#REF!</definedName>
    <definedName name="_1670">#REF!</definedName>
    <definedName name="_1671">#REF!</definedName>
    <definedName name="_168__123Graph_CCHART_7" hidden="1">#REF!</definedName>
    <definedName name="_169__123Graph_DCHART_25" hidden="1">#REF!</definedName>
    <definedName name="_17__123Graph_ACHART_4" hidden="1">#REF!</definedName>
    <definedName name="_17__123Graph_ACHART_8" hidden="1">#REF!</definedName>
    <definedName name="_17__123Graph_BCHART_3" hidden="1">#REF!</definedName>
    <definedName name="_170__123Graph_BCHART_6" hidden="1">#REF!</definedName>
    <definedName name="_1711">#REF!</definedName>
    <definedName name="_1720">#REF!</definedName>
    <definedName name="_176__123Graph_DCHART_7" hidden="1">#REF!</definedName>
    <definedName name="_177__123Graph_ECHART_26" hidden="1">#REF!</definedName>
    <definedName name="_18__123Graph_BCHART_4" hidden="1">#REF!</definedName>
    <definedName name="_181__123Graph_BCHART_7" hidden="1">#REF!</definedName>
    <definedName name="_184__123Graph_XCHART_1" hidden="1">#REF!</definedName>
    <definedName name="_19__123Graph_ACHART_6" hidden="1">#REF!</definedName>
    <definedName name="_19__123Graph_ACHART_9" hidden="1">#REF!</definedName>
    <definedName name="_19__123Graph_BCHART_5" hidden="1">#REF!</definedName>
    <definedName name="_191__123Graph_XCHART_8" hidden="1">#REF!</definedName>
    <definedName name="_192__123Graph_BCHART_8" hidden="1">#REF!</definedName>
    <definedName name="_1BriCY">OFFSET(#REF!,,COUNT(#REF!)-36,,36)</definedName>
    <definedName name="_1BriMAT">OFFSET(#REF!,,COUNT(#REF!)-36,,36)</definedName>
    <definedName name="_1BriPY">OFFSET(#REF!,,COUNT(#REF!)-36,,24)</definedName>
    <definedName name="_1GlaCY">OFFSET(#REF!,,COUNT(#REF!)-36,,36)</definedName>
    <definedName name="_1GlaMAT">OFFSET(#REF!,,COUNT(#REF!)-36,,36)</definedName>
    <definedName name="_1GlaPY">OFFSET(#REF!,,COUNT(#REF!)-36,,24)</definedName>
    <definedName name="_1Ips_RivCY">OFFSET(#REF!,,COUNT(#REF!)-36,,36)</definedName>
    <definedName name="_1Ips_RivMAT">OFFSET(#REF!,,COUNT(#REF!)-36,,36)</definedName>
    <definedName name="_1Ips_RivPY">OFFSET(#REF!,,COUNT(#REF!)-36,,24)</definedName>
    <definedName name="_1IpsCY">OFFSET(#REF!,,COUNT(#REF!)-36,,36)</definedName>
    <definedName name="_1IpsMAT">OFFSET(#REF!,,COUNT(#REF!)-36,,36)</definedName>
    <definedName name="_1IpsPY">OFFSET(#REF!,,COUNT(#REF!)-36,,24)</definedName>
    <definedName name="_1LocCY">OFFSET(#REF!,,COUNT(#REF!)-36,,36)</definedName>
    <definedName name="_1LocMAT">OFFSET(#REF!,,COUNT(#REF!)-36,,36)</definedName>
    <definedName name="_1LocPY">OFFSET(#REF!,,COUNT(#REF!)-36,,24)</definedName>
    <definedName name="_1QldCY">OFFSET(#REF!,,COUNT(#REF!)-36,,36)</definedName>
    <definedName name="_1QldMAT">OFFSET(#REF!,,COUNT(#REF!)-36,,36)</definedName>
    <definedName name="_1QldPY">OFFSET(#REF!,,COUNT(#REF!)-36,,24)</definedName>
    <definedName name="_1RocCY">OFFSET(#REF!,,COUNT(#REF!)-36,,36)</definedName>
    <definedName name="_1RocMAT">OFFSET(#REF!,,COUNT(#REF!)-36,,36)</definedName>
    <definedName name="_1RocPY">OFFSET(#REF!,,COUNT(#REF!)-36,,24)</definedName>
    <definedName name="_1WidCY">OFFSET(#REF!,,COUNT(#REF!)-36,,36)</definedName>
    <definedName name="_1WidMAT">OFFSET(#REF!,,COUNT(#REF!)-36,,36)</definedName>
    <definedName name="_1WidPY">OFFSET(#REF!,,COUNT(#REF!)-36,,24)</definedName>
    <definedName name="_2__123Graph_ACHART_1" hidden="1">#REF!</definedName>
    <definedName name="_2__123Graph_ACHART_2" hidden="1">#REF!</definedName>
    <definedName name="_20__123Graph_BCHART_6" hidden="1">#REF!</definedName>
    <definedName name="_200501">#REF!</definedName>
    <definedName name="_203__123Graph_BCHART_9" hidden="1">#REF!</definedName>
    <definedName name="_204__123Graph_CCHART_12" hidden="1">#REF!</definedName>
    <definedName name="_21__123Graph_ACHART_4" hidden="1">#REF!</definedName>
    <definedName name="_21__123Graph_ACHART_5" hidden="1">#REF!</definedName>
    <definedName name="_21__123Graph_BCHART_1" hidden="1">#REF!</definedName>
    <definedName name="_21__123Graph_BCHART_7" hidden="1">#REF!</definedName>
    <definedName name="_215__123Graph_CCHART_2" hidden="1">#REF!</definedName>
    <definedName name="_216__123Graph_CCHART_26" hidden="1">#REF!</definedName>
    <definedName name="_22__123Graph_ACHART_2" hidden="1">#REF!</definedName>
    <definedName name="_22__123Graph_ACHART_3" hidden="1">#REF!</definedName>
    <definedName name="_22__123Graph_ACHART_7" hidden="1">#REF!</definedName>
    <definedName name="_22__123Graph_BCHART_13" hidden="1">#REF!</definedName>
    <definedName name="_22__123Graph_BCHART_8" hidden="1">#REF!</definedName>
    <definedName name="_227__123Graph_CCHART_4" hidden="1">#REF!</definedName>
    <definedName name="_23__123Graph_ACHART_25" hidden="1">#REF!</definedName>
    <definedName name="_23__123Graph_BCHART_19" hidden="1">#REF!</definedName>
    <definedName name="_23__123Graph_BCHART_9" hidden="1">#REF!</definedName>
    <definedName name="_238__123Graph_CCHART_5" hidden="1">#REF!</definedName>
    <definedName name="_24__123Graph_CCHART_12" hidden="1">#REF!</definedName>
    <definedName name="_249__123Graph_CCHART_6" hidden="1">#REF!</definedName>
    <definedName name="_25__123Graph_ACHART_6" hidden="1">#REF!</definedName>
    <definedName name="_25__123Graph_ACHART_8" hidden="1">#REF!</definedName>
    <definedName name="_25__123Graph_BCHART_2" hidden="1">#REF!</definedName>
    <definedName name="_25__123Graph_CCHART_2" hidden="1">#REF!</definedName>
    <definedName name="_2500">#REF!</definedName>
    <definedName name="_26__123Graph_ACHART_5" hidden="1">#REF!</definedName>
    <definedName name="_26__123Graph_BCHART_25" hidden="1">#REF!</definedName>
    <definedName name="_26__123Graph_CCHART_26" hidden="1">#REF!</definedName>
    <definedName name="_260__123Graph_CCHART_7" hidden="1">#REF!</definedName>
    <definedName name="_261__123Graph_DCHART_25" hidden="1">#REF!</definedName>
    <definedName name="_2632">#REF!</definedName>
    <definedName name="_2636">#REF!</definedName>
    <definedName name="_27__123Graph_BCHART_26" hidden="1">#REF!</definedName>
    <definedName name="_27__123Graph_CCHART_4" hidden="1">#REF!</definedName>
    <definedName name="_272__123Graph_DCHART_7" hidden="1">#REF!</definedName>
    <definedName name="_273__123Graph_ECHART_26" hidden="1">#REF!</definedName>
    <definedName name="_28__123Graph_ACHART_9" hidden="1">#REF!</definedName>
    <definedName name="_28__123Graph_CCHART_5" hidden="1">#REF!</definedName>
    <definedName name="_284__123Graph_XCHART_1" hidden="1">#REF!</definedName>
    <definedName name="_29__123Graph_ACHART_4" hidden="1">#REF!</definedName>
    <definedName name="_29__123Graph_ACHART_7" hidden="1">#REF!</definedName>
    <definedName name="_29__123Graph_BCHART_3" hidden="1">#REF!</definedName>
    <definedName name="_29__123Graph_CCHART_6" hidden="1">#REF!</definedName>
    <definedName name="_295__123Graph_XCHART_8" hidden="1">#REF!</definedName>
    <definedName name="_2981">#REF!</definedName>
    <definedName name="_2TJ_Day">#REF!</definedName>
    <definedName name="_3__123Graph_ACHART_1" hidden="1">#REF!</definedName>
    <definedName name="_3__123Graph_ACHART_25" hidden="1">#REF!</definedName>
    <definedName name="_30__123Graph_CCHART_7" hidden="1">#REF!</definedName>
    <definedName name="_30_Sep_08">#REF!</definedName>
    <definedName name="_31__123Graph_ACHART_6" hidden="1">#REF!</definedName>
    <definedName name="_31__123Graph_BCHART_1" hidden="1">#REF!</definedName>
    <definedName name="_31__123Graph_BCHART_4" hidden="1">#REF!</definedName>
    <definedName name="_31__123Graph_DCHART_25" hidden="1">#REF!</definedName>
    <definedName name="_3110">#REF!</definedName>
    <definedName name="_3133_313301">#REF!</definedName>
    <definedName name="_32__123Graph_BCHART_13" hidden="1">#REF!</definedName>
    <definedName name="_32__123Graph_DCHART_7" hidden="1">#REF!</definedName>
    <definedName name="_3200">#REF!</definedName>
    <definedName name="_3201">#REF!</definedName>
    <definedName name="_3231">#REF!</definedName>
    <definedName name="_3270">#REF!</definedName>
    <definedName name="_3271">#REF!</definedName>
    <definedName name="_33__123Graph_ACHART_8" hidden="1">#REF!</definedName>
    <definedName name="_33__123Graph_BCHART_19" hidden="1">#REF!</definedName>
    <definedName name="_33__123Graph_BCHART_5" hidden="1">#REF!</definedName>
    <definedName name="_33__123Graph_ECHART_26" hidden="1">#REF!</definedName>
    <definedName name="_34__123Graph_ACHART_3" hidden="1">#REF!</definedName>
    <definedName name="_34__123Graph_XCHART_1" hidden="1">#REF!</definedName>
    <definedName name="_35__123Graph_BCHART_6" hidden="1">#REF!</definedName>
    <definedName name="_35__123Graph_XCHART_8" hidden="1">#REF!</definedName>
    <definedName name="_3500">#REF!</definedName>
    <definedName name="_3503">#REF!</definedName>
    <definedName name="_3509">#REF!</definedName>
    <definedName name="_36__123Graph_ACHART_5" hidden="1">#REF!</definedName>
    <definedName name="_36__123Graph_ACHART_7" hidden="1">#REF!</definedName>
    <definedName name="_36__123Graph_BCHART_2" hidden="1">#REF!</definedName>
    <definedName name="_37__123Graph_ACHART_9" hidden="1">#REF!</definedName>
    <definedName name="_37__123Graph_BCHART_25" hidden="1">#REF!</definedName>
    <definedName name="_37__123Graph_BCHART_7" hidden="1">#REF!</definedName>
    <definedName name="_38__123Graph_BCHART_26" hidden="1">#REF!</definedName>
    <definedName name="_39__123Graph_BCHART_8" hidden="1">#REF!</definedName>
    <definedName name="_4__123Graph_ACHART_1" hidden="1">#REF!</definedName>
    <definedName name="_4__123Graph_ACHART_2" hidden="1">#REF!</definedName>
    <definedName name="_4__123Graph_ACHART_3" hidden="1">#REF!</definedName>
    <definedName name="_41__123Graph_ACHART_8" hidden="1">#REF!</definedName>
    <definedName name="_41__123Graph_BCHART_1" hidden="1">#REF!</definedName>
    <definedName name="_41__123Graph_BCHART_3" hidden="1">#REF!</definedName>
    <definedName name="_41__123Graph_BCHART_9" hidden="1">#REF!</definedName>
    <definedName name="_42__123Graph_BCHART_13" hidden="1">#REF!</definedName>
    <definedName name="_42__123Graph_CCHART_12" hidden="1">#REF!</definedName>
    <definedName name="_43__123Graph_ACHART_6" hidden="1">#REF!</definedName>
    <definedName name="_43__123Graph_BCHART_19" hidden="1">#REF!</definedName>
    <definedName name="_44__123Graph_BCHART_4" hidden="1">#REF!</definedName>
    <definedName name="_44__123Graph_CCHART_2" hidden="1">#REF!</definedName>
    <definedName name="_45__123Graph_ACHART_4" hidden="1">#REF!</definedName>
    <definedName name="_45__123Graph_CCHART_26" hidden="1">#REF!</definedName>
    <definedName name="_46__123Graph_ACHART_9" hidden="1">#REF!</definedName>
    <definedName name="_47__123Graph_BCHART_2" hidden="1">#REF!</definedName>
    <definedName name="_47__123Graph_BCHART_5" hidden="1">#REF!</definedName>
    <definedName name="_47__123Graph_CCHART_4" hidden="1">#REF!</definedName>
    <definedName name="_48__123Graph_BCHART_25" hidden="1">#REF!</definedName>
    <definedName name="_49__123Graph_BCHART_26" hidden="1">#REF!</definedName>
    <definedName name="_49__123Graph_CCHART_5" hidden="1">#REF!</definedName>
    <definedName name="_5__123Graph_ACHART_1" hidden="1">#REF!</definedName>
    <definedName name="_5__123Graph_ACHART_25" hidden="1">#REF!</definedName>
    <definedName name="_5__123Graph_ACHART_4" hidden="1">#REF!</definedName>
    <definedName name="_5_day_Peak">#REF!</definedName>
    <definedName name="_50__123Graph_ACHART_7" hidden="1">#REF!</definedName>
    <definedName name="_50__123Graph_BCHART_6" hidden="1">#REF!</definedName>
    <definedName name="_51__123Graph_BCHART_1" hidden="1">#REF!</definedName>
    <definedName name="_51__123Graph_CCHART_6" hidden="1">#REF!</definedName>
    <definedName name="_52__123Graph_BCHART_13" hidden="1">#REF!</definedName>
    <definedName name="_53__123Graph_BCHART_19" hidden="1">#REF!</definedName>
    <definedName name="_53__123Graph_BCHART_3" hidden="1">#REF!</definedName>
    <definedName name="_53__123Graph_BCHART_7" hidden="1">#REF!</definedName>
    <definedName name="_53__123Graph_CCHART_7" hidden="1">#REF!</definedName>
    <definedName name="_54__123Graph_DCHART_25" hidden="1">#REF!</definedName>
    <definedName name="_56__123Graph_ACHART_5" hidden="1">#REF!</definedName>
    <definedName name="_56__123Graph_BCHART_8" hidden="1">#REF!</definedName>
    <definedName name="_56__123Graph_DCHART_7" hidden="1">#REF!</definedName>
    <definedName name="_57__123Graph_ACHART_8" hidden="1">#REF!</definedName>
    <definedName name="_57__123Graph_BCHART_4" hidden="1">#REF!</definedName>
    <definedName name="_57__123Graph_ECHART_26" hidden="1">#REF!</definedName>
    <definedName name="_58__123Graph_BCHART_2" hidden="1">#REF!</definedName>
    <definedName name="_59__123Graph_BCHART_25" hidden="1">#REF!</definedName>
    <definedName name="_59__123Graph_BCHART_9" hidden="1">#REF!</definedName>
    <definedName name="_59__123Graph_XCHART_1" hidden="1">#REF!</definedName>
    <definedName name="_6__123Graph_ACHART_2" hidden="1">#REF!</definedName>
    <definedName name="_6__123Graph_ACHART_5" hidden="1">#REF!</definedName>
    <definedName name="_60__123Graph_BCHART_26" hidden="1">#REF!</definedName>
    <definedName name="_60__123Graph_CCHART_12" hidden="1">#REF!</definedName>
    <definedName name="_61__123Graph_BCHART_5" hidden="1">#REF!</definedName>
    <definedName name="_61__123Graph_XCHART_8" hidden="1">#REF!</definedName>
    <definedName name="_63__123Graph_CCHART_2" hidden="1">#REF!</definedName>
    <definedName name="_64__123Graph_ACHART_9" hidden="1">#REF!</definedName>
    <definedName name="_64__123Graph_CCHART_26" hidden="1">#REF!</definedName>
    <definedName name="_65__123Graph_BCHART_3" hidden="1">#REF!</definedName>
    <definedName name="_65__123Graph_BCHART_6" hidden="1">#REF!</definedName>
    <definedName name="_67__123Graph_ACHART_6" hidden="1">#REF!</definedName>
    <definedName name="_67__123Graph_CCHART_4" hidden="1">#REF!</definedName>
    <definedName name="_69__123Graph_BCHART_7" hidden="1">#REF!</definedName>
    <definedName name="_7__123Graph_ACHART_1" hidden="1">#REF!</definedName>
    <definedName name="_7__123Graph_ACHART_25" hidden="1">#REF!</definedName>
    <definedName name="_7__123Graph_ACHART_3" hidden="1">#REF!</definedName>
    <definedName name="_7__123Graph_ACHART_6" hidden="1">#REF!</definedName>
    <definedName name="_70__123Graph_BCHART_4" hidden="1">#REF!</definedName>
    <definedName name="_70__123Graph_CCHART_5" hidden="1">#REF!</definedName>
    <definedName name="_71__123Graph_BCHART_1" hidden="1">#REF!</definedName>
    <definedName name="_72__123Graph_BCHART_13" hidden="1">#REF!</definedName>
    <definedName name="_73__123Graph_BCHART_19" hidden="1">#REF!</definedName>
    <definedName name="_73__123Graph_BCHART_8" hidden="1">#REF!</definedName>
    <definedName name="_73__123Graph_CCHART_6" hidden="1">#REF!</definedName>
    <definedName name="_75__123Graph_BCHART_5" hidden="1">#REF!</definedName>
    <definedName name="_76__123Graph_CCHART_7" hidden="1">#REF!</definedName>
    <definedName name="_77__123Graph_BCHART_9" hidden="1">#REF!</definedName>
    <definedName name="_77__123Graph_DCHART_25" hidden="1">#REF!</definedName>
    <definedName name="_78__123Graph_ACHART_7" hidden="1">#REF!</definedName>
    <definedName name="_78__123Graph_CCHART_12" hidden="1">#REF!</definedName>
    <definedName name="_8__123Graph_ACHART_2" hidden="1">#REF!</definedName>
    <definedName name="_8__123Graph_ACHART_7" hidden="1">#REF!</definedName>
    <definedName name="_80__123Graph_BCHART_2" hidden="1">#REF!</definedName>
    <definedName name="_80__123Graph_BCHART_6" hidden="1">#REF!</definedName>
    <definedName name="_80__123Graph_DCHART_7" hidden="1">#REF!</definedName>
    <definedName name="_81__123Graph_BCHART_25" hidden="1">#REF!</definedName>
    <definedName name="_81__123Graph_ECHART_26" hidden="1">#REF!</definedName>
    <definedName name="_82__123Graph_BCHART_26" hidden="1">#REF!</definedName>
    <definedName name="_82__123Graph_CCHART_2" hidden="1">#REF!</definedName>
    <definedName name="_83__123Graph_CCHART_26" hidden="1">#REF!</definedName>
    <definedName name="_84__123Graph_XCHART_1" hidden="1">#REF!</definedName>
    <definedName name="_85__123Graph_BCHART_7" hidden="1">#REF!</definedName>
    <definedName name="_87__123Graph_CCHART_4" hidden="1">#REF!</definedName>
    <definedName name="_87__123Graph_XCHART_8" hidden="1">#REF!</definedName>
    <definedName name="_89__123Graph_ACHART_8" hidden="1">#REF!</definedName>
    <definedName name="_89__123Graph_BCHART_3" hidden="1">#REF!</definedName>
    <definedName name="_9__123Graph_ACHART_25" hidden="1">#REF!</definedName>
    <definedName name="_9__123Graph_ACHART_4" hidden="1">#REF!</definedName>
    <definedName name="_9__123Graph_ACHART_8" hidden="1">#REF!</definedName>
    <definedName name="_90__123Graph_BCHART_8" hidden="1">#REF!</definedName>
    <definedName name="_91__123Graph_CCHART_5" hidden="1">#REF!</definedName>
    <definedName name="_95__123Graph_BCHART_9" hidden="1">#REF!</definedName>
    <definedName name="_95__123Graph_CCHART_6" hidden="1">#REF!</definedName>
    <definedName name="_96__123Graph_BCHART_4" hidden="1">#REF!</definedName>
    <definedName name="_96__123Graph_CCHART_12" hidden="1">#REF!</definedName>
    <definedName name="_99__123Graph_CCHART_7" hidden="1">#REF!</definedName>
    <definedName name="_ADDIN_LOAD__L_">#REF!</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pi1">#REF!</definedName>
    <definedName name="_CPI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3">#REF!</definedName>
    <definedName name="_DAT4">#REF!</definedName>
    <definedName name="_DAT5">#REF!</definedName>
    <definedName name="_DAT500">#REF!</definedName>
    <definedName name="_DAT6">#REF!</definedName>
    <definedName name="_DAT7">#REF!</definedName>
    <definedName name="_DAT8">#REF!</definedName>
    <definedName name="_DAT9">#REF!</definedName>
    <definedName name="_Fill" hidden="1">#REF!</definedName>
    <definedName name="_INT22">#REF!</definedName>
    <definedName name="_int997">#REF!</definedName>
    <definedName name="_IRR1">#REF!</definedName>
    <definedName name="_IZS2">#REF!</definedName>
    <definedName name="_Jnl26">#REF!</definedName>
    <definedName name="_JUN09">#REF!</definedName>
    <definedName name="_Key1" hidden="1">#REF!</definedName>
    <definedName name="_Key2" hidden="1">#REF!</definedName>
    <definedName name="_LUT1">#REF!</definedName>
    <definedName name="_May08">#REF!</definedName>
    <definedName name="_MAY09">#REF!</definedName>
    <definedName name="_NPV1">#REF!</definedName>
    <definedName name="_NPV2">#REF!</definedName>
    <definedName name="_Order1" hidden="1">255</definedName>
    <definedName name="_Order2" hidden="1">255</definedName>
    <definedName name="_pdCalendarDate">#REF!</definedName>
    <definedName name="_pdCalendarDay">#REF!</definedName>
    <definedName name="_pdCommencementDate">#REF!</definedName>
    <definedName name="_pdFirstPaymentDate">#REF!</definedName>
    <definedName name="_pdFrequency">#REF!</definedName>
    <definedName name="_pdInstrumentCalendarDate">#REF!</definedName>
    <definedName name="_pdInstrumentCommencement">#REF!</definedName>
    <definedName name="_pdInstrumentFirstRegularDate">#REF!</definedName>
    <definedName name="_pdInstrumentNoOfPayments">#REF!</definedName>
    <definedName name="_pdNoOfPayments">#REF!</definedName>
    <definedName name="_pdPaymentFrequency">#REF!</definedName>
    <definedName name="_pdUnadjustedDates">OFFSET(#REF!,1,0,_pdNoOfPayments+1,1)</definedName>
    <definedName name="_PL1">#REF!</definedName>
    <definedName name="_sch2">#REF!</definedName>
    <definedName name="_sch3">#REF!</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_tab1">#REF!</definedName>
    <definedName name="_TB1">#REF!</definedName>
    <definedName name="_Tot199">#REF!</definedName>
    <definedName name="_Tot20015">#REF!</definedName>
    <definedName name="_Tot20686">#REF!</definedName>
    <definedName name="_Tot20983">#REF!</definedName>
    <definedName name="_Tot21233">#REF!</definedName>
    <definedName name="_Tot220">#REF!</definedName>
    <definedName name="_Tot221">#REF!</definedName>
    <definedName name="_Tot222">#REF!</definedName>
    <definedName name="_Tot229">#REF!</definedName>
    <definedName name="_Tot230">#REF!</definedName>
    <definedName name="_Tot232">#REF!</definedName>
    <definedName name="_Tot237">#REF!</definedName>
    <definedName name="_Tot238">#REF!</definedName>
    <definedName name="_Tot241">#REF!</definedName>
    <definedName name="_Tot242">#REF!</definedName>
    <definedName name="_Tot243">#REF!</definedName>
    <definedName name="_Tot244">#REF!</definedName>
    <definedName name="_tot245">#REF!</definedName>
    <definedName name="_tot253">#REF!</definedName>
    <definedName name="_Tot255">#REF!</definedName>
    <definedName name="_Tot257">#REF!</definedName>
    <definedName name="_Tot258">#REF!</definedName>
    <definedName name="_Tot259">#REF!</definedName>
    <definedName name="_Tot261">#REF!</definedName>
    <definedName name="_Tot262">#REF!</definedName>
    <definedName name="_Tot263">#REF!</definedName>
    <definedName name="_Tot265">#REF!</definedName>
    <definedName name="_Tot266">#REF!</definedName>
    <definedName name="_Tot30235">#REF!</definedName>
    <definedName name="_Tot30241">#REF!</definedName>
    <definedName name="_Tot30242">#REF!</definedName>
    <definedName name="_Tot30243">#REF!</definedName>
    <definedName name="_Tot30357">#REF!</definedName>
    <definedName name="_Tot30490">#REF!</definedName>
    <definedName name="_UAG99">#REF!</definedName>
    <definedName name="_User">#REF!</definedName>
    <definedName name="_WP234">#REF!</definedName>
    <definedName name="a">#REF!</definedName>
    <definedName name="A_Resid_Input">#REF!</definedName>
    <definedName name="A_Resid_Mrgins">#REF!</definedName>
    <definedName name="A10remlife">#REF!</definedName>
    <definedName name="A10stdlife">#REF!</definedName>
    <definedName name="A10taxremlife">#REF!</definedName>
    <definedName name="A10taxstdlife">#REF!</definedName>
    <definedName name="A10taxvalue">#REF!</definedName>
    <definedName name="A10value">#REF!</definedName>
    <definedName name="A11remlife">#REF!</definedName>
    <definedName name="A11stdlife">#REF!</definedName>
    <definedName name="A11taxremlife">#REF!</definedName>
    <definedName name="A11taxstdlife">#REF!</definedName>
    <definedName name="A11taxvalue">#REF!</definedName>
    <definedName name="A11value">#REF!</definedName>
    <definedName name="A12remlife">#REF!</definedName>
    <definedName name="A12stdlife">#REF!</definedName>
    <definedName name="A12taxremlife">#REF!</definedName>
    <definedName name="A12taxstdlife">#REF!</definedName>
    <definedName name="A12taxvalue">#REF!</definedName>
    <definedName name="A12value">#REF!</definedName>
    <definedName name="A13remlife">#REF!</definedName>
    <definedName name="A13stdlife">#REF!</definedName>
    <definedName name="A13taxremlife">#REF!</definedName>
    <definedName name="A13taxstdlife">#REF!</definedName>
    <definedName name="A13taxvalue">#REF!</definedName>
    <definedName name="A13value">#REF!</definedName>
    <definedName name="A14remlife">#REF!</definedName>
    <definedName name="A14stdlife">#REF!</definedName>
    <definedName name="A14taxremlife">#REF!</definedName>
    <definedName name="A14taxstdlife">#REF!</definedName>
    <definedName name="A14taxvalue">#REF!</definedName>
    <definedName name="A14value">#REF!</definedName>
    <definedName name="A15remlife">#REF!</definedName>
    <definedName name="A15stdlife">#REF!</definedName>
    <definedName name="A15taxremlife">#REF!</definedName>
    <definedName name="A15taxstdlife">#REF!</definedName>
    <definedName name="A15taxvalue">#REF!</definedName>
    <definedName name="A15value">#REF!</definedName>
    <definedName name="A16remlife">#REF!</definedName>
    <definedName name="A16stdlife">#REF!</definedName>
    <definedName name="A16taxremlife">#REF!</definedName>
    <definedName name="A16taxstdlife">#REF!</definedName>
    <definedName name="A16taxvalue">#REF!</definedName>
    <definedName name="A16value">#REF!</definedName>
    <definedName name="A17remlife">#REF!</definedName>
    <definedName name="A17stdlife">#REF!</definedName>
    <definedName name="A17taxremlife">#REF!</definedName>
    <definedName name="A17taxstdlife">#REF!</definedName>
    <definedName name="A17taxvalue">#REF!</definedName>
    <definedName name="A17value">#REF!</definedName>
    <definedName name="A18remlife">#REF!</definedName>
    <definedName name="A18stdlife">#REF!</definedName>
    <definedName name="A18taxremlife">#REF!</definedName>
    <definedName name="A18taxstdlife">#REF!</definedName>
    <definedName name="A18taxvalue">#REF!</definedName>
    <definedName name="A18value">#REF!</definedName>
    <definedName name="A19remlife">#REF!</definedName>
    <definedName name="A19stdlife">#REF!</definedName>
    <definedName name="A19taxremlife">#REF!</definedName>
    <definedName name="A19taxstdlife">#REF!</definedName>
    <definedName name="A19taxvalue">#REF!</definedName>
    <definedName name="A19value">#REF!</definedName>
    <definedName name="A1remlife">#REF!</definedName>
    <definedName name="A1stdlife">#REF!</definedName>
    <definedName name="A1taxremlife">#REF!</definedName>
    <definedName name="A1taxstdlife">#REF!</definedName>
    <definedName name="A1taxvalue">#REF!</definedName>
    <definedName name="A1value">#REF!</definedName>
    <definedName name="A20remlife">#REF!</definedName>
    <definedName name="A20stdlife">#REF!</definedName>
    <definedName name="A20taxremlife">#REF!</definedName>
    <definedName name="A20taxstdlife">#REF!</definedName>
    <definedName name="A20taxvalue">#REF!</definedName>
    <definedName name="A20value">#REF!</definedName>
    <definedName name="A21remlife">#REF!</definedName>
    <definedName name="A21stdlife">#REF!</definedName>
    <definedName name="A21taxremlife">#REF!</definedName>
    <definedName name="A21taxstdlife">#REF!</definedName>
    <definedName name="A21taxvalue">#REF!</definedName>
    <definedName name="A21value">#REF!</definedName>
    <definedName name="A22remlife">#REF!</definedName>
    <definedName name="A22stdlife">#REF!</definedName>
    <definedName name="A22taxremlife">#REF!</definedName>
    <definedName name="A22taxstdlife">#REF!</definedName>
    <definedName name="A22taxvalue">#REF!</definedName>
    <definedName name="A22value">#REF!</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A2325891R">#REF!,#REF!</definedName>
    <definedName name="A2325892T">#REF!,#REF!</definedName>
    <definedName name="A2325895X">#REF!,#REF!</definedName>
    <definedName name="A2325936J">#REF!,#REF!</definedName>
    <definedName name="A2325937K">#REF!,#REF!</definedName>
    <definedName name="A2325940X">#REF!,#REF!</definedName>
    <definedName name="A2325981V">#REF!,#REF!</definedName>
    <definedName name="A2325982W">#REF!,#REF!</definedName>
    <definedName name="A2325985C">#REF!,#REF!</definedName>
    <definedName name="A2326026R">#REF!,#REF!</definedName>
    <definedName name="A2326027T">#REF!,#REF!</definedName>
    <definedName name="A2326030F">#REF!,#REF!</definedName>
    <definedName name="A2326071A">#REF!,#REF!</definedName>
    <definedName name="A2326072C">#REF!,#REF!</definedName>
    <definedName name="A2326075K">#REF!,#REF!</definedName>
    <definedName name="A2326116V">#REF!,#REF!</definedName>
    <definedName name="A2326117W">#REF!,#REF!</definedName>
    <definedName name="A2326120K">#REF!,#REF!</definedName>
    <definedName name="A2331111C">#REF!,#REF!</definedName>
    <definedName name="A2331112F">#REF!,#REF!</definedName>
    <definedName name="A2331115L">#REF!,#REF!</definedName>
    <definedName name="A2331201J">#REF!,#REF!</definedName>
    <definedName name="A2331202K">#REF!,#REF!</definedName>
    <definedName name="A2331205T">#REF!,#REF!</definedName>
    <definedName name="A2331246L">#REF!,#REF!</definedName>
    <definedName name="A2331247R">#REF!,#REF!</definedName>
    <definedName name="A2331250C">#REF!,#REF!</definedName>
    <definedName name="A2331426W">#REF!,#REF!</definedName>
    <definedName name="A2331427X">#REF!,#REF!</definedName>
    <definedName name="A2331430L">#REF!,#REF!</definedName>
    <definedName name="A2332596F">#REF!,#REF!</definedName>
    <definedName name="A2332597J">#REF!,#REF!</definedName>
    <definedName name="A2332600K">#REF!,#REF!</definedName>
    <definedName name="A23remlife">#REF!</definedName>
    <definedName name="A23stdlife">#REF!</definedName>
    <definedName name="A23taxremlife">#REF!</definedName>
    <definedName name="A23taxstdlife">#REF!</definedName>
    <definedName name="A23taxvalue">#REF!</definedName>
    <definedName name="A23value">#REF!</definedName>
    <definedName name="A24remlife">#REF!</definedName>
    <definedName name="A24stdlife">#REF!</definedName>
    <definedName name="A24taxremlife">#REF!</definedName>
    <definedName name="A24taxstdlife">#REF!</definedName>
    <definedName name="A24taxvalue">#REF!</definedName>
    <definedName name="A24value">#REF!</definedName>
    <definedName name="A25remlife">#REF!</definedName>
    <definedName name="A25stdlife">#REF!</definedName>
    <definedName name="A25taxremlife">#REF!</definedName>
    <definedName name="A25taxstdlife">#REF!</definedName>
    <definedName name="A25taxvalue">#REF!</definedName>
    <definedName name="A25value">#REF!</definedName>
    <definedName name="A26remlife">#REF!</definedName>
    <definedName name="A26stdlife">#REF!</definedName>
    <definedName name="A26taxremlife">#REF!</definedName>
    <definedName name="A26taxstdlife">#REF!</definedName>
    <definedName name="A26taxvalue">#REF!</definedName>
    <definedName name="A26value">#REF!</definedName>
    <definedName name="A27remlife">#REF!</definedName>
    <definedName name="A27stdlife">#REF!</definedName>
    <definedName name="A27taxremlife">#REF!</definedName>
    <definedName name="A27taxstdlife">#REF!</definedName>
    <definedName name="A27taxvalue">#REF!</definedName>
    <definedName name="A27value">#REF!</definedName>
    <definedName name="A28remlife">#REF!</definedName>
    <definedName name="A28stdlife">#REF!</definedName>
    <definedName name="A28taxremlife">#REF!</definedName>
    <definedName name="A28taxstdlife">#REF!</definedName>
    <definedName name="A28taxvalue">#REF!</definedName>
    <definedName name="A28value">#REF!</definedName>
    <definedName name="A29remlife">#REF!</definedName>
    <definedName name="A29stdlife">#REF!</definedName>
    <definedName name="A29taxremlife">#REF!</definedName>
    <definedName name="A29taxstdlife">#REF!</definedName>
    <definedName name="A29taxvalue">#REF!</definedName>
    <definedName name="A29value">#REF!</definedName>
    <definedName name="A2remlife">#REF!</definedName>
    <definedName name="A2stdlife">#REF!</definedName>
    <definedName name="A2taxremlife">#REF!</definedName>
    <definedName name="A2taxstdlife">#REF!</definedName>
    <definedName name="A2taxvalue">#REF!</definedName>
    <definedName name="A2value">#REF!</definedName>
    <definedName name="A30remlife">#REF!</definedName>
    <definedName name="A30stdlife">#REF!</definedName>
    <definedName name="A30taxremlife">#REF!</definedName>
    <definedName name="A30taxstdlife">#REF!</definedName>
    <definedName name="A30taxvalue">#REF!</definedName>
    <definedName name="A30value">#REF!</definedName>
    <definedName name="A3remlife">#REF!</definedName>
    <definedName name="A3stdlife">#REF!</definedName>
    <definedName name="A3taxremlife">#REF!</definedName>
    <definedName name="A3taxstdlife">#REF!</definedName>
    <definedName name="A3taxvalue">#REF!</definedName>
    <definedName name="A3value">#REF!</definedName>
    <definedName name="A4remlife">#REF!</definedName>
    <definedName name="A4stdlife">#REF!</definedName>
    <definedName name="A4taxremlife">#REF!</definedName>
    <definedName name="A4taxstdlife">#REF!</definedName>
    <definedName name="A4taxvalue">#REF!</definedName>
    <definedName name="A4value">#REF!</definedName>
    <definedName name="A5remlife">#REF!</definedName>
    <definedName name="A5stdlife">#REF!</definedName>
    <definedName name="A5taxremlife">#REF!</definedName>
    <definedName name="A5taxstdlife">#REF!</definedName>
    <definedName name="A5taxvalue">#REF!</definedName>
    <definedName name="A5value">#REF!</definedName>
    <definedName name="A6remlife">#REF!</definedName>
    <definedName name="A6stdlife">#REF!</definedName>
    <definedName name="A6taxremlife">#REF!</definedName>
    <definedName name="A6taxstdlife">#REF!</definedName>
    <definedName name="A6taxvalue">#REF!</definedName>
    <definedName name="A6value">#REF!</definedName>
    <definedName name="A7remlife">#REF!</definedName>
    <definedName name="A7stdlife">#REF!</definedName>
    <definedName name="A7taxremlife">#REF!</definedName>
    <definedName name="A7taxstdlife">#REF!</definedName>
    <definedName name="A7taxvalue">#REF!</definedName>
    <definedName name="A7value">#REF!</definedName>
    <definedName name="A8remlife">#REF!</definedName>
    <definedName name="A8stdlife">#REF!</definedName>
    <definedName name="A8taxremlife">#REF!</definedName>
    <definedName name="A8taxstdlife">#REF!</definedName>
    <definedName name="A8taxvalue">#REF!</definedName>
    <definedName name="A8value">#REF!</definedName>
    <definedName name="A9remlife">#REF!</definedName>
    <definedName name="A9stdlife">#REF!</definedName>
    <definedName name="A9taxremlife">#REF!</definedName>
    <definedName name="A9taxstdlife">#REF!</definedName>
    <definedName name="A9taxvalue">#REF!</definedName>
    <definedName name="A9value">#REF!</definedName>
    <definedName name="aa">#REF!</definedName>
    <definedName name="AAabove_tbl">#REF!</definedName>
    <definedName name="AB">INDEX(INDIRECT(CountryShortCode&amp;"Codes"),MATCH(Item,INDIRECT(CountryShortCode&amp;"Desc"),0))</definedName>
    <definedName name="ABN">Cover!$C$19</definedName>
    <definedName name="acc_prepay">#REF!</definedName>
    <definedName name="ACCAUST">#REF!</definedName>
    <definedName name="ACCC_CAPMLookupValue">#REF!</definedName>
    <definedName name="ACCC_ColIndexNum">#REF!</definedName>
    <definedName name="ACCC_CumActInflIndex">#REF!</definedName>
    <definedName name="ACCC_DebtValue">#REF!</definedName>
    <definedName name="ACCC_EquityValue">#REF!</definedName>
    <definedName name="ACCC_InflationRate">#REF!</definedName>
    <definedName name="ACCC_NominalVanillaWACC">#REF!</definedName>
    <definedName name="ACCC_PerfBonus1">#REF!</definedName>
    <definedName name="ACCC_PerfBonus2">#REF!</definedName>
    <definedName name="ACCC_PerfBonus3">#REF!</definedName>
    <definedName name="ACCC_PerfSens">#REF!</definedName>
    <definedName name="ACCC_PostTaxNominalReturnOnEquity">#REF!</definedName>
    <definedName name="ACCC_RAB">#REF!</definedName>
    <definedName name="Account_Manager">#REF!</definedName>
    <definedName name="ACCOUNTEDPERIODTYPE1">#REF!</definedName>
    <definedName name="ACCOUNTING">#REF!</definedName>
    <definedName name="Acct_Names">#REF!</definedName>
    <definedName name="AcctCodes">#REF!</definedName>
    <definedName name="AcctngDist">#REF!</definedName>
    <definedName name="Acquisition_NCA">#REF!</definedName>
    <definedName name="Act_LPGD">#REF!</definedName>
    <definedName name="ACTDEC09">#REF!</definedName>
    <definedName name="ActFinClose">#REF!</definedName>
    <definedName name="ACTIVITY">#REF!</definedName>
    <definedName name="activityview">#REF!</definedName>
    <definedName name="ActOTDAMDStartDate">#REF!</definedName>
    <definedName name="ACTPRICE">#REF!</definedName>
    <definedName name="ActTaxDepn">#REF!</definedName>
    <definedName name="Actual___by_month">#REF!</definedName>
    <definedName name="Actual___Year_to_date">#REF!</definedName>
    <definedName name="Actual_CBIT98">#REF!</definedName>
    <definedName name="ACTUAL_PRICE">#REF!</definedName>
    <definedName name="ACTUAL_REVENUE">#REF!</definedName>
    <definedName name="ACTUAL_TRANSPORT1">#REF!</definedName>
    <definedName name="ACTUAL_TRANSPORT2">#REF!</definedName>
    <definedName name="ACTUAL_YTDMIL">#REF!</definedName>
    <definedName name="ACTUAL_YTDTJ">#REF!</definedName>
    <definedName name="ActualCBIT">#REF!</definedName>
    <definedName name="Actuals">#REF!</definedName>
    <definedName name="Additional_MDQ">#REF!</definedName>
    <definedName name="AdditionalOM">#REF!</definedName>
    <definedName name="AdditionalOMDate">#REF!</definedName>
    <definedName name="Adelaide_Postcodes_Table">#REF!</definedName>
    <definedName name="AdelFixedAA_tbl">#REF!</definedName>
    <definedName name="AdelVarAA_tbl">#REF!</definedName>
    <definedName name="Adjustment">#REF!</definedName>
    <definedName name="adsc">#REF!</definedName>
    <definedName name="ADSWAPCount">#REF!</definedName>
    <definedName name="AEP">#REF!</definedName>
    <definedName name="afdvwrt">#REF!</definedName>
    <definedName name="AgencyFeePaymentMonths">#REF!</definedName>
    <definedName name="AGL_GAS_NETWORKS">"YTD-ACTUAL99"</definedName>
    <definedName name="AGLEIntProfit">#REF!</definedName>
    <definedName name="Agreed_Fees_Actual___by_month">#REF!</definedName>
    <definedName name="Agreed_Fees_Actual___Year_to_date">#REF!</definedName>
    <definedName name="Agreed_Fees_Budget___by_month">#REF!</definedName>
    <definedName name="Agreed_Fees_Budget___Year_to_date">#REF!</definedName>
    <definedName name="Agreed_Fees_Prior_Year___2000_2001____by_month">#REF!</definedName>
    <definedName name="Agreed_Fees_Prior_Year___2000_2001____Year_to_date">#REF!</definedName>
    <definedName name="Albury_April">#REF!</definedName>
    <definedName name="Albury_August">#REF!</definedName>
    <definedName name="Albury_December">#REF!</definedName>
    <definedName name="Albury_February">#REF!</definedName>
    <definedName name="Albury_January">#REF!</definedName>
    <definedName name="Albury_July">#REF!</definedName>
    <definedName name="Albury_June">#REF!</definedName>
    <definedName name="Albury_March">#REF!</definedName>
    <definedName name="Albury_May">#REF!</definedName>
    <definedName name="Albury_November">#REF!</definedName>
    <definedName name="Albury_October">#REF!</definedName>
    <definedName name="Albury_September">#REF!</definedName>
    <definedName name="ALFG">#REF!,#REF!</definedName>
    <definedName name="Allc">#REF!</definedName>
    <definedName name="Allco">#REF!</definedName>
    <definedName name="Alloc">#REF!</definedName>
    <definedName name="am">#REF!</definedName>
    <definedName name="amadeuscons">#REF!</definedName>
    <definedName name="amadeusdetailed">#REF!</definedName>
    <definedName name="AMADEUSSUMMARY">#REF!</definedName>
    <definedName name="Amcor">#REF!</definedName>
    <definedName name="AMDQ">#REF!</definedName>
    <definedName name="AMT">#REF!</definedName>
    <definedName name="AnalysisCommencementDate">#REF!</definedName>
    <definedName name="AnalysisFirstRegularDate">#REF!</definedName>
    <definedName name="AnalysisNoOfPayments">#REF!</definedName>
    <definedName name="AnalysisPaymentFrequency">#REF!</definedName>
    <definedName name="Ann">#REF!</definedName>
    <definedName name="AnnOverheadCosts">#REF!</definedName>
    <definedName name="Annual_Load">#REF!</definedName>
    <definedName name="ANP2_Holding">#REF!</definedName>
    <definedName name="ANP3_Holding">#REF!</definedName>
    <definedName name="ANZISDevFee">#REF!</definedName>
    <definedName name="AOS_1">#REF!</definedName>
    <definedName name="AOS_2">#REF!</definedName>
    <definedName name="AP">OFFSET(CalculatedDatesHeading,2,0,_pdNoOfPayments+1,1)</definedName>
    <definedName name="APA_op_savings">#REF!</definedName>
    <definedName name="APA_Performance_Factor">#REF!</definedName>
    <definedName name="APARefundIndicator">#REF!</definedName>
    <definedName name="APARefundNonAPAPerc">#REF!</definedName>
    <definedName name="APARefundofPurchasePrice">#REF!</definedName>
    <definedName name="APAShare">#REF!</definedName>
    <definedName name="APBriCY">OFFSET(#REF!,,#REF!-24,,24)</definedName>
    <definedName name="APBriMAT">OFFSET(#REF!,,#REF!-24,,24)</definedName>
    <definedName name="APBriPY">OFFSET(#REF!,,#REF!-24,,12)</definedName>
    <definedName name="APN">#REF!</definedName>
    <definedName name="APOakCY">OFFSET(#REF!,,#REF!-24,,24)</definedName>
    <definedName name="APOakMAT">OFFSET(#REF!,,#REF!-24,,24)</definedName>
    <definedName name="APOakPY">OFFSET(#REF!,,#REF!-24,,12)</definedName>
    <definedName name="Approvals">#REF!</definedName>
    <definedName name="APPSUSERNAME1">#REF!</definedName>
    <definedName name="APQldCY">OFFSET(#REF!,,#REF!-24,,24)</definedName>
    <definedName name="APQldMAT">OFFSET(#REF!,,#REF!-24,,24)</definedName>
    <definedName name="APQldPY">OFFSET(#REF!,,#REF!-24,,12)</definedName>
    <definedName name="Apr">#REF!</definedName>
    <definedName name="APR09SPEND">#REF!</definedName>
    <definedName name="APRivCY">OFFSET(#REF!,,#REF!-24,,24)</definedName>
    <definedName name="APRivMAT">OFFSET(#REF!,,#REF!-24,,24)</definedName>
    <definedName name="APRivPY">OFFSET(#REF!,,#REF!-24,,12)</definedName>
    <definedName name="APTIT_Profit">#REF!</definedName>
    <definedName name="APTooCY">OFFSET(#REF!,,#REF!-24,,24)</definedName>
    <definedName name="APTooMAT">OFFSET(#REF!,,#REF!-24,,24)</definedName>
    <definedName name="APTooPY">OFFSET(#REF!,,#REF!-24,,12)</definedName>
    <definedName name="APXAXIS">OFFSET(#REF!,,#REF!-24,,24)</definedName>
    <definedName name="arb">#REF!</definedName>
    <definedName name="Area">#REF!</definedName>
    <definedName name="AS2DocOpenMode" hidden="1">"AS2DocumentEdit"</definedName>
    <definedName name="ASD">#REF!</definedName>
    <definedName name="asdads">#REF!</definedName>
    <definedName name="asdc">#REF!</definedName>
    <definedName name="asdcasd">#REF!</definedName>
    <definedName name="Asset_Code_WA">#REF!</definedName>
    <definedName name="Asset_Life">#REF!</definedName>
    <definedName name="Asset1">#REF!</definedName>
    <definedName name="Asset10">#REF!</definedName>
    <definedName name="Asset10Life">#REF!</definedName>
    <definedName name="Asset10TaxLife">#REF!</definedName>
    <definedName name="Asset11">#REF!</definedName>
    <definedName name="Asset12">#REF!</definedName>
    <definedName name="Asset13">#REF!</definedName>
    <definedName name="Asset14">#REF!</definedName>
    <definedName name="Asset15">#REF!</definedName>
    <definedName name="Asset16">#REF!</definedName>
    <definedName name="Asset17">#REF!</definedName>
    <definedName name="Asset18">#REF!</definedName>
    <definedName name="Asset19">#REF!</definedName>
    <definedName name="Asset1Life">#REF!</definedName>
    <definedName name="Asset1TaxLife">#REF!</definedName>
    <definedName name="Asset2">#REF!</definedName>
    <definedName name="Asset20">#REF!</definedName>
    <definedName name="Asset21">#REF!</definedName>
    <definedName name="Asset22">#REF!</definedName>
    <definedName name="Asset23">#REF!</definedName>
    <definedName name="Asset24">#REF!</definedName>
    <definedName name="Asset25">#REF!</definedName>
    <definedName name="Asset26">#REF!</definedName>
    <definedName name="Asset27">#REF!</definedName>
    <definedName name="Asset28">#REF!</definedName>
    <definedName name="Asset29">#REF!</definedName>
    <definedName name="Asset2Life">#REF!</definedName>
    <definedName name="Asset2TaxLife">#REF!</definedName>
    <definedName name="Asset3">#REF!</definedName>
    <definedName name="Asset30">#REF!</definedName>
    <definedName name="Asset3Life">#REF!</definedName>
    <definedName name="Asset3TaxLife">#REF!</definedName>
    <definedName name="Asset4">#REF!</definedName>
    <definedName name="Asset4Life">#REF!</definedName>
    <definedName name="Asset4TaxLife">#REF!</definedName>
    <definedName name="Asset5">#REF!</definedName>
    <definedName name="Asset5Life">#REF!</definedName>
    <definedName name="Asset5TaxLife">#REF!</definedName>
    <definedName name="Asset6">#REF!</definedName>
    <definedName name="Asset6Life">#REF!</definedName>
    <definedName name="Asset6TaxLife">#REF!</definedName>
    <definedName name="Asset7">#REF!</definedName>
    <definedName name="Asset7Life">#REF!</definedName>
    <definedName name="Asset7TaxLife">#REF!</definedName>
    <definedName name="Asset8">#REF!</definedName>
    <definedName name="Asset8Life">#REF!</definedName>
    <definedName name="Asset8TaxLife">#REF!</definedName>
    <definedName name="Asset9">#REF!</definedName>
    <definedName name="Asset9Life">#REF!</definedName>
    <definedName name="Asset9TaxLife">#REF!</definedName>
    <definedName name="Assumed_MDQ_MAP">#REF!</definedName>
    <definedName name="Assumed_MDQ_SE">#REF!</definedName>
    <definedName name="Aug">#REF!</definedName>
    <definedName name="AUG08SPEND">#REF!</definedName>
    <definedName name="augvar">#REF!,#REF!,#REF!,#REF!,#REF!,#REF!,#REF!,#REF!,#REF!,#REF!,#REF!,#REF!,#REF!,#REF!,#REF!,#REF!,#REF!,#REF!,#REF!,#REF!,#REF!</definedName>
    <definedName name="AUSTDIVS">#REF!</definedName>
    <definedName name="Austicks">#REF!</definedName>
    <definedName name="AustralBricks">#REF!</definedName>
    <definedName name="AustralianFarmCorporation">#REF!</definedName>
    <definedName name="AustralianMeatHoldings">#REF!</definedName>
    <definedName name="AUTable">#REF!</definedName>
    <definedName name="Author">#REF!</definedName>
    <definedName name="Avail4SaleMTM_B002">#REF!</definedName>
    <definedName name="Avail4SaleMTM_B003">#REF!</definedName>
    <definedName name="b">#REF!</definedName>
    <definedName name="B002_BH_Equity">#REF!</definedName>
    <definedName name="B002_BH_Units">#REF!</definedName>
    <definedName name="B003_DebtMTM">#REF!</definedName>
    <definedName name="B003_FECMTM">#REF!</definedName>
    <definedName name="balancesheet">#REF!</definedName>
    <definedName name="Balancing_Margin">#REF!</definedName>
    <definedName name="BAPAYR">#REF!</definedName>
    <definedName name="BaseDeal">1000000</definedName>
    <definedName name="BaseSwapRateInput">#REF!</definedName>
    <definedName name="bb">#REF!</definedName>
    <definedName name="BBSW3M">#REF!</definedName>
    <definedName name="BBSW6M">#REF!</definedName>
    <definedName name="BBSY">#REF!</definedName>
    <definedName name="BBSY1M">#REF!</definedName>
    <definedName name="BBSY3M">#REF!</definedName>
    <definedName name="BBSY3MAllco">#REF!</definedName>
    <definedName name="BBSY6M">#REF!</definedName>
    <definedName name="BCCToowong">#REF!</definedName>
    <definedName name="Bcost_B003">#REF!</definedName>
    <definedName name="BCost_B014">#REF!</definedName>
    <definedName name="BCost_B094">#REF!</definedName>
    <definedName name="BCost_Total">#REF!</definedName>
    <definedName name="Be">#REF!</definedName>
    <definedName name="BEL">#REF!</definedName>
    <definedName name="BEP">#REF!</definedName>
    <definedName name="BH">#REF!</definedName>
    <definedName name="BHole_B003">#REF!</definedName>
    <definedName name="BHole_B007">#REF!</definedName>
    <definedName name="BHole_B009">#REF!</definedName>
    <definedName name="BHole_B010">#REF!</definedName>
    <definedName name="BHole_B014">#REF!</definedName>
    <definedName name="BHole_B022">#REF!</definedName>
    <definedName name="BHole_B028">#REF!</definedName>
    <definedName name="BHole_B036">#REF!</definedName>
    <definedName name="BHole_B047">#REF!</definedName>
    <definedName name="BHole_B055">#REF!</definedName>
    <definedName name="BHole_B082">#REF!</definedName>
    <definedName name="BHole_B094">#REF!</definedName>
    <definedName name="BHole_B121">#REF!</definedName>
    <definedName name="BHole_B122">#REF!</definedName>
    <definedName name="BHole_B124">#REF!</definedName>
    <definedName name="BHole_B135">#REF!</definedName>
    <definedName name="BHole_B136">#REF!</definedName>
    <definedName name="BHole_B151">#REF!</definedName>
    <definedName name="BHole_B152">#REF!</definedName>
    <definedName name="BHole_B159">#REF!</definedName>
    <definedName name="BHole_B162">#REF!</definedName>
    <definedName name="BHole_Equity">#REF!</definedName>
    <definedName name="BHole_Units">#REF!</definedName>
    <definedName name="Bill">#REF!</definedName>
    <definedName name="Bill_Start">#REF!</definedName>
    <definedName name="Billed_Margin">#REF!</definedName>
    <definedName name="Billion">#REF!</definedName>
    <definedName name="Billions">#REF!</definedName>
    <definedName name="BkPymtDate">#REF!</definedName>
    <definedName name="BLUE">#REF!</definedName>
    <definedName name="BonaparteAdditionalCapex2008">#REF!</definedName>
    <definedName name="BonaparteAdditionalDrawdownDate">#REF!</definedName>
    <definedName name="BonaparteAdditionalOpex2008">#REF!</definedName>
    <definedName name="BonaparteCapexBookDepnRate">#REF!</definedName>
    <definedName name="BonaparteCapexFacAmtExclInt">#REF!</definedName>
    <definedName name="BonaparteCapexSens">#REF!</definedName>
    <definedName name="BonaparteContractEnd">#REF!</definedName>
    <definedName name="BonaparteContractEndDate">#REF!</definedName>
    <definedName name="BonaparteEndDateFlag">#REF!</definedName>
    <definedName name="BonaparteNLCOptionDate">#REF!</definedName>
    <definedName name="BonaparteOMMargin">#REF!</definedName>
    <definedName name="BonaparteOpexContingency">#REF!</definedName>
    <definedName name="BonaparteOpexSens">#REF!</definedName>
    <definedName name="BonaparteOpsFlag">#REF!</definedName>
    <definedName name="BonaparteOptionSolveIndicator">#REF!</definedName>
    <definedName name="BonaparteRealYrlyRevenue">#REF!</definedName>
    <definedName name="BonaparteRevPerc">#REF!</definedName>
    <definedName name="BonaparteRevPostContract">#REF!</definedName>
    <definedName name="BonaparteRevPostContractEndDate">#REF!</definedName>
    <definedName name="BonaparteRevSens">#REF!</definedName>
    <definedName name="BonaparteStartOps">#REF!</definedName>
    <definedName name="Bookedgas">#REF!</definedName>
    <definedName name="BP_1">#REF!</definedName>
    <definedName name="BP_2">#REF!</definedName>
    <definedName name="BP_StandBy">#REF!</definedName>
    <definedName name="brad1">#REF!</definedName>
    <definedName name="brad10">#REF!</definedName>
    <definedName name="brad11">#REF!</definedName>
    <definedName name="brad12">#REF!</definedName>
    <definedName name="brad2">#REF!</definedName>
    <definedName name="brad3">#REF!</definedName>
    <definedName name="brad4">#REF!</definedName>
    <definedName name="brad5">#REF!</definedName>
    <definedName name="brad6">#REF!</definedName>
    <definedName name="brad7">#REF!</definedName>
    <definedName name="brad8">#REF!</definedName>
    <definedName name="brad9">#REF!</definedName>
    <definedName name="Brisbane">#REF!</definedName>
    <definedName name="Brisbane_cost">#REF!</definedName>
    <definedName name="BrisbaneCityCouncil">#REF!</definedName>
    <definedName name="BrisStep1">#REF!</definedName>
    <definedName name="BrisStep2">#REF!</definedName>
    <definedName name="BrisStep3">#REF!</definedName>
    <definedName name="BrisStep4">#REF!</definedName>
    <definedName name="BrisStep5">#REF!</definedName>
    <definedName name="BrisStep6">#REF!</definedName>
    <definedName name="BS">#REF!</definedName>
    <definedName name="BS_RepItems">#REF!</definedName>
    <definedName name="bssumm">#REF!</definedName>
    <definedName name="BTARIFF_BUD99">#REF!</definedName>
    <definedName name="Bud_catergory">#REF!</definedName>
    <definedName name="BUD_PRICE">#REF!</definedName>
    <definedName name="BUD_RECEIPTS">#REF!</definedName>
    <definedName name="BUD_YTDMIL">#REF!</definedName>
    <definedName name="BUD_YTDTJ">#REF!</definedName>
    <definedName name="BUD_YTTJ">#REF!</definedName>
    <definedName name="Budget">#REF!</definedName>
    <definedName name="Budget___by_month">#REF!</definedName>
    <definedName name="Budget___Year_to_date">#REF!</definedName>
    <definedName name="BUDGET_TRANSPORT1">#REF!</definedName>
    <definedName name="BUDGET_TRANSPORT2">#REF!</definedName>
    <definedName name="budget_variance9900">#REF!</definedName>
    <definedName name="BudgetCBIT">#REF!</definedName>
    <definedName name="BudgetCurrencyCode1">#REF!</definedName>
    <definedName name="BudgetName1">#REF!</definedName>
    <definedName name="BudgetOrg1">#REF!</definedName>
    <definedName name="BUDSTAT">#REF!</definedName>
    <definedName name="BUDVARTJ">#REF!</definedName>
    <definedName name="Bundaberg">#REF!</definedName>
    <definedName name="Bundaberg_Cost">#REF!</definedName>
    <definedName name="Bundled_Fixed_Allocation">#REF!</definedName>
    <definedName name="Bundled_Uplift">#REF!</definedName>
    <definedName name="business99">#REF!</definedName>
    <definedName name="BWIZS">#REF!</definedName>
    <definedName name="BWIZS2">#REF!</definedName>
    <definedName name="BWMLP">#REF!</definedName>
    <definedName name="C_">#REF!</definedName>
    <definedName name="C_unit">#REF!</definedName>
    <definedName name="CADEOMSPOT">#REF!</definedName>
    <definedName name="Cairns">#REF!</definedName>
    <definedName name="Cairns_Cost">#REF!</definedName>
    <definedName name="CalculatedDatesHeading">#REF!</definedName>
    <definedName name="CAMS_equity">#REF!</definedName>
    <definedName name="CAMS_equity1">#REF!</definedName>
    <definedName name="Cap_June">#REF!</definedName>
    <definedName name="CAPACT_98">#REF!</definedName>
    <definedName name="CAPACT98">#REF!</definedName>
    <definedName name="CAPACT99">#REF!</definedName>
    <definedName name="CAPBUD99">#REF!</definedName>
    <definedName name="capex">#REF!,#REF!</definedName>
    <definedName name="capex_proj">#REF!</definedName>
    <definedName name="capex_types">#REF!</definedName>
    <definedName name="CapexDepn">#REF!</definedName>
    <definedName name="CapexSensitivityInd">#REF!</definedName>
    <definedName name="CapexSensitivityTable">#REF!</definedName>
    <definedName name="Capital_Category">#REF!</definedName>
    <definedName name="CAPITAL_EXPENDITURE">#REF!</definedName>
    <definedName name="CAPITALMAY09">#REF!</definedName>
    <definedName name="Capral">#REF!</definedName>
    <definedName name="CAPVAR99">#REF!</definedName>
    <definedName name="CARPDETAILED">#REF!</definedName>
    <definedName name="carpsumm">#REF!</definedName>
    <definedName name="CashAccrualIndicator">#REF!</definedName>
    <definedName name="CashAcctIndicator">#REF!</definedName>
    <definedName name="CashAcctOpen">#REF!</definedName>
    <definedName name="CASHBOOK">#REF!</definedName>
    <definedName name="CastlemainePerkins">#REF!</definedName>
    <definedName name="Category">#REF!</definedName>
    <definedName name="CB_1">#REF!</definedName>
    <definedName name="CB_10">#REF!</definedName>
    <definedName name="CB_11">#REF!</definedName>
    <definedName name="CB_12">#REF!</definedName>
    <definedName name="CB_13">#REF!</definedName>
    <definedName name="CB_14">#REF!</definedName>
    <definedName name="CB_15">#REF!</definedName>
    <definedName name="CB_16">#REF!</definedName>
    <definedName name="CB_17">#REF!</definedName>
    <definedName name="CB_18">#REF!</definedName>
    <definedName name="CB_19">#REF!</definedName>
    <definedName name="CB_2">#REF!</definedName>
    <definedName name="CB_20">#REF!</definedName>
    <definedName name="CB_21">#REF!</definedName>
    <definedName name="CB_22">#REF!</definedName>
    <definedName name="CB_23">#REF!</definedName>
    <definedName name="CB_24">#REF!</definedName>
    <definedName name="CB_25">#REF!</definedName>
    <definedName name="CB_26">#REF!</definedName>
    <definedName name="CB_27">#REF!</definedName>
    <definedName name="CB_28">#REF!</definedName>
    <definedName name="CB_29">#REF!</definedName>
    <definedName name="CB_3">#REF!</definedName>
    <definedName name="CB_30">#REF!</definedName>
    <definedName name="CB_31">#REF!</definedName>
    <definedName name="CB_32">#REF!</definedName>
    <definedName name="CB_33">#REF!</definedName>
    <definedName name="CB_34">#REF!</definedName>
    <definedName name="CB_35">#REF!</definedName>
    <definedName name="CB_36">#REF!</definedName>
    <definedName name="CB_37">#REF!</definedName>
    <definedName name="CB_38">#REF!</definedName>
    <definedName name="CB_39">#REF!</definedName>
    <definedName name="CB_4">#REF!</definedName>
    <definedName name="CB_40">#REF!</definedName>
    <definedName name="CB_41">#REF!</definedName>
    <definedName name="CB_42">#REF!</definedName>
    <definedName name="CB_43">#REF!</definedName>
    <definedName name="CB_44">#REF!</definedName>
    <definedName name="CB_45">#REF!</definedName>
    <definedName name="CB_46">#REF!</definedName>
    <definedName name="CB_47">#REF!</definedName>
    <definedName name="CB_5">#REF!</definedName>
    <definedName name="CB_6">#REF!</definedName>
    <definedName name="CB_7">#REF!</definedName>
    <definedName name="CB_8">#REF!</definedName>
    <definedName name="CB_9">#REF!</definedName>
    <definedName name="CBIT99">#REF!</definedName>
    <definedName name="cBoard">1</definedName>
    <definedName name="Charge">#REF!</definedName>
    <definedName name="CHART">#REF!</definedName>
    <definedName name="CHARTOFACCOUNTSID1">#REF!</definedName>
    <definedName name="CHQREQ">#REF!</definedName>
    <definedName name="CINo_Tbl">#REF!</definedName>
    <definedName name="citysheet">#REF!</definedName>
    <definedName name="Claimed_to_Date">#REF!,#REF!,#REF!,#REF!,#REF!,#REF!</definedName>
    <definedName name="CLIENTCODE">#REF!</definedName>
    <definedName name="CLIENTTAB">#REF!</definedName>
    <definedName name="CM">#REF!</definedName>
    <definedName name="cManual">0</definedName>
    <definedName name="Code">INDEX(INDIRECT(CountryShortCode&amp;"Codes"),MATCH(Item,INDIRECT(CountryShortCode&amp;"Desc"),0))</definedName>
    <definedName name="CoG">#REF!</definedName>
    <definedName name="COG_2000">#REF!</definedName>
    <definedName name="COG_Fixed">#REF!</definedName>
    <definedName name="col">#REF!</definedName>
    <definedName name="combine">#REF!</definedName>
    <definedName name="Companies">#REF!</definedName>
    <definedName name="COMPANY">#REF!</definedName>
    <definedName name="COMPANY1">#REF!</definedName>
    <definedName name="Compressor">#REF!</definedName>
    <definedName name="CONAME">#REF!</definedName>
    <definedName name="ConInt_B007">#REF!</definedName>
    <definedName name="ConInt_B008">#REF!</definedName>
    <definedName name="ConInt_B010">#REF!</definedName>
    <definedName name="ConInt_B015">#REF!</definedName>
    <definedName name="ConInt_B022">#REF!</definedName>
    <definedName name="ConInt_B027">#REF!</definedName>
    <definedName name="ConInt_B028">#REF!</definedName>
    <definedName name="ConInt_B036">#REF!</definedName>
    <definedName name="ConInt_Total">#REF!</definedName>
    <definedName name="CONNECTSTRING1">#REF!</definedName>
    <definedName name="cons">#REF!</definedName>
    <definedName name="consdetailed">#REF!</definedName>
    <definedName name="ConsolidateRutile">#REF!</definedName>
    <definedName name="consRT2">#REF!</definedName>
    <definedName name="ConsRT3">#REF!</definedName>
    <definedName name="ConsRT4">#REF!</definedName>
    <definedName name="ConsRT5">#REF!</definedName>
    <definedName name="CONSSUMMARY">#REF!</definedName>
    <definedName name="ContIntang_J117">#REF!</definedName>
    <definedName name="CONTRACT">#REF!</definedName>
    <definedName name="Contract_Lift">#REF!</definedName>
    <definedName name="Contract_Term">#REF!</definedName>
    <definedName name="Contract_TOP">#REF!</definedName>
    <definedName name="Contract_Values">#REF!,#REF!,#REF!,#REF!,#REF!,#REF!</definedName>
    <definedName name="CONTRACTCUST_BUD99">#REF!</definedName>
    <definedName name="ContractMDQ">#REF!</definedName>
    <definedName name="ContractsIntangible">#REF!</definedName>
    <definedName name="CONTRACTTRANSPORT">#REF!</definedName>
    <definedName name="CONTROL">#REF!</definedName>
    <definedName name="Copy_Area">#REF!</definedName>
    <definedName name="cor_var">#REF!</definedName>
    <definedName name="CorporateRevDSCRTable">#REF!</definedName>
    <definedName name="CorpTaxRate">#REF!</definedName>
    <definedName name="counter">COUNTA(INDEX(valdata,,MATCH(#REF!,#REF!,0)))</definedName>
    <definedName name="counter2">COUNTA(INDEX(valdata2,,MATCH(#REF!,#REF!,0)))</definedName>
    <definedName name="counter3">COUNTA(INDEX(valdata3,,MATCH(#REF!,#REF!,0)))</definedName>
    <definedName name="counter4">COUNTA(INDEX(valdata4,,MATCH(#REF!,#REF!,0)))</definedName>
    <definedName name="Countries">#REF!</definedName>
    <definedName name="Country">#REF!</definedName>
    <definedName name="CountryShortCode">VLOOKUP(Country,CountryTable,2,FALSE)</definedName>
    <definedName name="CountryTable">#REF!</definedName>
    <definedName name="CPI">#REF!</definedName>
    <definedName name="CPI_Indexation">#REF!</definedName>
    <definedName name="CPI_tbl">#REF!</definedName>
    <definedName name="Cr_Int_Rate">#REF!</definedName>
    <definedName name="CRCP_y4">#REF!</definedName>
    <definedName name="CRCP_y5">#REF!</definedName>
    <definedName name="CREATESUMMARYJNLS1">#REF!</definedName>
    <definedName name="CredEntAcqu_NC_J117">#REF!</definedName>
    <definedName name="CreditorDays">#REF!</definedName>
    <definedName name="CRITERIACOLUMN1">#REF!</definedName>
    <definedName name="CT">#REF!</definedName>
    <definedName name="CtnAgencyFees">#REF!</definedName>
    <definedName name="CtnAgencySecurityFees">#REF!</definedName>
    <definedName name="CtnAmount">#REF!</definedName>
    <definedName name="CtnCommitmentFeePerc">#REF!</definedName>
    <definedName name="CtnEndDate">#REF!</definedName>
    <definedName name="CtnEndDateMonth">#REF!</definedName>
    <definedName name="CtnMarginTable">#REF!</definedName>
    <definedName name="CtnMinHedgeLevelTable">#REF!</definedName>
    <definedName name="CtnMonths">#REF!</definedName>
    <definedName name="CtnProjectCostsBookDepn">#REF!</definedName>
    <definedName name="CtnSecurityFees">#REF!</definedName>
    <definedName name="CtnStartDate">#REF!</definedName>
    <definedName name="CtnSwapRateTable">#REF!</definedName>
    <definedName name="CtnYieldReqt">#REF!</definedName>
    <definedName name="Cur_Catergory">#REF!</definedName>
    <definedName name="Cur_period">#REF!</definedName>
    <definedName name="Currency">#REF!</definedName>
    <definedName name="Current_valuations">#REF!</definedName>
    <definedName name="CurrentMonth">#REF!</definedName>
    <definedName name="CurrentYear">#REF!</definedName>
    <definedName name="Cust_Status">#REF!</definedName>
    <definedName name="Cust_Table">#REF!</definedName>
    <definedName name="CUSTBUD99">#REF!</definedName>
    <definedName name="CUSTGAINS">#REF!</definedName>
    <definedName name="CUSTGAINS99">#REF!</definedName>
    <definedName name="CUSTMENU">#REF!</definedName>
    <definedName name="Customer_Name">#REF!</definedName>
    <definedName name="CUSTOMER_SITES">#REF!</definedName>
    <definedName name="Customer_Table">#REF!</definedName>
    <definedName name="CUSTOMER_TABLE_2">#REF!</definedName>
    <definedName name="Customer_Type">#REF!</definedName>
    <definedName name="CUSTOMERS">#REF!</definedName>
    <definedName name="CUSTOMERSITES">#REF!</definedName>
    <definedName name="CUSTOMERTABLE">#REF!</definedName>
    <definedName name="Cylinder">#REF!</definedName>
    <definedName name="d">#REF!</definedName>
    <definedName name="DaandineAdminFee">#REF!</definedName>
    <definedName name="DaandineAnnualVariableOM">#REF!</definedName>
    <definedName name="DaandineBookBase">#REF!</definedName>
    <definedName name="DaandineBookLife">#REF!</definedName>
    <definedName name="DaandineEndOps">#REF!</definedName>
    <definedName name="DaandineOMMargin">#REF!</definedName>
    <definedName name="DaandineOpexContingency">#REF!</definedName>
    <definedName name="DaandineOpexSens">#REF!</definedName>
    <definedName name="DaandineOpsFlag">#REF!</definedName>
    <definedName name="DaandineOpsStart">#REF!</definedName>
    <definedName name="DaandineOptionAmount">#REF!</definedName>
    <definedName name="DaandineOptionExerciseDate">#REF!</definedName>
    <definedName name="DaandineOptionIndicator">#REF!</definedName>
    <definedName name="DaandineRealInsurance">#REF!</definedName>
    <definedName name="DaandineRealRev">#REF!</definedName>
    <definedName name="DaandineRevSens">#REF!</definedName>
    <definedName name="DaandineTaxBase">#REF!</definedName>
    <definedName name="data">#REF!</definedName>
    <definedName name="data_budget">IF(UPPER(#REF!)="JULY",#REF!,#REF!)</definedName>
    <definedName name="data_chart">IF(UPPER(#REF!)="JULY",#REF!,IF(UPPER(#REF!)="AUGUST",#REF!,#REF!))</definedName>
    <definedName name="data2">#REF!</definedName>
    <definedName name="data3">#REF!</definedName>
    <definedName name="Data30Jun">#REF!</definedName>
    <definedName name="Data31Dec">#REF!</definedName>
    <definedName name="data4">#REF!</definedName>
    <definedName name="_xlnm.Database">#REF!</definedName>
    <definedName name="DataRange">#REF!</definedName>
    <definedName name="DATE">#REF!</definedName>
    <definedName name="date_">#REF!</definedName>
    <definedName name="Date_Range">#REF!,#REF!</definedName>
    <definedName name="Date_Range_Data">#REF!</definedName>
    <definedName name="DateColumn">OFFSET(DateHeading,0,0,_pdNoOfPayments+3,1)</definedName>
    <definedName name="DateHeading">#REF!</definedName>
    <definedName name="Dates">OFFSET(CalculatedDatesHeading,2,0,_pdNoOfPayments+1,1)</definedName>
    <definedName name="DATOk">#REF!</definedName>
    <definedName name="DATXS">#REF!</definedName>
    <definedName name="days">#REF!</definedName>
    <definedName name="Days_In_Wk">#REF!</definedName>
    <definedName name="DaysWhole">#REF!</definedName>
    <definedName name="DB">"WIREAUPROD"</definedName>
    <definedName name="DBNAME1">#REF!</definedName>
    <definedName name="DBPath">#REF!</definedName>
    <definedName name="DBUSERNAME1">#REF!</definedName>
    <definedName name="DD_Denom">#REF!</definedName>
    <definedName name="DD_Ent_Val_CF_Timing">#REF!</definedName>
    <definedName name="DD_Fin_YE_Mth">#REF!</definedName>
    <definedName name="DD_Model_Per_Type">#REF!</definedName>
    <definedName name="dDaysSeniorPymt">#REF!</definedName>
    <definedName name="dddd">#REF!</definedName>
    <definedName name="DealerSwapInput">#REF!</definedName>
    <definedName name="DEALLIST">#REF!</definedName>
    <definedName name="Debt_Case">#REF!</definedName>
    <definedName name="DebtorDays">#REF!</definedName>
    <definedName name="DebtRepaymentDate">#REF!</definedName>
    <definedName name="Dec">#REF!</definedName>
    <definedName name="Dec08spend">#REF!</definedName>
    <definedName name="DEC09SPEND">#REF!</definedName>
    <definedName name="Ded_Div43">#REF!</definedName>
    <definedName name="DefA1">#REF!</definedName>
    <definedName name="DefA2">#REF!</definedName>
    <definedName name="degrates10">#REF!</definedName>
    <definedName name="DELETELOGICTYPE1">#REF!</definedName>
    <definedName name="DepositRateTable">#REF!</definedName>
    <definedName name="DEPT">#REF!</definedName>
    <definedName name="desc">#REF!</definedName>
    <definedName name="DETAILEDCONSOLIDATION">#REF!</definedName>
    <definedName name="Details">#REF!</definedName>
    <definedName name="DF_GRID_2">Movement #REF!</definedName>
    <definedName name="DinStep1">#REF!</definedName>
    <definedName name="DinStep2">#REF!</definedName>
    <definedName name="DinStep3">#REF!</definedName>
    <definedName name="DinStep4">#REF!</definedName>
    <definedName name="DinStep5">#REF!</definedName>
    <definedName name="DinStep6">#REF!</definedName>
    <definedName name="disc_rate">#REF!</definedName>
    <definedName name="Discount">#REF!</definedName>
    <definedName name="DiscR">#REF!</definedName>
    <definedName name="Distn_Envestra">#REF!</definedName>
    <definedName name="DistnRec_ANPSPV">#REF!</definedName>
    <definedName name="DistnRec_Eii">#REF!</definedName>
    <definedName name="DistnRec_Envestra">#REF!</definedName>
    <definedName name="Distributor">#REF!</definedName>
    <definedName name="Div43Claim_B055">#REF!</definedName>
    <definedName name="DLACCC_CorpTaxRate">#REF!</definedName>
    <definedName name="DLACCC_InflationRate">#REF!</definedName>
    <definedName name="DLACCC_LTPropDebtFunding">#REF!</definedName>
    <definedName name="DLACCC_LTPropEquityFunding">#REF!</definedName>
    <definedName name="DLACCC_NomPreTaxCostOfDebt">#REF!</definedName>
    <definedName name="DLACCC_PerfBonus1">#REF!</definedName>
    <definedName name="DLACCC_PerfBonus2">#REF!</definedName>
    <definedName name="DLACCC_PerfBonus3">#REF!</definedName>
    <definedName name="DLACCC_PropFrankingCredits">#REF!</definedName>
    <definedName name="DLACCC_RealAssetLife_1">#REF!</definedName>
    <definedName name="DLACCC_RealAssetLife_2">#REF!</definedName>
    <definedName name="DLACCC_RealAssetLife_3">#REF!</definedName>
    <definedName name="DLACCC_RealAssetValue_1">#REF!</definedName>
    <definedName name="DLACCC_RealAssetValue_2">#REF!</definedName>
    <definedName name="DLACCC_RealAssetValue_3">#REF!</definedName>
    <definedName name="DLACCC_RealAssetValueOB_1">#REF!</definedName>
    <definedName name="DLACCC_RealAssetValueOB_2">#REF!</definedName>
    <definedName name="DLACCC_RealAssetValueOB_3">#REF!</definedName>
    <definedName name="DLACCC_Sens">#REF!</definedName>
    <definedName name="DLACCC_TaxAssetLife_1">#REF!</definedName>
    <definedName name="DLACCC_TaxAssetLife_2">#REF!</definedName>
    <definedName name="DLACCC_TaxAssetLife_3">#REF!</definedName>
    <definedName name="DLACCC_TaxAssetValue_1">#REF!</definedName>
    <definedName name="DLACCC_TaxAssetValue_2">#REF!</definedName>
    <definedName name="DLACCC_TaxAssetValue_3">#REF!</definedName>
    <definedName name="DLACCC_TaxAssetValueOB_1">#REF!</definedName>
    <definedName name="DLACCC_TaxAssetValueOB_2">#REF!</definedName>
    <definedName name="DLACCC_TaxAssetValueOB_3">#REF!</definedName>
    <definedName name="DLAssetClass_1BookOriginal">#REF!</definedName>
    <definedName name="DLAssetClass_1TaxOriginal">#REF!</definedName>
    <definedName name="DLAssetClass_2BookOriginal">#REF!</definedName>
    <definedName name="DLAssetClass_2TaxOriginal">#REF!</definedName>
    <definedName name="DLAssetClass_3BookOriginal">#REF!</definedName>
    <definedName name="DLAssetClass_3TaxOriginal">#REF!</definedName>
    <definedName name="DLAssetClass_4BookOriginal">#REF!</definedName>
    <definedName name="DLAssetClass_4TaxOriginal">#REF!</definedName>
    <definedName name="DLAssetClass_5BookOriginal">#REF!</definedName>
    <definedName name="DLBookDepnRateAssetClass_1">#REF!</definedName>
    <definedName name="DLBookDepnRateAssetClass_2">#REF!</definedName>
    <definedName name="DLBookDepnRateAssetClass_3">#REF!</definedName>
    <definedName name="DLBookDepnRateAssetClass_4">#REF!</definedName>
    <definedName name="DLBookDepnRateAssetClass_5">#REF!</definedName>
    <definedName name="DLBookDepnRateCapex">#REF!</definedName>
    <definedName name="DLCapexBaseDate">#REF!</definedName>
    <definedName name="DLCapexInd">#REF!</definedName>
    <definedName name="DLEndOps">#REF!</definedName>
    <definedName name="DLFifthRegResetDate">#REF!</definedName>
    <definedName name="DLFirstRegResetDate">#REF!</definedName>
    <definedName name="DLFourthRegResetDate">#REF!</definedName>
    <definedName name="DLOMMargin">#REF!</definedName>
    <definedName name="DLOMPerformancePerc">#REF!</definedName>
    <definedName name="DLOpexContingency">#REF!</definedName>
    <definedName name="DLOpexEscDate">#REF!</definedName>
    <definedName name="DLOpexSens">#REF!</definedName>
    <definedName name="DLOpsFlag">#REF!</definedName>
    <definedName name="DLRABCapexAssetLife">#REF!</definedName>
    <definedName name="DLRegCostsInd">#REF!</definedName>
    <definedName name="DLRegPeriodStart">#REF!</definedName>
    <definedName name="DLRegResetAssTable">#REF!</definedName>
    <definedName name="DLTaxDepnRateAssetClass_1">#REF!</definedName>
    <definedName name="DLTaxDepnRateAssetClass_2">#REF!</definedName>
    <definedName name="DLTaxDepnRateAssetClass_3">#REF!</definedName>
    <definedName name="DLTaxDepnRateAssetClass_4">#REF!</definedName>
    <definedName name="DLTaxDepnRateCapex">#REF!</definedName>
    <definedName name="DLThirdRegResetDate">#REF!</definedName>
    <definedName name="DLYearsRegReset">#REF!</definedName>
    <definedName name="dms_DollarReal">#REF!</definedName>
    <definedName name="dms_Header_Span">#REF!</definedName>
    <definedName name="dms_Model">#REF!</definedName>
    <definedName name="dms_Model_List">#REF!</definedName>
    <definedName name="dms_MultiYear_ResponseFlag">#REF!</definedName>
    <definedName name="dms_TradingName">#REF!</definedName>
    <definedName name="dms_TradingName_List">#REF!</definedName>
    <definedName name="dms_TradingNameFull_List">#REF!</definedName>
    <definedName name="dms_Worksheet_List">#REF!</definedName>
    <definedName name="Doc_number">#REF!</definedName>
    <definedName name="dOldSFAdt">#REF!</definedName>
    <definedName name="Dollars">#REF!</definedName>
    <definedName name="DomLF">#REF!</definedName>
    <definedName name="DownArrow">#REF!</definedName>
    <definedName name="dProjCompDt">#REF!</definedName>
    <definedName name="Dr">#REF!</definedName>
    <definedName name="dRefidate1">#REF!</definedName>
    <definedName name="dRefiDate2">#REF!</definedName>
    <definedName name="Drp">#REF!</definedName>
    <definedName name="DRR">#REF!</definedName>
    <definedName name="DSRA_CF_Diff">#REF!</definedName>
    <definedName name="DSRA_Pasted">#REF!</definedName>
    <definedName name="DSRA_Target">#REF!</definedName>
    <definedName name="DSRADrawdownDate">#REF!</definedName>
    <definedName name="DSRAEndDate">#REF!</definedName>
    <definedName name="DSRAFlag">#REF!</definedName>
    <definedName name="DSRAPeriods">#REF!</definedName>
    <definedName name="DTA_ChgToEquity">#REF!</definedName>
    <definedName name="DTA_ClosBal">#REF!</definedName>
    <definedName name="Duke">#REF!</definedName>
    <definedName name="DUOSRIVPL">#REF!</definedName>
    <definedName name="Dv">#REF!</definedName>
    <definedName name="DZone">#REF!</definedName>
    <definedName name="e">#REF!</definedName>
    <definedName name="ear">OFFSET(InstrumentPeriodNumberHeading,2,0,_pdInstrumentNoOfPayments+1,1)</definedName>
    <definedName name="efqwef">OFFSET(ADSWAPCount,0,1+ItemsCols,1,ADSWAPCount)</definedName>
    <definedName name="Elgas">#REF!</definedName>
    <definedName name="EMPBUD99">#REF!</definedName>
    <definedName name="EMPLOYEES">#REF!</definedName>
    <definedName name="EN">#REF!</definedName>
    <definedName name="End_Date">#REF!</definedName>
    <definedName name="EndPeriodName1">#REF!</definedName>
    <definedName name="ene_var">#REF!</definedName>
    <definedName name="Engineering">#REF!</definedName>
    <definedName name="ENT">#REF!</definedName>
    <definedName name="EntNotTaxEffected">#REF!</definedName>
    <definedName name="Env_Servfee">#REF!</definedName>
    <definedName name="Envestra_equity">#REF!</definedName>
    <definedName name="Epic_PLcharge">#REF!</definedName>
    <definedName name="EqAcctInvest_B111">#REF!</definedName>
    <definedName name="EqAcctInvest_J002">#REF!</definedName>
    <definedName name="EqAcctInvest_J074">#REF!</definedName>
    <definedName name="EqiInjDate">#REF!</definedName>
    <definedName name="EqInc_Cams">#REF!</definedName>
    <definedName name="EqInc_Cams1">#REF!</definedName>
    <definedName name="EqInc_SeaGas">#REF!</definedName>
    <definedName name="EqInc_SeaGas1">#REF!</definedName>
    <definedName name="Equipment_Environmental_Requirements">#REF!</definedName>
    <definedName name="EquityAcc_Envestra">#REF!</definedName>
    <definedName name="EquityLCAmount">#REF!</definedName>
    <definedName name="EquityLCEstabFee">#REF!</definedName>
    <definedName name="EquityOrdinary">#REF!</definedName>
    <definedName name="Esc_Date">#REF!</definedName>
    <definedName name="ESTIMATED_REVENUE">#REF!</definedName>
    <definedName name="Ethane_other_3P">#REF!</definedName>
    <definedName name="EUREOMSPOT">#REF!</definedName>
    <definedName name="EUSWECodes">#REF!</definedName>
    <definedName name="EUSWECount">#REF!</definedName>
    <definedName name="EUSWEItems">#REF!</definedName>
    <definedName name="EUTable">#REF!</definedName>
    <definedName name="EXECUTIVE_SUMMARY">#REF!</definedName>
    <definedName name="Exit_Date">#REF!</definedName>
    <definedName name="Exit_PE_Multiple">#REF!</definedName>
    <definedName name="Export_Member_Data_by_PLAN">#REF!</definedName>
    <definedName name="EYRFlag">#REF!</definedName>
    <definedName name="EYRInterestInput">#REF!</definedName>
    <definedName name="f">#REF!</definedName>
    <definedName name="F_Capex_Expense_Type_Forecast">#REF!</definedName>
    <definedName name="F_Other_Income_Forecast">#REF!</definedName>
    <definedName name="FAFee">#REF!</definedName>
    <definedName name="FAFeeDiff">#REF!</definedName>
    <definedName name="FAFeePaste">#REF!</definedName>
    <definedName name="fbt_total_operating_cost">#REF!</definedName>
    <definedName name="Fcast_Pers">#REF!</definedName>
    <definedName name="FCMIYAUG05D">#REF!</definedName>
    <definedName name="FCMIYAUG95D">#REF!</definedName>
    <definedName name="FCMIYAUG98D">#REF!</definedName>
    <definedName name="FCMYAPR00D">#REF!</definedName>
    <definedName name="FCMYAPR95D">#REF!</definedName>
    <definedName name="FCMYAUG03D">#REF!</definedName>
    <definedName name="FCMYAUG08D">#REF!</definedName>
    <definedName name="FCMYAUG98D">#REF!</definedName>
    <definedName name="FCMYFEB06D">#REF!</definedName>
    <definedName name="FCMYJAN01D">#REF!</definedName>
    <definedName name="FCMYJAN98D">#REF!</definedName>
    <definedName name="FCMYJUL00D">#REF!</definedName>
    <definedName name="FCMYJUL05D">#REF!</definedName>
    <definedName name="FCMYJUL96D">#REF!</definedName>
    <definedName name="FCMYJUL99D">#REF!</definedName>
    <definedName name="FCMYMAR02D">#REF!</definedName>
    <definedName name="FCMYMAR97D">#REF!</definedName>
    <definedName name="FCMYMAR99D">#REF!</definedName>
    <definedName name="FCMYNOV01D">#REF!</definedName>
    <definedName name="FCMYNOV06D">#REF!</definedName>
    <definedName name="FCMYOCT02D">#REF!</definedName>
    <definedName name="FCMYOCT07D">#REF!</definedName>
    <definedName name="FCMYSEP04D">#REF!</definedName>
    <definedName name="FCMYSEP94D">#REF!</definedName>
    <definedName name="FCMYSEP95D">#REF!</definedName>
    <definedName name="FCMYSEP97D">#REF!</definedName>
    <definedName name="FDS">#REF!</definedName>
    <definedName name="Feb">#REF!</definedName>
    <definedName name="FEB10_SPEND">#REF!</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gfgf">#REF!,#REF!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SEPARATOR1">#REF!</definedName>
    <definedName name="FIELDNAMECOLUMN1">#REF!</definedName>
    <definedName name="FIELDNAMEROW1">#REF!</definedName>
    <definedName name="FinClose">#REF!</definedName>
    <definedName name="FinCloseEqInjInd">#REF!</definedName>
    <definedName name="FinCloseQtr">#REF!</definedName>
    <definedName name="FIRSTDATAROW1">#REF!</definedName>
    <definedName name="FirstDistDate">#REF!</definedName>
    <definedName name="FixedAA_tbl">#REF!</definedName>
    <definedName name="FloatingRateTable">#REF!</definedName>
    <definedName name="FNDNAM1">#REF!</definedName>
    <definedName name="FNDUSERID1">#REF!</definedName>
    <definedName name="Fone">#REF!</definedName>
    <definedName name="Forecast">#REF!</definedName>
    <definedName name="FormatOffset">#REF!</definedName>
    <definedName name="FRCP_y1">#REF!</definedName>
    <definedName name="FRCP_y2">#REF!</definedName>
    <definedName name="FRCP_y3">#REF!</definedName>
    <definedName name="FRCP_y4">#REF!</definedName>
    <definedName name="FRCP_y5">#REF!</definedName>
    <definedName name="FREQ">#REF!</definedName>
    <definedName name="FSFSDGSFGH">#REF!</definedName>
    <definedName name="fsProtoMapReport">#REF!</definedName>
    <definedName name="Fthree">#REF!</definedName>
    <definedName name="Ftwo">#REF!</definedName>
    <definedName name="FUEL">#REF!</definedName>
    <definedName name="Full_year">#REF!</definedName>
    <definedName name="FULLAUSTDIV">#REF!</definedName>
    <definedName name="Function_Code">#REF!</definedName>
    <definedName name="FUNCTIONALCURRENCY1">#REF!</definedName>
    <definedName name="FunctionType">#REF!</definedName>
    <definedName name="FutIncRights_B082">#REF!</definedName>
    <definedName name="FVU_Actual___by_month">#REF!</definedName>
    <definedName name="FVU_Actual___Year_to_date">#REF!</definedName>
    <definedName name="FVU_Budget___by_month">#REF!</definedName>
    <definedName name="FVU_Budget___Year_to_date">#REF!</definedName>
    <definedName name="FVU_Prior_Year___2000_2001____by_month">#REF!</definedName>
    <definedName name="FVU_Prior_Year___2000_2001____Year_to_date">#REF!</definedName>
    <definedName name="FY">#REF!</definedName>
    <definedName name="FY14_Dates">#REF!</definedName>
    <definedName name="g">#REF!</definedName>
    <definedName name="Gamma">#REF!</definedName>
    <definedName name="GasP1">#REF!</definedName>
    <definedName name="GasP2">#REF!</definedName>
    <definedName name="GASRECEIPTS">#REF!</definedName>
    <definedName name="GASSALES">#REF!</definedName>
    <definedName name="GASTRANSPORT">#REF!</definedName>
    <definedName name="GBPEOMSPOT">#REF!</definedName>
    <definedName name="GBPEOMSPOTFY13">#REF!</definedName>
    <definedName name="Gdwill_Impairment">#REF!</definedName>
    <definedName name="Gearing">#REF!</definedName>
    <definedName name="george">#REF!</definedName>
    <definedName name="Gladstone">#REF!</definedName>
    <definedName name="Gladstone_Costs">#REF!</definedName>
    <definedName name="GoalMargin">#REF!</definedName>
    <definedName name="Gold_Coast">#REF!</definedName>
    <definedName name="Gold_Coast_Cost">#REF!</definedName>
    <definedName name="Governance">#REF!</definedName>
    <definedName name="GPE">#REF!</definedName>
    <definedName name="Grade">#REF!</definedName>
    <definedName name="Graphs">#REF!</definedName>
    <definedName name="gst">#REF!</definedName>
    <definedName name="GSTCredit">#REF!</definedName>
    <definedName name="GWYUID1">#REF!</definedName>
    <definedName name="Gympie">#REF!</definedName>
    <definedName name="Gympie_Cost">#REF!</definedName>
    <definedName name="H4PurchaseConsideration">#REF!</definedName>
    <definedName name="Half_1">#REF!</definedName>
    <definedName name="Half_2">#REF!</definedName>
    <definedName name="Half_Yr_Name">#REF!</definedName>
    <definedName name="Halves_In_Yr">#REF!</definedName>
    <definedName name="HealthIndicators">#REF!</definedName>
    <definedName name="HedgeAssetMTM_B003">#REF!</definedName>
    <definedName name="HES">#REF!</definedName>
    <definedName name="HPRINT">#REF!</definedName>
    <definedName name="HR_Structure">#REF!</definedName>
    <definedName name="HRESPONSE">#REF!</definedName>
    <definedName name="Hrs_In_Day">#REF!</definedName>
    <definedName name="Hundred">#REF!</definedName>
    <definedName name="Hybrid_Conversion">#REF!</definedName>
    <definedName name="hyperion">#REF!</definedName>
    <definedName name="HYPWORK">#REF!</definedName>
    <definedName name="I_CLF">#REF!</definedName>
    <definedName name="ia_qld_other_income">#REF!</definedName>
    <definedName name="ia_sa_other_income">#REF!</definedName>
    <definedName name="ia_vic_other_income">#REF!</definedName>
    <definedName name="ib_qld_other_income">#REF!</definedName>
    <definedName name="ib_sa_other_income">#REF!</definedName>
    <definedName name="ib_vic_other_income">#REF!</definedName>
    <definedName name="ICT">#REF!</definedName>
    <definedName name="IDC">#REF!</definedName>
    <definedName name="IEProfit_ShareSales">#REF!</definedName>
    <definedName name="if_Other_income_full_year_forcast">#REF!</definedName>
    <definedName name="impact">#REF!</definedName>
    <definedName name="impact_rating">#REF!</definedName>
    <definedName name="Impact_Values">#REF!</definedName>
    <definedName name="ImpCredits_B002">#REF!</definedName>
    <definedName name="ImpCredits_B074">#REF!</definedName>
    <definedName name="implicitrate">#REF!</definedName>
    <definedName name="IMPORTDFF1">#REF!</definedName>
    <definedName name="Importrange">#REF!</definedName>
    <definedName name="INDACT98">#REF!</definedName>
    <definedName name="INDACT99">#REF!</definedName>
    <definedName name="INDBUD99">#REF!</definedName>
    <definedName name="INDVAR99">#REF!</definedName>
    <definedName name="inflation">#REF!</definedName>
    <definedName name="InstrumentCalculatedDatesHeading">#REF!</definedName>
    <definedName name="InstrumentDateColumn">OFFSET(InstrumentDateHeading,0,0,_pdInstrumentNoOfPayments+3,1)</definedName>
    <definedName name="InstrumentDateColumn2">OFFSET(InstrumentDateHeading,0,0,_pdInstrumentNoOfPayments+3,1)</definedName>
    <definedName name="InstrumentDateHeading">#REF!</definedName>
    <definedName name="InstrumentDates">OFFSET(InstrumentCalculatedDatesHeading,2,0,_pdInstrumentNoOfPayments+1,1)</definedName>
    <definedName name="InstrumentPeriodNumberColumn">OFFSET(InstrumentPeriodNumberHeading,0,0,_pdInstrumentNoOfPayments+3,1)</definedName>
    <definedName name="InstrumentPeriodNumberHeading">#REF!</definedName>
    <definedName name="InstrumentPeriodNumbers">OFFSET(InstrumentPeriodNumberHeading,2,0,_pdInstrumentNoOfPayments+1,1)</definedName>
    <definedName name="Insurance">#REF!</definedName>
    <definedName name="InsuranceFlag">#REF!</definedName>
    <definedName name="InsuranceSensitivity">#REF!</definedName>
    <definedName name="InsurRec_B002">#REF!</definedName>
    <definedName name="InsurRec_B007">#REF!</definedName>
    <definedName name="int_rate">#REF!</definedName>
    <definedName name="InterestbtwActModFinClose">#REF!</definedName>
    <definedName name="InterestTiming">#REF!</definedName>
    <definedName name="INVENTORY">#REF!</definedName>
    <definedName name="InvestAllow">#REF!</definedName>
    <definedName name="InvestmentAllowanceAmount">#REF!</definedName>
    <definedName name="InvoiceA27">#REF!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TH">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43436.8196180555</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50000</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YTDMONTH" hidden="1">130000</definedName>
    <definedName name="IQ_Z_SCORE" hidden="1">"c1339"</definedName>
    <definedName name="IS">#REF!</definedName>
    <definedName name="IS_RIBBON_CREATE_SUCCESS">TRUE</definedName>
    <definedName name="IS_RIBBON_SHOW_GRAPH_GROUP">FALSE</definedName>
    <definedName name="IS_RIBBON_SHOW_MAIN_GROUP">TRUE</definedName>
    <definedName name="IssuesForDiscussion">#REF!</definedName>
    <definedName name="Item">#REF!</definedName>
    <definedName name="item3">#REF!</definedName>
    <definedName name="item4_5">#REF!</definedName>
    <definedName name="ItemsCols">COLUMN(#REF!)-COLUMN(#REF!)</definedName>
    <definedName name="Iterations">#REF!</definedName>
    <definedName name="ixRange0">#REF!</definedName>
    <definedName name="ixRange0_1">#REF!</definedName>
    <definedName name="ixRange1">#REF!</definedName>
    <definedName name="ixRange1_1">#REF!</definedName>
    <definedName name="ixRange10">#REF!</definedName>
    <definedName name="ixRange10_1">#REF!</definedName>
    <definedName name="ixRange100">#REF!</definedName>
    <definedName name="ixRange100_1">#REF!</definedName>
    <definedName name="ixRange101">#REF!</definedName>
    <definedName name="ixRange101_1">#REF!</definedName>
    <definedName name="ixRange102">#REF!</definedName>
    <definedName name="ixRange102_1">#REF!</definedName>
    <definedName name="ixRange103">#REF!</definedName>
    <definedName name="ixRange103_1">#REF!</definedName>
    <definedName name="ixRange104">#REF!</definedName>
    <definedName name="ixRange104_1">#REF!</definedName>
    <definedName name="ixRange105">#REF!</definedName>
    <definedName name="ixRange105_1">#REF!</definedName>
    <definedName name="ixRange106">#REF!</definedName>
    <definedName name="ixRange106_1">#REF!</definedName>
    <definedName name="ixRange107">#REF!</definedName>
    <definedName name="ixRange107_1">#REF!</definedName>
    <definedName name="ixRange108">#REF!</definedName>
    <definedName name="ixRange108_1">#REF!</definedName>
    <definedName name="ixRange109">#REF!</definedName>
    <definedName name="ixRange109_1">#REF!</definedName>
    <definedName name="ixRange11">#REF!</definedName>
    <definedName name="ixRange11_1">#REF!</definedName>
    <definedName name="ixRange110">#REF!</definedName>
    <definedName name="ixRange110_1">#REF!</definedName>
    <definedName name="ixRange111">#REF!</definedName>
    <definedName name="ixRange111_1">#REF!</definedName>
    <definedName name="ixRange112">#REF!</definedName>
    <definedName name="ixRange112_1">#REF!</definedName>
    <definedName name="ixRange113">#REF!</definedName>
    <definedName name="ixRange113_1">#REF!</definedName>
    <definedName name="ixRange114">#REF!</definedName>
    <definedName name="ixRange114_1">#REF!</definedName>
    <definedName name="ixRange115">#REF!</definedName>
    <definedName name="ixRange115_1">#REF!</definedName>
    <definedName name="ixRange116">#REF!</definedName>
    <definedName name="ixRange116_1">#REF!</definedName>
    <definedName name="ixRange117">#REF!</definedName>
    <definedName name="ixRange117_1">#REF!</definedName>
    <definedName name="ixRange118">#REF!</definedName>
    <definedName name="ixRange118_1">#REF!</definedName>
    <definedName name="ixRange119">#REF!</definedName>
    <definedName name="ixRange119_1">#REF!</definedName>
    <definedName name="ixRange12">#REF!</definedName>
    <definedName name="ixRange12_1">#REF!</definedName>
    <definedName name="ixRange120">#REF!</definedName>
    <definedName name="ixRange120_1">#REF!</definedName>
    <definedName name="ixRange121">#REF!</definedName>
    <definedName name="ixRange121_1">#REF!</definedName>
    <definedName name="ixRange122">#REF!</definedName>
    <definedName name="ixRange122_1">#REF!</definedName>
    <definedName name="ixRange123">#REF!</definedName>
    <definedName name="ixRange123_1">#REF!</definedName>
    <definedName name="ixRange124">#REF!</definedName>
    <definedName name="ixRange124_1">#REF!</definedName>
    <definedName name="ixRange125">#REF!</definedName>
    <definedName name="ixRange125_1">#REF!</definedName>
    <definedName name="ixRange126">#REF!</definedName>
    <definedName name="ixRange126_1">#REF!</definedName>
    <definedName name="ixRange127">#REF!</definedName>
    <definedName name="ixRange127_1">#REF!</definedName>
    <definedName name="ixRange128">#REF!</definedName>
    <definedName name="ixRange128_1">#REF!</definedName>
    <definedName name="ixRange129">#REF!</definedName>
    <definedName name="ixRange129_1">#REF!</definedName>
    <definedName name="ixRange13">#REF!</definedName>
    <definedName name="ixRange13_1">#REF!</definedName>
    <definedName name="ixRange130">#REF!</definedName>
    <definedName name="ixRange130_1">#REF!</definedName>
    <definedName name="ixRange131">#REF!</definedName>
    <definedName name="ixRange131_1">#REF!</definedName>
    <definedName name="ixRange132">#REF!</definedName>
    <definedName name="ixRange132_1">#REF!</definedName>
    <definedName name="ixRange133">#REF!</definedName>
    <definedName name="ixRange133_1">#REF!</definedName>
    <definedName name="ixRange134">#REF!</definedName>
    <definedName name="ixRange134_1">#REF!</definedName>
    <definedName name="ixRange135">#REF!</definedName>
    <definedName name="ixRange135_1">#REF!</definedName>
    <definedName name="ixRange136">#REF!</definedName>
    <definedName name="ixRange136_1">#REF!</definedName>
    <definedName name="ixRange137">#REF!</definedName>
    <definedName name="ixRange137_1">#REF!</definedName>
    <definedName name="ixRange138">#REF!</definedName>
    <definedName name="ixRange138_1">#REF!</definedName>
    <definedName name="ixRange139">#REF!</definedName>
    <definedName name="ixRange139_1">#REF!</definedName>
    <definedName name="ixRange14">#REF!</definedName>
    <definedName name="ixRange14_1">#REF!</definedName>
    <definedName name="ixRange140">#REF!</definedName>
    <definedName name="ixRange140_1">#REF!</definedName>
    <definedName name="ixRange141">#REF!</definedName>
    <definedName name="ixRange141_1">#REF!</definedName>
    <definedName name="ixRange142">#REF!</definedName>
    <definedName name="ixRange142_1">#REF!</definedName>
    <definedName name="ixRange143">#REF!</definedName>
    <definedName name="ixRange143_1">#REF!</definedName>
    <definedName name="ixRange144">#REF!</definedName>
    <definedName name="ixRange144_1">#REF!</definedName>
    <definedName name="ixRange145">#REF!</definedName>
    <definedName name="ixRange145_1">#REF!</definedName>
    <definedName name="ixRange146">#REF!</definedName>
    <definedName name="ixRange146_1">#REF!</definedName>
    <definedName name="ixRange147">#REF!</definedName>
    <definedName name="ixRange147_1">#REF!</definedName>
    <definedName name="ixRange148">#REF!</definedName>
    <definedName name="ixRange148_1">#REF!</definedName>
    <definedName name="ixRange149">#REF!</definedName>
    <definedName name="ixRange149_1">#REF!</definedName>
    <definedName name="ixRange15">#REF!</definedName>
    <definedName name="ixRange15_1">#REF!</definedName>
    <definedName name="ixRange150">#REF!</definedName>
    <definedName name="ixRange150_1">#REF!</definedName>
    <definedName name="ixRange151">#REF!</definedName>
    <definedName name="ixRange151_1">#REF!</definedName>
    <definedName name="ixRange152">#REF!</definedName>
    <definedName name="ixRange152_1">#REF!</definedName>
    <definedName name="ixRange153">#REF!</definedName>
    <definedName name="ixRange153_1">#REF!</definedName>
    <definedName name="ixRange154">#REF!</definedName>
    <definedName name="ixRange154_1">#REF!</definedName>
    <definedName name="ixRange155">#REF!</definedName>
    <definedName name="ixRange155_1">#REF!</definedName>
    <definedName name="ixRange156">#REF!</definedName>
    <definedName name="ixRange156_1">#REF!</definedName>
    <definedName name="ixRange157">#REF!</definedName>
    <definedName name="ixRange157_1">#REF!</definedName>
    <definedName name="ixRange158">#REF!</definedName>
    <definedName name="ixRange158_1">#REF!</definedName>
    <definedName name="ixRange159">#REF!</definedName>
    <definedName name="ixRange159_1">#REF!</definedName>
    <definedName name="ixRange16">#REF!</definedName>
    <definedName name="ixRange16_1">#REF!</definedName>
    <definedName name="ixRange160">#REF!</definedName>
    <definedName name="ixRange160_1">#REF!</definedName>
    <definedName name="ixRange161">#REF!</definedName>
    <definedName name="ixRange161_1">#REF!</definedName>
    <definedName name="ixRange162">#REF!</definedName>
    <definedName name="ixRange162_1">#REF!</definedName>
    <definedName name="ixRange163">#REF!</definedName>
    <definedName name="ixRange163_1">#REF!</definedName>
    <definedName name="ixRange164">#REF!</definedName>
    <definedName name="ixRange164_1">#REF!</definedName>
    <definedName name="ixRange165">#REF!</definedName>
    <definedName name="ixRange165_1">#REF!</definedName>
    <definedName name="ixRange166">#REF!</definedName>
    <definedName name="ixRange166_1">#REF!</definedName>
    <definedName name="ixRange167">#REF!</definedName>
    <definedName name="ixRange167_1">#REF!</definedName>
    <definedName name="ixRange168">#REF!</definedName>
    <definedName name="ixRange168_1">#REF!</definedName>
    <definedName name="ixRange169">#REF!</definedName>
    <definedName name="ixRange169_1">#REF!</definedName>
    <definedName name="ixRange17">#REF!</definedName>
    <definedName name="ixRange17_1">#REF!</definedName>
    <definedName name="ixRange170">#REF!</definedName>
    <definedName name="ixRange170_1">#REF!</definedName>
    <definedName name="ixRange171">#REF!</definedName>
    <definedName name="ixRange171_1">#REF!</definedName>
    <definedName name="ixRange172">#REF!</definedName>
    <definedName name="ixRange172_1">#REF!</definedName>
    <definedName name="ixRange173">#REF!</definedName>
    <definedName name="ixRange173_1">#REF!</definedName>
    <definedName name="ixRange174">#REF!</definedName>
    <definedName name="ixRange174_1">#REF!</definedName>
    <definedName name="ixRange175">#REF!</definedName>
    <definedName name="ixRange175_1">#REF!</definedName>
    <definedName name="ixRange176">#REF!</definedName>
    <definedName name="ixRange176_1">#REF!</definedName>
    <definedName name="ixRange177">#REF!</definedName>
    <definedName name="ixRange177_1">#REF!</definedName>
    <definedName name="ixRange178">#REF!</definedName>
    <definedName name="ixRange178_1">#REF!</definedName>
    <definedName name="ixRange179">#REF!</definedName>
    <definedName name="ixRange179_1">#REF!</definedName>
    <definedName name="ixRange18">#REF!</definedName>
    <definedName name="ixRange18_1">#REF!</definedName>
    <definedName name="ixRange180">#REF!</definedName>
    <definedName name="ixRange180_1">#REF!</definedName>
    <definedName name="ixRange181">#REF!</definedName>
    <definedName name="ixRange181_1">#REF!</definedName>
    <definedName name="ixRange182">#REF!</definedName>
    <definedName name="ixRange182_1">#REF!</definedName>
    <definedName name="ixRange183">#REF!</definedName>
    <definedName name="ixRange183_1">#REF!</definedName>
    <definedName name="ixRange184">#REF!</definedName>
    <definedName name="ixRange184_1">#REF!</definedName>
    <definedName name="ixRange185">#REF!</definedName>
    <definedName name="ixRange185_1">#REF!</definedName>
    <definedName name="ixRange186">#REF!</definedName>
    <definedName name="ixRange186_1">#REF!</definedName>
    <definedName name="ixRange187">#REF!</definedName>
    <definedName name="ixRange187_1">#REF!</definedName>
    <definedName name="ixRange188">#REF!</definedName>
    <definedName name="ixRange188_1">#REF!</definedName>
    <definedName name="ixRange189">#REF!</definedName>
    <definedName name="ixRange189_1">#REF!</definedName>
    <definedName name="ixRange19">#REF!</definedName>
    <definedName name="ixRange19_1">#REF!</definedName>
    <definedName name="ixRange190">#REF!</definedName>
    <definedName name="ixRange190_1">#REF!</definedName>
    <definedName name="ixRange191">#REF!</definedName>
    <definedName name="ixRange191_1">#REF!</definedName>
    <definedName name="ixRange192">#REF!</definedName>
    <definedName name="ixRange192_1">#REF!</definedName>
    <definedName name="ixRange193">#REF!</definedName>
    <definedName name="ixRange193_1">#REF!</definedName>
    <definedName name="ixRange194">#REF!</definedName>
    <definedName name="ixRange194_1">#REF!</definedName>
    <definedName name="ixRange195">#REF!</definedName>
    <definedName name="ixRange195_1">#REF!</definedName>
    <definedName name="ixRange196">#REF!</definedName>
    <definedName name="ixRange196_1">#REF!</definedName>
    <definedName name="ixRange197">#REF!</definedName>
    <definedName name="ixRange197_1">#REF!</definedName>
    <definedName name="ixRange198">#REF!</definedName>
    <definedName name="ixRange198_1">#REF!</definedName>
    <definedName name="ixRange199">#REF!</definedName>
    <definedName name="ixRange199_1">#REF!</definedName>
    <definedName name="ixRange2">#REF!</definedName>
    <definedName name="ixRange2_1">#REF!</definedName>
    <definedName name="ixRange20">#REF!</definedName>
    <definedName name="ixRange20_1">#REF!</definedName>
    <definedName name="ixRange200">#REF!</definedName>
    <definedName name="ixRange200_1">#REF!</definedName>
    <definedName name="ixRange201">#REF!</definedName>
    <definedName name="ixRange201_1">#REF!</definedName>
    <definedName name="ixRange202">#REF!</definedName>
    <definedName name="ixRange202_1">#REF!</definedName>
    <definedName name="ixRange203">#REF!</definedName>
    <definedName name="ixRange203_1">#REF!</definedName>
    <definedName name="ixRange204">#REF!</definedName>
    <definedName name="ixRange204_1">#REF!</definedName>
    <definedName name="ixRange205">#REF!</definedName>
    <definedName name="ixRange205_1">#REF!</definedName>
    <definedName name="ixRange206">#REF!</definedName>
    <definedName name="ixRange206_1">#REF!</definedName>
    <definedName name="ixRange207">#REF!</definedName>
    <definedName name="ixRange207_1">#REF!</definedName>
    <definedName name="ixRange208">#REF!</definedName>
    <definedName name="ixRange208_1">#REF!</definedName>
    <definedName name="ixRange209">#REF!</definedName>
    <definedName name="ixRange209_1">#REF!</definedName>
    <definedName name="ixRange21">#REF!</definedName>
    <definedName name="ixRange21_1">#REF!</definedName>
    <definedName name="ixRange210">#REF!</definedName>
    <definedName name="ixRange210_1">#REF!</definedName>
    <definedName name="ixRange211">#REF!</definedName>
    <definedName name="ixRange211_1">#REF!</definedName>
    <definedName name="ixRange212">#REF!</definedName>
    <definedName name="ixRange212_1">#REF!</definedName>
    <definedName name="ixRange213">#REF!</definedName>
    <definedName name="ixRange213_1">#REF!</definedName>
    <definedName name="ixRange214">#REF!</definedName>
    <definedName name="ixRange214_1">#REF!</definedName>
    <definedName name="ixRange215">#REF!</definedName>
    <definedName name="ixRange215_1">#REF!</definedName>
    <definedName name="ixRange216">#REF!</definedName>
    <definedName name="ixRange216_1">#REF!</definedName>
    <definedName name="ixRange217">#REF!</definedName>
    <definedName name="ixRange217_1">#REF!</definedName>
    <definedName name="ixRange218">#REF!</definedName>
    <definedName name="ixRange218_1">#REF!</definedName>
    <definedName name="ixRange219">#REF!</definedName>
    <definedName name="ixRange219_1">#REF!</definedName>
    <definedName name="ixRange22">#REF!</definedName>
    <definedName name="ixRange22_1">#REF!</definedName>
    <definedName name="ixRange220">#REF!</definedName>
    <definedName name="ixRange220_1">#REF!</definedName>
    <definedName name="ixRange221">#REF!</definedName>
    <definedName name="ixRange221_1">#REF!</definedName>
    <definedName name="ixRange222">#REF!</definedName>
    <definedName name="ixRange222_1">#REF!</definedName>
    <definedName name="ixRange223">#REF!</definedName>
    <definedName name="ixRange223_1">#REF!</definedName>
    <definedName name="ixRange224">#REF!</definedName>
    <definedName name="ixRange224_1">#REF!</definedName>
    <definedName name="ixRange225">#REF!</definedName>
    <definedName name="ixRange225_1">#REF!</definedName>
    <definedName name="ixRange226">#REF!</definedName>
    <definedName name="ixRange226_1">#REF!</definedName>
    <definedName name="ixRange227">#REF!</definedName>
    <definedName name="ixRange227_1">#REF!</definedName>
    <definedName name="ixRange228">#REF!</definedName>
    <definedName name="ixRange228_1">#REF!</definedName>
    <definedName name="ixRange229">#REF!</definedName>
    <definedName name="ixRange229_1">#REF!</definedName>
    <definedName name="ixRange23">#REF!</definedName>
    <definedName name="ixRange23_1">#REF!</definedName>
    <definedName name="ixRange230">#REF!</definedName>
    <definedName name="ixRange230_1">#REF!</definedName>
    <definedName name="ixRange231">#REF!</definedName>
    <definedName name="ixRange231_1">#REF!</definedName>
    <definedName name="ixRange232">#REF!</definedName>
    <definedName name="ixRange232_1">#REF!</definedName>
    <definedName name="ixRange233">#REF!</definedName>
    <definedName name="ixRange233_1">#REF!</definedName>
    <definedName name="ixRange234">#REF!</definedName>
    <definedName name="ixRange234_1">#REF!</definedName>
    <definedName name="ixRange235">#REF!</definedName>
    <definedName name="ixRange235_1">#REF!</definedName>
    <definedName name="ixRange236">#REF!</definedName>
    <definedName name="ixRange236_1">#REF!</definedName>
    <definedName name="ixRange237">#REF!</definedName>
    <definedName name="ixRange237_1">#REF!</definedName>
    <definedName name="ixRange238">#REF!</definedName>
    <definedName name="ixRange238_1">#REF!</definedName>
    <definedName name="ixRange239">#REF!</definedName>
    <definedName name="ixRange239_1">#REF!</definedName>
    <definedName name="ixRange24">#REF!</definedName>
    <definedName name="ixRange24_1">#REF!</definedName>
    <definedName name="ixRange240">#REF!</definedName>
    <definedName name="ixRange240_1">#REF!</definedName>
    <definedName name="ixRange241">#REF!</definedName>
    <definedName name="ixRange241_1">#REF!</definedName>
    <definedName name="ixRange242">#REF!</definedName>
    <definedName name="ixRange242_1">#REF!</definedName>
    <definedName name="ixRange243">#REF!</definedName>
    <definedName name="ixRange243_1">#REF!</definedName>
    <definedName name="ixRange244">#REF!</definedName>
    <definedName name="ixRange244_1">#REF!</definedName>
    <definedName name="ixRange245">#REF!</definedName>
    <definedName name="ixRange245_1">#REF!</definedName>
    <definedName name="ixRange246">#REF!</definedName>
    <definedName name="ixRange246_1">#REF!</definedName>
    <definedName name="ixRange247">#REF!</definedName>
    <definedName name="ixRange247_1">#REF!</definedName>
    <definedName name="ixRange248">#REF!</definedName>
    <definedName name="ixRange248_1">#REF!</definedName>
    <definedName name="ixRange249">#REF!</definedName>
    <definedName name="ixRange249_1">#REF!</definedName>
    <definedName name="ixRange25">#REF!</definedName>
    <definedName name="ixRange25_1">#REF!</definedName>
    <definedName name="ixRange250">#REF!</definedName>
    <definedName name="ixRange250_1">#REF!</definedName>
    <definedName name="ixRange251">#REF!</definedName>
    <definedName name="ixRange251_1">#REF!</definedName>
    <definedName name="ixRange252">#REF!</definedName>
    <definedName name="ixRange252_1">#REF!</definedName>
    <definedName name="ixRange253">#REF!</definedName>
    <definedName name="ixRange253_1">#REF!</definedName>
    <definedName name="ixRange254">#REF!</definedName>
    <definedName name="ixRange254_1">#REF!</definedName>
    <definedName name="ixRange255">#REF!</definedName>
    <definedName name="ixRange255_1">#REF!</definedName>
    <definedName name="ixRange256">#REF!</definedName>
    <definedName name="ixRange256_1">#REF!</definedName>
    <definedName name="ixRange257">#REF!</definedName>
    <definedName name="ixRange257_1">#REF!</definedName>
    <definedName name="ixRange258">#REF!</definedName>
    <definedName name="ixRange258_1">#REF!</definedName>
    <definedName name="ixRange259">#REF!</definedName>
    <definedName name="ixRange259_1">#REF!</definedName>
    <definedName name="ixRange26">#REF!</definedName>
    <definedName name="ixRange26_1">#REF!</definedName>
    <definedName name="ixRange260">#REF!</definedName>
    <definedName name="ixRange260_1">#REF!</definedName>
    <definedName name="ixRange261">#REF!</definedName>
    <definedName name="ixRange261_1">#REF!</definedName>
    <definedName name="ixRange262">#REF!</definedName>
    <definedName name="ixRange262_1">#REF!</definedName>
    <definedName name="ixRange263">#REF!</definedName>
    <definedName name="ixRange263_1">#REF!</definedName>
    <definedName name="ixRange264">#REF!</definedName>
    <definedName name="ixRange264_1">#REF!</definedName>
    <definedName name="ixRange265">#REF!</definedName>
    <definedName name="ixRange265_1">#REF!</definedName>
    <definedName name="ixRange266">#REF!</definedName>
    <definedName name="ixRange266_1">#REF!</definedName>
    <definedName name="ixRange267">#REF!</definedName>
    <definedName name="ixRange267_1">#REF!</definedName>
    <definedName name="ixRange268">#REF!</definedName>
    <definedName name="ixRange268_1">#REF!</definedName>
    <definedName name="ixRange269">#REF!</definedName>
    <definedName name="ixRange269_1">#REF!</definedName>
    <definedName name="ixRange27">#REF!</definedName>
    <definedName name="ixRange27_1">#REF!</definedName>
    <definedName name="ixRange270">#REF!</definedName>
    <definedName name="ixRange270_1">#REF!</definedName>
    <definedName name="ixRange271">#REF!</definedName>
    <definedName name="ixRange271_1">#REF!</definedName>
    <definedName name="ixRange272">#REF!</definedName>
    <definedName name="ixRange272_1">#REF!</definedName>
    <definedName name="ixRange273">#REF!</definedName>
    <definedName name="ixRange273_1">#REF!</definedName>
    <definedName name="ixRange274">#REF!</definedName>
    <definedName name="ixRange274_1">#REF!</definedName>
    <definedName name="ixRange275">#REF!</definedName>
    <definedName name="ixRange275_1">#REF!</definedName>
    <definedName name="ixRange276">#REF!</definedName>
    <definedName name="ixRange276_1">#REF!</definedName>
    <definedName name="ixRange277">#REF!</definedName>
    <definedName name="ixRange277_1">#REF!</definedName>
    <definedName name="ixRange278">#REF!</definedName>
    <definedName name="ixRange278_1">#REF!</definedName>
    <definedName name="ixRange279">#REF!</definedName>
    <definedName name="ixRange279_1">#REF!</definedName>
    <definedName name="ixRange28">#REF!</definedName>
    <definedName name="ixRange28_1">#REF!</definedName>
    <definedName name="ixRange280">#REF!</definedName>
    <definedName name="ixRange280_1">#REF!</definedName>
    <definedName name="ixRange281">#REF!</definedName>
    <definedName name="ixRange281_1">#REF!</definedName>
    <definedName name="ixRange282">#REF!</definedName>
    <definedName name="ixRange282_1">#REF!</definedName>
    <definedName name="ixRange283">#REF!</definedName>
    <definedName name="ixRange283_1">#REF!</definedName>
    <definedName name="ixRange284">#REF!</definedName>
    <definedName name="ixRange284_1">#REF!</definedName>
    <definedName name="ixRange285">#REF!</definedName>
    <definedName name="ixRange285_1">#REF!</definedName>
    <definedName name="ixRange286">#REF!</definedName>
    <definedName name="ixRange286_1">#REF!</definedName>
    <definedName name="ixRange287">#REF!</definedName>
    <definedName name="ixRange287_1">#REF!</definedName>
    <definedName name="ixRange288">#REF!</definedName>
    <definedName name="ixRange288_1">#REF!</definedName>
    <definedName name="ixRange289">#REF!</definedName>
    <definedName name="ixRange289_1">#REF!</definedName>
    <definedName name="ixRange29">#REF!</definedName>
    <definedName name="ixRange29_1">#REF!</definedName>
    <definedName name="ixRange290">#REF!</definedName>
    <definedName name="ixRange290_1">#REF!</definedName>
    <definedName name="ixRange291">#REF!</definedName>
    <definedName name="ixRange291_1">#REF!</definedName>
    <definedName name="ixRange292">#REF!</definedName>
    <definedName name="ixRange292_1">#REF!</definedName>
    <definedName name="ixRange293">#REF!</definedName>
    <definedName name="ixRange293_1">#REF!</definedName>
    <definedName name="ixRange294">#REF!</definedName>
    <definedName name="ixRange294_1">#REF!</definedName>
    <definedName name="ixRange295">#REF!</definedName>
    <definedName name="ixRange295_1">#REF!</definedName>
    <definedName name="ixRange296">#REF!</definedName>
    <definedName name="ixRange296_1">#REF!</definedName>
    <definedName name="ixRange297">#REF!</definedName>
    <definedName name="ixRange297_1">#REF!</definedName>
    <definedName name="ixRange298">#REF!</definedName>
    <definedName name="ixRange298_1">#REF!</definedName>
    <definedName name="ixRange299">#REF!</definedName>
    <definedName name="ixRange299_1">#REF!</definedName>
    <definedName name="ixRange3">#REF!</definedName>
    <definedName name="ixRange3_1">#REF!</definedName>
    <definedName name="ixRange30">#REF!</definedName>
    <definedName name="ixRange30_1">#REF!</definedName>
    <definedName name="ixRange300">#REF!</definedName>
    <definedName name="ixRange300_1">#REF!</definedName>
    <definedName name="ixRange301">#REF!</definedName>
    <definedName name="ixRange301_1">#REF!</definedName>
    <definedName name="ixRange302">#REF!</definedName>
    <definedName name="ixRange302_1">#REF!</definedName>
    <definedName name="ixRange303">#REF!</definedName>
    <definedName name="ixRange303_1">#REF!</definedName>
    <definedName name="ixRange304">#REF!</definedName>
    <definedName name="ixRange304_1">#REF!</definedName>
    <definedName name="ixRange305">#REF!</definedName>
    <definedName name="ixRange305_1">#REF!</definedName>
    <definedName name="ixRange306">#REF!</definedName>
    <definedName name="ixRange306_1">#REF!</definedName>
    <definedName name="ixRange307">#REF!</definedName>
    <definedName name="ixRange307_1">#REF!</definedName>
    <definedName name="ixRange308">#REF!</definedName>
    <definedName name="ixRange308_1">#REF!</definedName>
    <definedName name="ixRange309">#REF!</definedName>
    <definedName name="ixRange309_1">#REF!</definedName>
    <definedName name="ixRange31">#REF!</definedName>
    <definedName name="ixRange31_1">#REF!</definedName>
    <definedName name="ixRange310">#REF!</definedName>
    <definedName name="ixRange310_1">#REF!</definedName>
    <definedName name="ixRange311">#REF!</definedName>
    <definedName name="ixRange311_1">#REF!</definedName>
    <definedName name="ixRange312">#REF!</definedName>
    <definedName name="ixRange312_1">#REF!</definedName>
    <definedName name="ixRange313">#REF!</definedName>
    <definedName name="ixRange313_1">#REF!</definedName>
    <definedName name="ixRange314">#REF!</definedName>
    <definedName name="ixRange314_1">#REF!</definedName>
    <definedName name="ixRange315">#REF!</definedName>
    <definedName name="ixRange315_1">#REF!</definedName>
    <definedName name="ixRange316">#REF!</definedName>
    <definedName name="ixRange316_1">#REF!</definedName>
    <definedName name="ixRange317">#REF!</definedName>
    <definedName name="ixRange317_1">#REF!</definedName>
    <definedName name="ixRange318">#REF!</definedName>
    <definedName name="ixRange318_1">#REF!</definedName>
    <definedName name="ixRange319">#REF!</definedName>
    <definedName name="ixRange319_1">#REF!</definedName>
    <definedName name="ixRange32">#REF!</definedName>
    <definedName name="ixRange32_1">#REF!</definedName>
    <definedName name="ixRange320">#REF!</definedName>
    <definedName name="ixRange320_1">#REF!</definedName>
    <definedName name="ixRange321">#REF!</definedName>
    <definedName name="ixRange321_1">#REF!</definedName>
    <definedName name="ixRange322">#REF!</definedName>
    <definedName name="ixRange322_1">#REF!</definedName>
    <definedName name="ixRange323">#REF!</definedName>
    <definedName name="ixRange323_1">#REF!</definedName>
    <definedName name="ixRange324">#REF!</definedName>
    <definedName name="ixRange324_1">#REF!</definedName>
    <definedName name="ixRange325">#REF!</definedName>
    <definedName name="ixRange325_1">#REF!</definedName>
    <definedName name="ixRange326">#REF!</definedName>
    <definedName name="ixRange326_1">#REF!</definedName>
    <definedName name="ixRange327">#REF!</definedName>
    <definedName name="ixRange327_1">#REF!</definedName>
    <definedName name="ixRange328">#REF!</definedName>
    <definedName name="ixRange328_1">#REF!</definedName>
    <definedName name="ixRange329">#REF!</definedName>
    <definedName name="ixRange329_1">#REF!</definedName>
    <definedName name="ixRange33">#REF!</definedName>
    <definedName name="ixRange33_1">#REF!</definedName>
    <definedName name="ixRange330">#REF!</definedName>
    <definedName name="ixRange330_1">#REF!</definedName>
    <definedName name="ixRange331">#REF!</definedName>
    <definedName name="ixRange331_1">#REF!</definedName>
    <definedName name="ixRange332">#REF!</definedName>
    <definedName name="ixRange332_1">#REF!</definedName>
    <definedName name="ixRange333">#REF!</definedName>
    <definedName name="ixRange333_1">#REF!</definedName>
    <definedName name="ixRange334">#REF!</definedName>
    <definedName name="ixRange334_1">#REF!</definedName>
    <definedName name="ixRange335">#REF!</definedName>
    <definedName name="ixRange335_1">#REF!</definedName>
    <definedName name="ixRange336">#REF!</definedName>
    <definedName name="ixRange336_1">#REF!</definedName>
    <definedName name="ixRange337">#REF!</definedName>
    <definedName name="ixRange337_1">#REF!</definedName>
    <definedName name="ixRange338">#REF!</definedName>
    <definedName name="ixRange338_1">#REF!</definedName>
    <definedName name="ixRange339">#REF!</definedName>
    <definedName name="ixRange339_1">#REF!</definedName>
    <definedName name="ixRange34">#REF!</definedName>
    <definedName name="ixRange34_1">#REF!</definedName>
    <definedName name="ixRange340">#REF!</definedName>
    <definedName name="ixRange340_1">#REF!</definedName>
    <definedName name="ixRange341">#REF!</definedName>
    <definedName name="ixRange341_1">#REF!</definedName>
    <definedName name="ixRange342">#REF!</definedName>
    <definedName name="ixRange342_1">#REF!</definedName>
    <definedName name="ixRange343">#REF!</definedName>
    <definedName name="ixRange343_1">#REF!</definedName>
    <definedName name="ixRange344">#REF!</definedName>
    <definedName name="ixRange344_1">#REF!</definedName>
    <definedName name="ixRange345">#REF!</definedName>
    <definedName name="ixRange345_1">#REF!</definedName>
    <definedName name="ixRange346">#REF!</definedName>
    <definedName name="ixRange346_1">#REF!</definedName>
    <definedName name="ixRange347">#REF!</definedName>
    <definedName name="ixRange347_1">#REF!</definedName>
    <definedName name="ixRange348">#REF!</definedName>
    <definedName name="ixRange348_1">#REF!</definedName>
    <definedName name="ixRange349">#REF!</definedName>
    <definedName name="ixRange349_1">#REF!</definedName>
    <definedName name="ixRange35">#REF!</definedName>
    <definedName name="ixRange35_1">#REF!</definedName>
    <definedName name="ixRange350">#REF!</definedName>
    <definedName name="ixRange350_1">#REF!</definedName>
    <definedName name="ixRange351">#REF!</definedName>
    <definedName name="ixRange351_1">#REF!</definedName>
    <definedName name="ixRange352">#REF!</definedName>
    <definedName name="ixRange352_1">#REF!</definedName>
    <definedName name="ixRange353">#REF!</definedName>
    <definedName name="ixRange353_1">#REF!</definedName>
    <definedName name="ixRange354">#REF!</definedName>
    <definedName name="ixRange354_1">#REF!</definedName>
    <definedName name="ixRange355">#REF!</definedName>
    <definedName name="ixRange355_1">#REF!</definedName>
    <definedName name="ixRange356">#REF!</definedName>
    <definedName name="ixRange356_1">#REF!</definedName>
    <definedName name="ixRange357">#REF!</definedName>
    <definedName name="ixRange357_1">#REF!</definedName>
    <definedName name="ixRange358">#REF!</definedName>
    <definedName name="ixRange358_1">#REF!</definedName>
    <definedName name="ixRange359">#REF!</definedName>
    <definedName name="ixRange359_1">#REF!</definedName>
    <definedName name="ixRange36">#REF!</definedName>
    <definedName name="ixRange36_1">#REF!</definedName>
    <definedName name="ixRange360">#REF!</definedName>
    <definedName name="ixRange360_1">#REF!</definedName>
    <definedName name="ixRange361">#REF!</definedName>
    <definedName name="ixRange361_1">#REF!</definedName>
    <definedName name="ixRange362">#REF!</definedName>
    <definedName name="ixRange362_1">#REF!</definedName>
    <definedName name="ixRange363">#REF!</definedName>
    <definedName name="ixRange363_1">#REF!</definedName>
    <definedName name="ixRange364">#REF!</definedName>
    <definedName name="ixRange364_1">#REF!</definedName>
    <definedName name="ixRange365">#REF!</definedName>
    <definedName name="ixRange365_1">#REF!</definedName>
    <definedName name="ixRange366">#REF!</definedName>
    <definedName name="ixRange366_1">#REF!</definedName>
    <definedName name="ixRange367">#REF!</definedName>
    <definedName name="ixRange367_1">#REF!</definedName>
    <definedName name="ixRange368">#REF!</definedName>
    <definedName name="ixRange368_1">#REF!</definedName>
    <definedName name="ixRange369">#REF!</definedName>
    <definedName name="ixRange369_1">#REF!</definedName>
    <definedName name="ixRange37">#REF!</definedName>
    <definedName name="ixRange37_1">#REF!</definedName>
    <definedName name="ixRange370">#REF!</definedName>
    <definedName name="ixRange370_1">#REF!</definedName>
    <definedName name="ixRange371">#REF!</definedName>
    <definedName name="ixRange371_1">#REF!</definedName>
    <definedName name="ixRange372">#REF!</definedName>
    <definedName name="ixRange372_1">#REF!</definedName>
    <definedName name="ixRange373">#REF!</definedName>
    <definedName name="ixRange373_1">#REF!</definedName>
    <definedName name="ixRange374">#REF!</definedName>
    <definedName name="ixRange374_1">#REF!</definedName>
    <definedName name="ixRange375">#REF!</definedName>
    <definedName name="ixRange375_1">#REF!</definedName>
    <definedName name="ixRange376">#REF!</definedName>
    <definedName name="ixRange376_1">#REF!</definedName>
    <definedName name="ixRange377">#REF!</definedName>
    <definedName name="ixRange377_1">#REF!</definedName>
    <definedName name="ixRange378">#REF!</definedName>
    <definedName name="ixRange378_1">#REF!</definedName>
    <definedName name="ixRange379">#REF!</definedName>
    <definedName name="ixRange379_1">#REF!</definedName>
    <definedName name="ixRange38">#REF!</definedName>
    <definedName name="ixRange38_1">#REF!</definedName>
    <definedName name="ixRange380">#REF!</definedName>
    <definedName name="ixRange380_1">#REF!</definedName>
    <definedName name="ixRange381">#REF!</definedName>
    <definedName name="ixRange381_1">#REF!</definedName>
    <definedName name="ixRange382">#REF!</definedName>
    <definedName name="ixRange382_1">#REF!</definedName>
    <definedName name="ixRange383">#REF!</definedName>
    <definedName name="ixRange383_1">#REF!</definedName>
    <definedName name="ixRange384">#REF!</definedName>
    <definedName name="ixRange384_1">#REF!</definedName>
    <definedName name="ixRange385">#REF!</definedName>
    <definedName name="ixRange385_1">#REF!</definedName>
    <definedName name="ixRange386">#REF!</definedName>
    <definedName name="ixRange386_1">#REF!</definedName>
    <definedName name="ixRange387">#REF!</definedName>
    <definedName name="ixRange387_1">#REF!</definedName>
    <definedName name="ixRange388">#REF!</definedName>
    <definedName name="ixRange388_1">#REF!</definedName>
    <definedName name="ixRange389">#REF!</definedName>
    <definedName name="ixRange389_1">#REF!</definedName>
    <definedName name="ixRange39">#REF!</definedName>
    <definedName name="ixRange39_1">#REF!</definedName>
    <definedName name="ixRange390">#REF!</definedName>
    <definedName name="ixRange390_1">#REF!</definedName>
    <definedName name="ixRange391">#REF!</definedName>
    <definedName name="ixRange391_1">#REF!</definedName>
    <definedName name="ixRange392">#REF!</definedName>
    <definedName name="ixRange392_1">#REF!</definedName>
    <definedName name="ixRange393">#REF!</definedName>
    <definedName name="ixRange393_1">#REF!</definedName>
    <definedName name="ixRange394">#REF!</definedName>
    <definedName name="ixRange394_1">#REF!</definedName>
    <definedName name="ixRange395">#REF!</definedName>
    <definedName name="ixRange395_1">#REF!</definedName>
    <definedName name="ixRange396">#REF!</definedName>
    <definedName name="ixRange396_1">#REF!</definedName>
    <definedName name="ixRange397">#REF!</definedName>
    <definedName name="ixRange397_1">#REF!</definedName>
    <definedName name="ixRange398">#REF!</definedName>
    <definedName name="ixRange398_1">#REF!</definedName>
    <definedName name="ixRange399">#REF!</definedName>
    <definedName name="ixRange399_1">#REF!</definedName>
    <definedName name="ixRange4">#REF!</definedName>
    <definedName name="ixRange4_1">#REF!</definedName>
    <definedName name="ixRange40">#REF!</definedName>
    <definedName name="ixRange40_1">#REF!</definedName>
    <definedName name="ixRange400">#REF!</definedName>
    <definedName name="ixRange400_1">#REF!</definedName>
    <definedName name="ixRange401">#REF!</definedName>
    <definedName name="ixRange401_1">#REF!</definedName>
    <definedName name="ixRange402">#REF!</definedName>
    <definedName name="ixRange402_1">#REF!</definedName>
    <definedName name="ixRange403">#REF!</definedName>
    <definedName name="ixRange403_1">#REF!</definedName>
    <definedName name="ixRange404">#REF!</definedName>
    <definedName name="ixRange404_1">#REF!</definedName>
    <definedName name="ixRange405">#REF!</definedName>
    <definedName name="ixRange405_1">#REF!</definedName>
    <definedName name="ixRange406">#REF!</definedName>
    <definedName name="ixRange406_1">#REF!</definedName>
    <definedName name="ixRange407">#REF!</definedName>
    <definedName name="ixRange407_1">#REF!</definedName>
    <definedName name="ixRange408">#REF!</definedName>
    <definedName name="ixRange408_1">#REF!</definedName>
    <definedName name="ixRange409">#REF!</definedName>
    <definedName name="ixRange409_1">#REF!</definedName>
    <definedName name="ixRange41">#REF!</definedName>
    <definedName name="ixRange41_1">#REF!</definedName>
    <definedName name="ixRange410">#REF!</definedName>
    <definedName name="ixRange410_1">#REF!</definedName>
    <definedName name="ixRange411">#REF!</definedName>
    <definedName name="ixRange411_1">#REF!</definedName>
    <definedName name="ixRange412">#REF!</definedName>
    <definedName name="ixRange412_1">#REF!</definedName>
    <definedName name="ixRange413">#REF!</definedName>
    <definedName name="ixRange413_1">#REF!</definedName>
    <definedName name="ixRange414">#REF!</definedName>
    <definedName name="ixRange414_1">#REF!</definedName>
    <definedName name="ixRange415">#REF!</definedName>
    <definedName name="ixRange415_1">#REF!</definedName>
    <definedName name="ixRange416">#REF!</definedName>
    <definedName name="ixRange416_1">#REF!</definedName>
    <definedName name="ixRange417">#REF!</definedName>
    <definedName name="ixRange417_1">#REF!</definedName>
    <definedName name="ixRange418">#REF!</definedName>
    <definedName name="ixRange418_1">#REF!</definedName>
    <definedName name="ixRange419">#REF!</definedName>
    <definedName name="ixRange419_1">#REF!</definedName>
    <definedName name="ixRange42">#REF!</definedName>
    <definedName name="ixRange42_1">#REF!</definedName>
    <definedName name="ixRange420">#REF!</definedName>
    <definedName name="ixRange420_1">#REF!</definedName>
    <definedName name="ixRange421">#REF!</definedName>
    <definedName name="ixRange421_1">#REF!</definedName>
    <definedName name="ixRange422">#REF!</definedName>
    <definedName name="ixRange422_1">#REF!</definedName>
    <definedName name="ixRange423">#REF!</definedName>
    <definedName name="ixRange423_1">#REF!</definedName>
    <definedName name="ixRange424">#REF!</definedName>
    <definedName name="ixRange424_1">#REF!</definedName>
    <definedName name="ixRange425">#REF!</definedName>
    <definedName name="ixRange425_1">#REF!</definedName>
    <definedName name="ixRange426">#REF!</definedName>
    <definedName name="ixRange426_1">#REF!</definedName>
    <definedName name="ixRange427">#REF!</definedName>
    <definedName name="ixRange427_1">#REF!</definedName>
    <definedName name="ixRange428">#REF!</definedName>
    <definedName name="ixRange428_1">#REF!</definedName>
    <definedName name="ixRange429">#REF!</definedName>
    <definedName name="ixRange429_1">#REF!</definedName>
    <definedName name="ixRange43">#REF!</definedName>
    <definedName name="ixRange43_1">#REF!</definedName>
    <definedName name="ixRange430">#REF!</definedName>
    <definedName name="ixRange430_1">#REF!</definedName>
    <definedName name="ixRange431">#REF!</definedName>
    <definedName name="ixRange431_1">#REF!</definedName>
    <definedName name="ixRange432">#REF!</definedName>
    <definedName name="ixRange432_1">#REF!</definedName>
    <definedName name="ixRange433">#REF!</definedName>
    <definedName name="ixRange433_1">#REF!</definedName>
    <definedName name="ixRange434">#REF!</definedName>
    <definedName name="ixRange434_1">#REF!</definedName>
    <definedName name="ixRange435">#REF!</definedName>
    <definedName name="ixRange435_1">#REF!</definedName>
    <definedName name="ixRange436">#REF!</definedName>
    <definedName name="ixRange436_1">#REF!</definedName>
    <definedName name="ixRange437">#REF!</definedName>
    <definedName name="ixRange437_1">#REF!</definedName>
    <definedName name="ixRange438">#REF!</definedName>
    <definedName name="ixRange438_1">#REF!</definedName>
    <definedName name="ixRange439">#REF!</definedName>
    <definedName name="ixRange439_1">#REF!</definedName>
    <definedName name="ixRange44">#REF!</definedName>
    <definedName name="ixRange44_1">#REF!</definedName>
    <definedName name="ixRange440">#REF!</definedName>
    <definedName name="ixRange440_1">#REF!</definedName>
    <definedName name="ixRange441">#REF!</definedName>
    <definedName name="ixRange441_1">#REF!</definedName>
    <definedName name="ixRange442">#REF!</definedName>
    <definedName name="ixRange442_1">#REF!</definedName>
    <definedName name="ixRange443">#REF!</definedName>
    <definedName name="ixRange443_1">#REF!</definedName>
    <definedName name="ixRange444">#REF!</definedName>
    <definedName name="ixRange444_1">#REF!</definedName>
    <definedName name="ixRange445">#REF!</definedName>
    <definedName name="ixRange445_1">#REF!</definedName>
    <definedName name="ixRange446">#REF!</definedName>
    <definedName name="ixRange446_1">#REF!</definedName>
    <definedName name="ixRange447">#REF!</definedName>
    <definedName name="ixRange447_1">#REF!</definedName>
    <definedName name="ixRange448">#REF!</definedName>
    <definedName name="ixRange448_1">#REF!</definedName>
    <definedName name="ixRange449">#REF!</definedName>
    <definedName name="ixRange449_1">#REF!</definedName>
    <definedName name="ixRange45">#REF!</definedName>
    <definedName name="ixRange45_1">#REF!</definedName>
    <definedName name="ixRange450">#REF!</definedName>
    <definedName name="ixRange450_1">#REF!</definedName>
    <definedName name="ixRange451">#REF!</definedName>
    <definedName name="ixRange451_1">#REF!</definedName>
    <definedName name="ixRange452">#REF!</definedName>
    <definedName name="ixRange452_1">#REF!</definedName>
    <definedName name="ixRange453">#REF!</definedName>
    <definedName name="ixRange453_1">#REF!</definedName>
    <definedName name="ixRange454">#REF!</definedName>
    <definedName name="ixRange454_1">#REF!</definedName>
    <definedName name="ixRange455">#REF!</definedName>
    <definedName name="ixRange455_1">#REF!</definedName>
    <definedName name="ixRange456">#REF!</definedName>
    <definedName name="ixRange456_1">#REF!</definedName>
    <definedName name="ixRange457">#REF!</definedName>
    <definedName name="ixRange457_1">#REF!</definedName>
    <definedName name="ixRange458">#REF!</definedName>
    <definedName name="ixRange458_1">#REF!</definedName>
    <definedName name="ixRange459">#REF!</definedName>
    <definedName name="ixRange459_1">#REF!</definedName>
    <definedName name="ixRange46">#REF!</definedName>
    <definedName name="ixRange46_1">#REF!</definedName>
    <definedName name="ixRange460">#REF!</definedName>
    <definedName name="ixRange460_1">#REF!</definedName>
    <definedName name="ixRange461">#REF!</definedName>
    <definedName name="ixRange461_1">#REF!</definedName>
    <definedName name="ixRange462">#REF!</definedName>
    <definedName name="ixRange462_1">#REF!</definedName>
    <definedName name="ixRange463">#REF!</definedName>
    <definedName name="ixRange463_1">#REF!</definedName>
    <definedName name="ixRange464">#REF!</definedName>
    <definedName name="ixRange464_1">#REF!</definedName>
    <definedName name="ixRange465">#REF!</definedName>
    <definedName name="ixRange465_1">#REF!</definedName>
    <definedName name="ixRange466">#REF!</definedName>
    <definedName name="ixRange466_1">#REF!</definedName>
    <definedName name="ixRange467">#REF!</definedName>
    <definedName name="ixRange467_1">#REF!</definedName>
    <definedName name="ixRange468">#REF!</definedName>
    <definedName name="ixRange468_1">#REF!</definedName>
    <definedName name="ixRange469">#REF!</definedName>
    <definedName name="ixRange469_1">#REF!</definedName>
    <definedName name="ixRange47">#REF!</definedName>
    <definedName name="ixRange47_1">#REF!</definedName>
    <definedName name="ixRange470">#REF!</definedName>
    <definedName name="ixRange470_1">#REF!</definedName>
    <definedName name="ixRange471">#REF!</definedName>
    <definedName name="ixRange471_1">#REF!</definedName>
    <definedName name="ixRange472">#REF!</definedName>
    <definedName name="ixRange472_1">#REF!</definedName>
    <definedName name="ixRange473">#REF!</definedName>
    <definedName name="ixRange473_1">#REF!</definedName>
    <definedName name="ixRange474">#REF!</definedName>
    <definedName name="ixRange474_1">#REF!</definedName>
    <definedName name="ixRange475">#REF!</definedName>
    <definedName name="ixRange475_1">#REF!</definedName>
    <definedName name="ixRange476">#REF!</definedName>
    <definedName name="ixRange476_1">#REF!</definedName>
    <definedName name="ixRange477">#REF!</definedName>
    <definedName name="ixRange477_1">#REF!</definedName>
    <definedName name="ixRange478">#REF!</definedName>
    <definedName name="ixRange478_1">#REF!</definedName>
    <definedName name="ixRange479">#REF!</definedName>
    <definedName name="ixRange479_1">#REF!</definedName>
    <definedName name="ixRange48">#REF!</definedName>
    <definedName name="ixRange48_1">#REF!</definedName>
    <definedName name="ixRange480">#REF!</definedName>
    <definedName name="ixRange480_1">#REF!</definedName>
    <definedName name="ixRange481">#REF!</definedName>
    <definedName name="ixRange481_1">#REF!</definedName>
    <definedName name="ixRange482">#REF!</definedName>
    <definedName name="ixRange482_1">#REF!</definedName>
    <definedName name="ixRange483">#REF!</definedName>
    <definedName name="ixRange483_1">#REF!</definedName>
    <definedName name="ixRange484">#REF!</definedName>
    <definedName name="ixRange484_1">#REF!</definedName>
    <definedName name="ixRange485">#REF!</definedName>
    <definedName name="ixRange485_1">#REF!</definedName>
    <definedName name="ixRange486">#REF!</definedName>
    <definedName name="ixRange486_1">#REF!</definedName>
    <definedName name="ixRange487">#REF!</definedName>
    <definedName name="ixRange487_1">#REF!</definedName>
    <definedName name="ixRange488">#REF!</definedName>
    <definedName name="ixRange488_1">#REF!</definedName>
    <definedName name="ixRange489">#REF!</definedName>
    <definedName name="ixRange489_1">#REF!</definedName>
    <definedName name="ixRange49">#REF!</definedName>
    <definedName name="ixRange49_1">#REF!</definedName>
    <definedName name="ixRange490">#REF!</definedName>
    <definedName name="ixRange490_1">#REF!</definedName>
    <definedName name="ixRange491">#REF!</definedName>
    <definedName name="ixRange491_1">#REF!</definedName>
    <definedName name="ixRange492">#REF!</definedName>
    <definedName name="ixRange492_1">#REF!</definedName>
    <definedName name="ixRange493">#REF!</definedName>
    <definedName name="ixRange493_1">#REF!</definedName>
    <definedName name="ixRange494">#REF!</definedName>
    <definedName name="ixRange494_1">#REF!</definedName>
    <definedName name="ixRange495">#REF!</definedName>
    <definedName name="ixRange495_1">#REF!</definedName>
    <definedName name="ixRange496">#REF!</definedName>
    <definedName name="ixRange496_1">#REF!</definedName>
    <definedName name="ixRange497">#REF!</definedName>
    <definedName name="ixRange497_1">#REF!</definedName>
    <definedName name="ixRange498">#REF!</definedName>
    <definedName name="ixRange498_1">#REF!</definedName>
    <definedName name="ixRange499">#REF!</definedName>
    <definedName name="ixRange499_1">#REF!</definedName>
    <definedName name="ixRange5">#REF!</definedName>
    <definedName name="ixRange5_1">#REF!</definedName>
    <definedName name="ixRange50">#REF!</definedName>
    <definedName name="ixRange50_1">#REF!</definedName>
    <definedName name="ixRange500">#REF!</definedName>
    <definedName name="ixRange500_1">#REF!</definedName>
    <definedName name="ixRange501">#REF!</definedName>
    <definedName name="ixRange501_1">#REF!</definedName>
    <definedName name="ixRange502">#REF!</definedName>
    <definedName name="ixRange502_1">#REF!</definedName>
    <definedName name="ixRange503">#REF!</definedName>
    <definedName name="ixRange503_1">#REF!</definedName>
    <definedName name="ixRange504">#REF!</definedName>
    <definedName name="ixRange504_1">#REF!</definedName>
    <definedName name="ixRange505">#REF!</definedName>
    <definedName name="ixRange505_1">#REF!</definedName>
    <definedName name="ixRange506">#REF!</definedName>
    <definedName name="ixRange506_1">#REF!</definedName>
    <definedName name="ixRange507">#REF!</definedName>
    <definedName name="ixRange507_1">#REF!</definedName>
    <definedName name="ixRange508">#REF!</definedName>
    <definedName name="ixRange508_1">#REF!</definedName>
    <definedName name="ixRange509">#REF!</definedName>
    <definedName name="ixRange509_1">#REF!</definedName>
    <definedName name="ixRange51">#REF!</definedName>
    <definedName name="ixRange51_1">#REF!</definedName>
    <definedName name="ixRange510">#REF!</definedName>
    <definedName name="ixRange510_1">#REF!</definedName>
    <definedName name="ixRange511">#REF!</definedName>
    <definedName name="ixRange511_1">#REF!</definedName>
    <definedName name="ixRange512">#REF!</definedName>
    <definedName name="ixRange512_1">#REF!</definedName>
    <definedName name="ixRange513">#REF!</definedName>
    <definedName name="ixRange513_1">#REF!</definedName>
    <definedName name="ixRange514">#REF!</definedName>
    <definedName name="ixRange514_1">#REF!</definedName>
    <definedName name="ixRange515">#REF!</definedName>
    <definedName name="ixRange515_1">#REF!</definedName>
    <definedName name="ixRange516">#REF!</definedName>
    <definedName name="ixRange516_1">#REF!</definedName>
    <definedName name="ixRange517">#REF!</definedName>
    <definedName name="ixRange517_1">#REF!</definedName>
    <definedName name="ixRange518">#REF!</definedName>
    <definedName name="ixRange518_1">#REF!</definedName>
    <definedName name="ixRange519">#REF!</definedName>
    <definedName name="ixRange519_1">#REF!</definedName>
    <definedName name="ixRange52">#REF!</definedName>
    <definedName name="ixRange52_1">#REF!</definedName>
    <definedName name="ixRange520">#REF!</definedName>
    <definedName name="ixRange520_1">#REF!</definedName>
    <definedName name="ixRange521">#REF!</definedName>
    <definedName name="ixRange521_1">#REF!</definedName>
    <definedName name="ixRange522">#REF!</definedName>
    <definedName name="ixRange522_1">#REF!</definedName>
    <definedName name="ixRange523">#REF!</definedName>
    <definedName name="ixRange523_1">#REF!</definedName>
    <definedName name="ixRange524">#REF!</definedName>
    <definedName name="ixRange524_1">#REF!</definedName>
    <definedName name="ixRange525">#REF!</definedName>
    <definedName name="ixRange525_1">#REF!</definedName>
    <definedName name="ixRange526">#REF!</definedName>
    <definedName name="ixRange526_1">#REF!</definedName>
    <definedName name="ixRange527">#REF!</definedName>
    <definedName name="ixRange527_1">#REF!</definedName>
    <definedName name="ixRange528">#REF!</definedName>
    <definedName name="ixRange528_1">#REF!</definedName>
    <definedName name="ixRange529">#REF!</definedName>
    <definedName name="ixRange529_1">#REF!</definedName>
    <definedName name="ixRange53">#REF!</definedName>
    <definedName name="ixRange53_1">#REF!</definedName>
    <definedName name="ixRange530">#REF!</definedName>
    <definedName name="ixRange530_1">#REF!</definedName>
    <definedName name="ixRange531">#REF!</definedName>
    <definedName name="ixRange531_1">#REF!</definedName>
    <definedName name="ixRange532">#REF!</definedName>
    <definedName name="ixRange532_1">#REF!</definedName>
    <definedName name="ixRange533">#REF!</definedName>
    <definedName name="ixRange533_1">#REF!</definedName>
    <definedName name="ixRange534">#REF!</definedName>
    <definedName name="ixRange534_1">#REF!</definedName>
    <definedName name="ixRange535">#REF!</definedName>
    <definedName name="ixRange535_1">#REF!</definedName>
    <definedName name="ixRange536">#REF!</definedName>
    <definedName name="ixRange536_1">#REF!</definedName>
    <definedName name="ixRange537">#REF!</definedName>
    <definedName name="ixRange537_1">#REF!</definedName>
    <definedName name="ixRange538">#REF!</definedName>
    <definedName name="ixRange538_1">#REF!</definedName>
    <definedName name="ixRange539">#REF!</definedName>
    <definedName name="ixRange539_1">#REF!</definedName>
    <definedName name="ixRange54">#REF!</definedName>
    <definedName name="ixRange54_1">#REF!</definedName>
    <definedName name="ixRange540">#REF!</definedName>
    <definedName name="ixRange540_1">#REF!</definedName>
    <definedName name="ixRange541">#REF!</definedName>
    <definedName name="ixRange541_1">#REF!</definedName>
    <definedName name="ixRange542">#REF!</definedName>
    <definedName name="ixRange542_1">#REF!</definedName>
    <definedName name="ixRange543">#REF!</definedName>
    <definedName name="ixRange543_1">#REF!</definedName>
    <definedName name="ixRange544">#REF!</definedName>
    <definedName name="ixRange544_1">#REF!</definedName>
    <definedName name="ixRange545">#REF!</definedName>
    <definedName name="ixRange545_1">#REF!</definedName>
    <definedName name="ixRange546">#REF!</definedName>
    <definedName name="ixRange546_1">#REF!</definedName>
    <definedName name="ixRange547">#REF!</definedName>
    <definedName name="ixRange547_1">#REF!</definedName>
    <definedName name="ixRange548">#REF!</definedName>
    <definedName name="ixRange548_1">#REF!</definedName>
    <definedName name="ixRange549">#REF!</definedName>
    <definedName name="ixRange549_1">#REF!</definedName>
    <definedName name="ixRange55">#REF!</definedName>
    <definedName name="ixRange55_1">#REF!</definedName>
    <definedName name="ixRange550">#REF!</definedName>
    <definedName name="ixRange550_1">#REF!</definedName>
    <definedName name="ixRange551">#REF!</definedName>
    <definedName name="ixRange551_1">#REF!</definedName>
    <definedName name="ixRange552">#REF!</definedName>
    <definedName name="ixRange552_1">#REF!</definedName>
    <definedName name="ixRange553">#REF!</definedName>
    <definedName name="ixRange553_1">#REF!</definedName>
    <definedName name="ixRange554">#REF!</definedName>
    <definedName name="ixRange554_1">#REF!</definedName>
    <definedName name="ixRange555">#REF!</definedName>
    <definedName name="ixRange555_1">#REF!</definedName>
    <definedName name="ixRange556">#REF!</definedName>
    <definedName name="ixRange556_1">#REF!</definedName>
    <definedName name="ixRange557">#REF!</definedName>
    <definedName name="ixRange557_1">#REF!</definedName>
    <definedName name="ixRange558">#REF!</definedName>
    <definedName name="ixRange558_1">#REF!</definedName>
    <definedName name="ixRange559">#REF!</definedName>
    <definedName name="ixRange559_1">#REF!</definedName>
    <definedName name="ixRange56">#REF!</definedName>
    <definedName name="ixRange56_1">#REF!</definedName>
    <definedName name="ixRange560">#REF!</definedName>
    <definedName name="ixRange560_1">#REF!</definedName>
    <definedName name="ixRange561">#REF!</definedName>
    <definedName name="ixRange561_1">#REF!</definedName>
    <definedName name="ixRange562">#REF!</definedName>
    <definedName name="ixRange562_1">#REF!</definedName>
    <definedName name="ixRange563">#REF!</definedName>
    <definedName name="ixRange563_1">#REF!</definedName>
    <definedName name="ixRange564">#REF!</definedName>
    <definedName name="ixRange564_1">#REF!</definedName>
    <definedName name="ixRange565">#REF!</definedName>
    <definedName name="ixRange566">#REF!</definedName>
    <definedName name="ixRange567">#REF!</definedName>
    <definedName name="ixRange568">#REF!</definedName>
    <definedName name="ixRange569">#REF!</definedName>
    <definedName name="ixRange57">#REF!</definedName>
    <definedName name="ixRange57_1">#REF!</definedName>
    <definedName name="ixRange570">#REF!</definedName>
    <definedName name="ixRange571">#REF!</definedName>
    <definedName name="ixRange572">#REF!</definedName>
    <definedName name="ixRange573">#REF!</definedName>
    <definedName name="ixRange574">#REF!</definedName>
    <definedName name="ixRange575">#REF!</definedName>
    <definedName name="ixRange576">#REF!</definedName>
    <definedName name="ixRange577">#REF!</definedName>
    <definedName name="ixRange578">#REF!</definedName>
    <definedName name="ixRange579">#REF!</definedName>
    <definedName name="ixRange58">#REF!</definedName>
    <definedName name="ixRange58_1">#REF!</definedName>
    <definedName name="ixRange580">#REF!</definedName>
    <definedName name="ixRange581">#REF!</definedName>
    <definedName name="ixRange582">#REF!</definedName>
    <definedName name="ixRange583">#REF!</definedName>
    <definedName name="ixRange584">#REF!</definedName>
    <definedName name="ixRange585">#REF!</definedName>
    <definedName name="ixRange586">#REF!</definedName>
    <definedName name="ixRange587">#REF!</definedName>
    <definedName name="ixRange588">#REF!</definedName>
    <definedName name="ixRange589">#REF!</definedName>
    <definedName name="ixRange59">#REF!</definedName>
    <definedName name="ixRange59_1">#REF!</definedName>
    <definedName name="ixRange590">#REF!</definedName>
    <definedName name="ixRange591">#REF!</definedName>
    <definedName name="ixRange592">#REF!</definedName>
    <definedName name="ixRange593">#REF!</definedName>
    <definedName name="ixRange594">#REF!</definedName>
    <definedName name="ixRange595">#REF!</definedName>
    <definedName name="ixRange596">#REF!</definedName>
    <definedName name="ixRange597">#REF!</definedName>
    <definedName name="ixRange598">#REF!</definedName>
    <definedName name="ixRange599">#REF!</definedName>
    <definedName name="ixRange6">#REF!</definedName>
    <definedName name="ixRange6_1">#REF!</definedName>
    <definedName name="ixRange60">#REF!</definedName>
    <definedName name="ixRange60_1">#REF!</definedName>
    <definedName name="ixRange600">#REF!</definedName>
    <definedName name="ixRange601">#REF!</definedName>
    <definedName name="ixRange602">#REF!</definedName>
    <definedName name="ixRange603">#REF!</definedName>
    <definedName name="ixRange604">#REF!</definedName>
    <definedName name="ixRange605">#REF!</definedName>
    <definedName name="ixRange606">#REF!</definedName>
    <definedName name="ixRange607">#REF!</definedName>
    <definedName name="ixRange608">#REF!</definedName>
    <definedName name="ixRange609">#REF!</definedName>
    <definedName name="ixRange61">#REF!</definedName>
    <definedName name="ixRange61_1">#REF!</definedName>
    <definedName name="ixRange610">#REF!</definedName>
    <definedName name="ixRange611">#REF!</definedName>
    <definedName name="ixRange612">#REF!</definedName>
    <definedName name="ixRange613">#REF!</definedName>
    <definedName name="ixRange614">#REF!</definedName>
    <definedName name="ixRange615">#REF!</definedName>
    <definedName name="ixRange616">#REF!</definedName>
    <definedName name="ixRange617">#REF!</definedName>
    <definedName name="ixRange618">#REF!</definedName>
    <definedName name="ixRange619">#REF!</definedName>
    <definedName name="ixRange62">#REF!</definedName>
    <definedName name="ixRange62_1">#REF!</definedName>
    <definedName name="ixRange620">#REF!</definedName>
    <definedName name="ixRange621">#REF!</definedName>
    <definedName name="ixRange622">#REF!</definedName>
    <definedName name="ixRange623">#REF!</definedName>
    <definedName name="ixRange624">#REF!</definedName>
    <definedName name="ixRange625">#REF!</definedName>
    <definedName name="ixRange626">#REF!</definedName>
    <definedName name="ixRange627">#REF!</definedName>
    <definedName name="ixRange628">#REF!</definedName>
    <definedName name="ixRange629">#REF!</definedName>
    <definedName name="ixRange63">#REF!</definedName>
    <definedName name="ixRange63_1">#REF!</definedName>
    <definedName name="ixRange630">#REF!</definedName>
    <definedName name="ixRange631">#REF!</definedName>
    <definedName name="ixRange632">#REF!</definedName>
    <definedName name="ixRange633">#REF!</definedName>
    <definedName name="ixRange634">#REF!</definedName>
    <definedName name="ixRange635">#REF!</definedName>
    <definedName name="ixRange636">#REF!</definedName>
    <definedName name="ixRange637">#REF!</definedName>
    <definedName name="ixRange638">#REF!</definedName>
    <definedName name="ixRange639">#REF!</definedName>
    <definedName name="ixRange64">#REF!</definedName>
    <definedName name="ixRange64_1">#REF!</definedName>
    <definedName name="ixRange640">#REF!</definedName>
    <definedName name="ixRange641">#REF!</definedName>
    <definedName name="ixRange642">#REF!</definedName>
    <definedName name="ixRange643">#REF!</definedName>
    <definedName name="ixRange644">#REF!</definedName>
    <definedName name="ixRange645">#REF!</definedName>
    <definedName name="ixRange646">#REF!</definedName>
    <definedName name="ixRange647">#REF!</definedName>
    <definedName name="ixRange648">#REF!</definedName>
    <definedName name="ixRange649">#REF!</definedName>
    <definedName name="ixRange65">#REF!</definedName>
    <definedName name="ixRange65_1">#REF!</definedName>
    <definedName name="ixRange650">#REF!</definedName>
    <definedName name="ixRange651">#REF!</definedName>
    <definedName name="ixRange652">#REF!</definedName>
    <definedName name="ixRange653">#REF!</definedName>
    <definedName name="ixRange654">#REF!</definedName>
    <definedName name="ixRange655">#REF!</definedName>
    <definedName name="ixRange656">#REF!</definedName>
    <definedName name="ixRange657">#REF!</definedName>
    <definedName name="ixRange658">#REF!</definedName>
    <definedName name="ixRange659">#REF!</definedName>
    <definedName name="ixRange66">#REF!</definedName>
    <definedName name="ixRange66_1">#REF!</definedName>
    <definedName name="ixRange660">#REF!</definedName>
    <definedName name="ixRange661">#REF!</definedName>
    <definedName name="ixRange662">#REF!</definedName>
    <definedName name="ixRange663">#REF!</definedName>
    <definedName name="ixRange664">#REF!</definedName>
    <definedName name="ixRange665">#REF!</definedName>
    <definedName name="ixRange666">#REF!</definedName>
    <definedName name="ixRange667">#REF!</definedName>
    <definedName name="ixRange668">#REF!</definedName>
    <definedName name="ixRange669">#REF!</definedName>
    <definedName name="ixRange67">#REF!</definedName>
    <definedName name="ixRange67_1">#REF!</definedName>
    <definedName name="ixRange670">#REF!</definedName>
    <definedName name="ixRange671">#REF!</definedName>
    <definedName name="ixRange672">#REF!</definedName>
    <definedName name="ixRange673">#REF!</definedName>
    <definedName name="ixRange674">#REF!</definedName>
    <definedName name="ixRange675">#REF!</definedName>
    <definedName name="ixRange676">#REF!</definedName>
    <definedName name="ixRange677">#REF!</definedName>
    <definedName name="ixRange678">#REF!</definedName>
    <definedName name="ixRange679">#REF!</definedName>
    <definedName name="ixRange68">#REF!</definedName>
    <definedName name="ixRange68_1">#REF!</definedName>
    <definedName name="ixRange680">#REF!</definedName>
    <definedName name="ixRange681">#REF!</definedName>
    <definedName name="ixRange682">#REF!</definedName>
    <definedName name="ixRange683">#REF!</definedName>
    <definedName name="ixRange684">#REF!</definedName>
    <definedName name="ixRange685">#REF!</definedName>
    <definedName name="ixRange686">#REF!</definedName>
    <definedName name="ixRange687">#REF!</definedName>
    <definedName name="ixRange688">#REF!</definedName>
    <definedName name="ixRange689">#REF!</definedName>
    <definedName name="ixRange69">#REF!</definedName>
    <definedName name="ixRange69_1">#REF!</definedName>
    <definedName name="ixRange690">#REF!</definedName>
    <definedName name="ixRange691">#REF!</definedName>
    <definedName name="ixRange692">#REF!</definedName>
    <definedName name="ixRange693">#REF!</definedName>
    <definedName name="ixRange694">#REF!</definedName>
    <definedName name="ixRange695">#REF!</definedName>
    <definedName name="ixRange696">#REF!</definedName>
    <definedName name="ixRange697">#REF!</definedName>
    <definedName name="ixRange698">#REF!</definedName>
    <definedName name="ixRange699">#REF!</definedName>
    <definedName name="ixRange7">#REF!</definedName>
    <definedName name="ixRange7_1">#REF!</definedName>
    <definedName name="ixRange70">#REF!</definedName>
    <definedName name="ixRange70_1">#REF!</definedName>
    <definedName name="ixRange700">#REF!</definedName>
    <definedName name="ixRange701">#REF!</definedName>
    <definedName name="ixRange702">#REF!</definedName>
    <definedName name="ixRange703">#REF!</definedName>
    <definedName name="ixRange704">#REF!</definedName>
    <definedName name="ixRange705">#REF!</definedName>
    <definedName name="ixRange706">#REF!</definedName>
    <definedName name="ixRange707">#REF!</definedName>
    <definedName name="ixRange708">#REF!</definedName>
    <definedName name="ixRange709">#REF!</definedName>
    <definedName name="ixRange71">#REF!</definedName>
    <definedName name="ixRange71_1">#REF!</definedName>
    <definedName name="ixRange710">#REF!</definedName>
    <definedName name="ixRange711">#REF!</definedName>
    <definedName name="ixRange712">#REF!</definedName>
    <definedName name="ixRange713">#REF!</definedName>
    <definedName name="ixRange714">#REF!</definedName>
    <definedName name="ixRange715">#REF!</definedName>
    <definedName name="ixRange716">#REF!</definedName>
    <definedName name="ixRange717">#REF!</definedName>
    <definedName name="ixRange718">#REF!</definedName>
    <definedName name="ixRange719">#REF!</definedName>
    <definedName name="ixRange72">#REF!</definedName>
    <definedName name="ixRange72_1">#REF!</definedName>
    <definedName name="ixRange720">#REF!</definedName>
    <definedName name="ixRange721">#REF!</definedName>
    <definedName name="ixRange722">#REF!</definedName>
    <definedName name="ixRange723">#REF!</definedName>
    <definedName name="ixRange724">#REF!</definedName>
    <definedName name="ixRange725">#REF!</definedName>
    <definedName name="ixRange726">#REF!</definedName>
    <definedName name="ixRange727">#REF!</definedName>
    <definedName name="ixRange728">#REF!</definedName>
    <definedName name="ixRange729">#REF!</definedName>
    <definedName name="ixRange73">#REF!</definedName>
    <definedName name="ixRange73_1">#REF!</definedName>
    <definedName name="ixRange730">#REF!</definedName>
    <definedName name="ixRange731">#REF!</definedName>
    <definedName name="ixRange732">#REF!</definedName>
    <definedName name="ixRange733">#REF!</definedName>
    <definedName name="ixRange734">#REF!</definedName>
    <definedName name="ixRange735">#REF!</definedName>
    <definedName name="ixRange736">#REF!</definedName>
    <definedName name="ixRange737">#REF!</definedName>
    <definedName name="ixRange738">#REF!</definedName>
    <definedName name="ixRange739">#REF!</definedName>
    <definedName name="ixRange74">#REF!</definedName>
    <definedName name="ixRange74_1">#REF!</definedName>
    <definedName name="ixRange740">#REF!</definedName>
    <definedName name="ixRange741">#REF!</definedName>
    <definedName name="ixRange742">#REF!</definedName>
    <definedName name="ixRange743">#REF!</definedName>
    <definedName name="ixRange744">#REF!</definedName>
    <definedName name="ixRange745">#REF!</definedName>
    <definedName name="ixRange746">#REF!</definedName>
    <definedName name="ixRange747">#REF!</definedName>
    <definedName name="ixRange748">#REF!</definedName>
    <definedName name="ixRange749">#REF!</definedName>
    <definedName name="ixRange75">#REF!</definedName>
    <definedName name="ixRange75_1">#REF!</definedName>
    <definedName name="ixRange750">#REF!</definedName>
    <definedName name="ixRange76">#REF!</definedName>
    <definedName name="ixRange76_1">#REF!</definedName>
    <definedName name="ixRange761">#REF!</definedName>
    <definedName name="ixRange77">#REF!</definedName>
    <definedName name="ixRange77_1">#REF!</definedName>
    <definedName name="ixRange78">#REF!</definedName>
    <definedName name="ixRange78_1">#REF!</definedName>
    <definedName name="ixRange780">#REF!</definedName>
    <definedName name="ixRange79">#REF!</definedName>
    <definedName name="ixRange79_1">#REF!</definedName>
    <definedName name="ixRange8">#REF!</definedName>
    <definedName name="ixRange8_1">#REF!</definedName>
    <definedName name="ixRange80">#REF!</definedName>
    <definedName name="ixRange80_1">#REF!</definedName>
    <definedName name="ixRange81">#REF!</definedName>
    <definedName name="ixRange81_1">#REF!</definedName>
    <definedName name="ixRange82">#REF!</definedName>
    <definedName name="ixRange82_1">#REF!</definedName>
    <definedName name="ixRange83">#REF!</definedName>
    <definedName name="ixRange83_1">#REF!</definedName>
    <definedName name="ixRange84">#REF!</definedName>
    <definedName name="ixRange84_1">#REF!</definedName>
    <definedName name="ixRange85">#REF!</definedName>
    <definedName name="ixRange85_1">#REF!</definedName>
    <definedName name="ixRange86">#REF!</definedName>
    <definedName name="ixRange86_1">#REF!</definedName>
    <definedName name="ixRange87">#REF!</definedName>
    <definedName name="ixRange87_1">#REF!</definedName>
    <definedName name="ixRange88">#REF!</definedName>
    <definedName name="ixRange88_1">#REF!</definedName>
    <definedName name="ixRange89">#REF!</definedName>
    <definedName name="ixRange89_1">#REF!</definedName>
    <definedName name="ixRange9">#REF!</definedName>
    <definedName name="ixRange9_1">#REF!</definedName>
    <definedName name="ixRange90">#REF!</definedName>
    <definedName name="ixRange90_1">#REF!</definedName>
    <definedName name="ixRange91">#REF!</definedName>
    <definedName name="ixRange91_1">#REF!</definedName>
    <definedName name="ixRange92">#REF!</definedName>
    <definedName name="ixRange92_1">#REF!</definedName>
    <definedName name="ixRange93">#REF!</definedName>
    <definedName name="ixRange93_1">#REF!</definedName>
    <definedName name="ixRange94">#REF!</definedName>
    <definedName name="ixRange94_1">#REF!</definedName>
    <definedName name="ixRange95">#REF!</definedName>
    <definedName name="ixRange95_1">#REF!</definedName>
    <definedName name="ixRange96">#REF!</definedName>
    <definedName name="ixRange96_1">#REF!</definedName>
    <definedName name="ixRange97">#REF!</definedName>
    <definedName name="ixRange97_1">#REF!</definedName>
    <definedName name="ixRange98">#REF!</definedName>
    <definedName name="ixRange98_1">#REF!</definedName>
    <definedName name="ixRange99">#REF!</definedName>
    <definedName name="ixRange99_1">#REF!</definedName>
    <definedName name="IZS">#REF!</definedName>
    <definedName name="Jan">#REF!</definedName>
    <definedName name="Jan09SPEND">#REF!</definedName>
    <definedName name="jfdijf">#REF!</definedName>
    <definedName name="JKHJF">#REF!</definedName>
    <definedName name="JNL">#REF!</definedName>
    <definedName name="JPYEOMSPOT">#REF!</definedName>
    <definedName name="JPYEOMSPOTFY13">#REF!</definedName>
    <definedName name="Jul">#REF!</definedName>
    <definedName name="JUL09SPEND">#REF!</definedName>
    <definedName name="Jun">#REF!</definedName>
    <definedName name="jun08data">#REF!</definedName>
    <definedName name="JUN09SPEND">#REF!</definedName>
    <definedName name="June08">#REF!</definedName>
    <definedName name="Katnook">#REF!</definedName>
    <definedName name="KCAPrint">#REF!</definedName>
    <definedName name="Kleenheat">#REF!</definedName>
    <definedName name="KoganNorthAdminFee">#REF!</definedName>
    <definedName name="KoganNorthBookBase">#REF!</definedName>
    <definedName name="KoganNorthBookDepnRate">#REF!</definedName>
    <definedName name="KoganNorthBookLife">#REF!</definedName>
    <definedName name="KoganNorthEndOps">#REF!</definedName>
    <definedName name="KoganNorthOMMargin">#REF!</definedName>
    <definedName name="KoganNorthOpexContingency">#REF!</definedName>
    <definedName name="KoganNorthOpexSens">#REF!</definedName>
    <definedName name="KoganNorthOpsFlag">#REF!</definedName>
    <definedName name="KoganNorthOpsStart">#REF!</definedName>
    <definedName name="KoganNorthOptionAmount">#REF!</definedName>
    <definedName name="KoganNorthOptionExerciseDate">#REF!</definedName>
    <definedName name="KoganNorthOptionIndicator">#REF!</definedName>
    <definedName name="KoganNorthRealInsurance">#REF!</definedName>
    <definedName name="KoganNorthRealOpex">#REF!</definedName>
    <definedName name="KoganNorthRealRev">#REF!</definedName>
    <definedName name="KoganNorthRevSens">#REF!</definedName>
    <definedName name="KoganNorthTaxBase">#REF!</definedName>
    <definedName name="LABELTEXTCOLUMN1">#REF!</definedName>
    <definedName name="LABELTEXTROW1">#REF!</definedName>
    <definedName name="LastMonth">#REF!</definedName>
    <definedName name="laterals">#REF!</definedName>
    <definedName name="Latrobe03">#REF!</definedName>
    <definedName name="LCCtnAmount">#REF!</definedName>
    <definedName name="LCCtnDrawnAmount">#REF!</definedName>
    <definedName name="LCCtnMarginTable">#REF!</definedName>
    <definedName name="LCFacBuffer">#REF!</definedName>
    <definedName name="LCFacilitySwitch">#REF!</definedName>
    <definedName name="LeadIndicator">#REF!</definedName>
    <definedName name="LEASE">#REF!</definedName>
    <definedName name="LeaseReceivableDiff">#REF!</definedName>
    <definedName name="LeaseReceivableDiscRate">#REF!</definedName>
    <definedName name="Led">#REF!</definedName>
    <definedName name="LetterA17">#REF!</definedName>
    <definedName name="LetterA20">#REF!</definedName>
    <definedName name="LF">#REF!</definedName>
    <definedName name="Lfmktrate">#REF!</definedName>
    <definedName name="liability">#REF!</definedName>
    <definedName name="limcount" hidden="1">1</definedName>
    <definedName name="List.PayFreq">#REF!</definedName>
    <definedName name="List.States">#REF!</definedName>
    <definedName name="List.YN">#REF!</definedName>
    <definedName name="Lithogow">#REF!</definedName>
    <definedName name="LoansForgiven">#REF!</definedName>
    <definedName name="LockupDSCR">#REF!</definedName>
    <definedName name="LOG_No.">#REF!</definedName>
    <definedName name="Lookup">#REF!</definedName>
    <definedName name="Lookup_sheets">#REF!</definedName>
    <definedName name="LTI_Per_Cent">#REF!</definedName>
    <definedName name="LU_Denom">#REF!</definedName>
    <definedName name="LU_Halves">#REF!</definedName>
    <definedName name="LU_Mths">#REF!</definedName>
    <definedName name="LU_Per_Names">#REF!</definedName>
    <definedName name="LU_Pers">#REF!</definedName>
    <definedName name="LU_Pers_In_Yr">#REF!</definedName>
    <definedName name="LU_Qtrs">#REF!</definedName>
    <definedName name="LU_Service">#REF!</definedName>
    <definedName name="LU_Yes_No">#REF!</definedName>
    <definedName name="LYN">#REF!</definedName>
    <definedName name="Lytton">#REF!</definedName>
    <definedName name="m_no">#REF!</definedName>
    <definedName name="Mackay">#REF!</definedName>
    <definedName name="Mackay_Cost">#REF!</definedName>
    <definedName name="MAIN">#REF!</definedName>
    <definedName name="MAINT">#REF!</definedName>
    <definedName name="Maintenance">#REF!</definedName>
    <definedName name="makeupgas">#REF!</definedName>
    <definedName name="Map">#REF!</definedName>
    <definedName name="MAP_Retail_Vol">#REF!</definedName>
    <definedName name="MAP_Wholesale_Vol">#REF!</definedName>
    <definedName name="Mar">#REF!</definedName>
    <definedName name="MAR09SPEND">#REF!</definedName>
    <definedName name="MAR10SPEND">#REF!</definedName>
    <definedName name="margin">#REF!</definedName>
    <definedName name="MarubeniShare">#REF!</definedName>
    <definedName name="Maryborough">#REF!</definedName>
    <definedName name="Maryborough_cost">#REF!</definedName>
    <definedName name="MaryboroughPrison">#REF!</definedName>
    <definedName name="MaxFacilitiesReq">#REF!</definedName>
    <definedName name="MaxX">#REF!</definedName>
    <definedName name="May">#REF!</definedName>
    <definedName name="MAY09AL">#REF!</definedName>
    <definedName name="MAY09SPEND">#REF!</definedName>
    <definedName name="MAY09TB">#REF!</definedName>
    <definedName name="MCMS_AS_Jun">#REF!</definedName>
    <definedName name="MCMS_OM_Jun">#REF!</definedName>
    <definedName name="MCMS_SP_Jun">#REF!</definedName>
    <definedName name="MDQ">#REF!</definedName>
    <definedName name="MDQ_Cost">#REF!</definedName>
    <definedName name="MDQc">#REF!</definedName>
    <definedName name="medvolsheet">#REF!</definedName>
    <definedName name="MER">#REF!</definedName>
    <definedName name="meter">#REF!</definedName>
    <definedName name="METRICSLIST">#REF!</definedName>
    <definedName name="METRICSTAB">#REF!</definedName>
    <definedName name="MezzHsty">#REF!</definedName>
    <definedName name="MezzSch">#REF!</definedName>
    <definedName name="MgmtRgts_B002">#REF!</definedName>
    <definedName name="MHFile">#REF!</definedName>
    <definedName name="mhpath">#REF!</definedName>
    <definedName name="MHQ">#REF!</definedName>
    <definedName name="MIDWESTSUMM">#REF!</definedName>
    <definedName name="Mild_cust">#REF!</definedName>
    <definedName name="MILDURA_BudgetData">#REF!</definedName>
    <definedName name="Million">#REF!</definedName>
    <definedName name="Millions">#REF!</definedName>
    <definedName name="MinCashFlowDate">#REF!</definedName>
    <definedName name="MinChg">#REF!</definedName>
    <definedName name="MinPayTarBud03">#REF!</definedName>
    <definedName name="Mins_In_Hr">#REF!</definedName>
    <definedName name="MinX">#REF!</definedName>
    <definedName name="MinYear">#REF!</definedName>
    <definedName name="MizuhoMaxSwap">#REF!</definedName>
    <definedName name="MizuhoTermDebt">#REF!</definedName>
    <definedName name="MLACCC_CorpTaxRate">#REF!</definedName>
    <definedName name="MLACCC_InflationRate">#REF!</definedName>
    <definedName name="MLACCC_LTPropDebtFunding">#REF!</definedName>
    <definedName name="MLACCC_LTPropEquityFunding">#REF!</definedName>
    <definedName name="MLACCC_NomPreTaxCostOfDebt">#REF!</definedName>
    <definedName name="MLACCC_PropFrankingCredits">#REF!</definedName>
    <definedName name="MLACCC_RealAssetLife_1">#REF!</definedName>
    <definedName name="MLACCC_RealAssetLife_2">#REF!</definedName>
    <definedName name="MLACCC_RealAssetLife_3">#REF!</definedName>
    <definedName name="MLACCC_RealAssetValue_1">#REF!</definedName>
    <definedName name="MLACCC_RealAssetValue_2">#REF!</definedName>
    <definedName name="MLACCC_RealAssetValue_3">#REF!</definedName>
    <definedName name="MLACCC_RealAssetValueOB_1">#REF!</definedName>
    <definedName name="MLACCC_RealAssetValueOB_2">#REF!</definedName>
    <definedName name="MLACCC_RealAssetValueOB_3">#REF!</definedName>
    <definedName name="MLACCC_TaxAssetLife_1">#REF!</definedName>
    <definedName name="MLACCC_TaxAssetLife_2">#REF!</definedName>
    <definedName name="MLACCC_TaxAssetLife_3">#REF!</definedName>
    <definedName name="MLACCC_TaxAssetValue_1">#REF!</definedName>
    <definedName name="MLACCC_TaxAssetValue_2">#REF!</definedName>
    <definedName name="MLACCC_TaxAssetValue_3">#REF!</definedName>
    <definedName name="MLACCC_TaxAssetValueOB_1">#REF!</definedName>
    <definedName name="MLACCC_TaxAssetValueOB_2">#REF!</definedName>
    <definedName name="MLACCC_TaxAssetValueOB_3">#REF!</definedName>
    <definedName name="MLAssetClass_1BookOriginal">#REF!</definedName>
    <definedName name="MLAssetClass_1TaxOriginal">#REF!</definedName>
    <definedName name="MLAssetClass_2BookOriginal">#REF!</definedName>
    <definedName name="MLAssetClass_2TaxOriginal">#REF!</definedName>
    <definedName name="MLAssetClass_3BookOriginal">#REF!</definedName>
    <definedName name="MLAssetClass_3TaxOriginal">#REF!</definedName>
    <definedName name="MLAssetClass_4BookOriginal">#REF!</definedName>
    <definedName name="MLAssetClass_4TaxOriginal">#REF!</definedName>
    <definedName name="MLAssetClass_5BookOriginal">#REF!</definedName>
    <definedName name="MLAssetClass_5TaxOriginal">#REF!</definedName>
    <definedName name="MLAssetClass_ProjectPool">#REF!</definedName>
    <definedName name="MLBookDepnRateAssetClass_1">#REF!</definedName>
    <definedName name="MLBookDepnRateAssetClass_2">#REF!</definedName>
    <definedName name="MLBookDepnRateAssetClass_3">#REF!</definedName>
    <definedName name="MLBookDepnRateAssetClass_4">#REF!</definedName>
    <definedName name="MLBookDepnRateAssetClass_5">#REF!</definedName>
    <definedName name="MLBookDepnRateCapex">#REF!</definedName>
    <definedName name="MLCapexBaseDate">#REF!</definedName>
    <definedName name="MLCapexInd">#REF!</definedName>
    <definedName name="MLEndOps">#REF!</definedName>
    <definedName name="MLFifthRegResetDate">#REF!</definedName>
    <definedName name="MLFirstRegResetDate">#REF!</definedName>
    <definedName name="MLFourthRegResetDate">#REF!</definedName>
    <definedName name="MLOMMargin">#REF!</definedName>
    <definedName name="MLOMPerformancePerc">#REF!</definedName>
    <definedName name="MLOpexContingency">#REF!</definedName>
    <definedName name="MLOpexEscDate">#REF!</definedName>
    <definedName name="MLOpexSens">#REF!</definedName>
    <definedName name="MLOpsFlag">#REF!</definedName>
    <definedName name="MLRABCapexAssetLife">#REF!</definedName>
    <definedName name="MLRegCostsInd">#REF!</definedName>
    <definedName name="MLRegPeriodStart">#REF!</definedName>
    <definedName name="MLRegResetAssTable">#REF!</definedName>
    <definedName name="MLTaxDepnRateAssetClass_1">#REF!</definedName>
    <definedName name="MLTaxDepnRateAssetClass_2">#REF!</definedName>
    <definedName name="MLTaxDepnRateAssetClass_3">#REF!</definedName>
    <definedName name="MLTaxDepnRateAssetClass_4">#REF!</definedName>
    <definedName name="MLTaxDepnRateAssetClass_5">#REF!</definedName>
    <definedName name="MLTaxDepnRateAssetClass_ProjectPool">#REF!</definedName>
    <definedName name="MLTaxDepnRateCapex">#REF!</definedName>
    <definedName name="MLThirdRegResetDate">#REF!</definedName>
    <definedName name="MLYearsRegReset">#REF!</definedName>
    <definedName name="Model_Input">#REF!</definedName>
    <definedName name="Model_Start_Date">#REF!</definedName>
    <definedName name="ModelStartDate">#REF!</definedName>
    <definedName name="Month">#REF!</definedName>
    <definedName name="MonthEnd">#REF!</definedName>
    <definedName name="MonthNum">#REF!</definedName>
    <definedName name="Months">#REF!</definedName>
    <definedName name="MonthsInYear">#REF!</definedName>
    <definedName name="Moomba">#REF!</definedName>
    <definedName name="moomba1">#REF!</definedName>
    <definedName name="Moomba2">#REF!</definedName>
    <definedName name="Moombap">#REF!</definedName>
    <definedName name="MPS_Rating_2011">#REF!</definedName>
    <definedName name="MRAIndicator">#REF!</definedName>
    <definedName name="MRAYears">#REF!</definedName>
    <definedName name="Mrp">#REF!</definedName>
    <definedName name="MSP_TT">#REF!</definedName>
    <definedName name="MSPCONS">#REF!</definedName>
    <definedName name="mspdetailed">#REF!</definedName>
    <definedName name="MSPSUMMARY">#REF!</definedName>
    <definedName name="Mt_Isa">#REF!</definedName>
    <definedName name="Mt_Isa_Cost">#REF!</definedName>
    <definedName name="MT_Resid_Input">#REF!</definedName>
    <definedName name="MT_Resid_Mrgins">#REF!</definedName>
    <definedName name="MTDDate">#REF!</definedName>
    <definedName name="mth">#REF!</definedName>
    <definedName name="Mth_Name">#REF!</definedName>
    <definedName name="MTHACT98">#REF!</definedName>
    <definedName name="MTHACT99">#REF!</definedName>
    <definedName name="MTHBUD99">#REF!</definedName>
    <definedName name="Mthly">#REF!</definedName>
    <definedName name="Mths_In_Half_Yr">#REF!</definedName>
    <definedName name="Mths_In_Qtr">#REF!</definedName>
    <definedName name="Mths_In_Yr">#REF!</definedName>
    <definedName name="MTHVAR99">#REF!</definedName>
    <definedName name="MtIsaAdminFee">#REF!</definedName>
    <definedName name="MtIsaAnnualVariableOM">#REF!</definedName>
    <definedName name="MtIsaBookBase">#REF!</definedName>
    <definedName name="MtIsaEndOps">#REF!</definedName>
    <definedName name="MtIsaOMMargin">#REF!</definedName>
    <definedName name="MtIsaOpexContingency">#REF!</definedName>
    <definedName name="MtIsaOpexSens">#REF!</definedName>
    <definedName name="MtIsaOpsFlag">#REF!</definedName>
    <definedName name="MtIsaOpsStart">#REF!</definedName>
    <definedName name="MtIsaOptionAmount">#REF!</definedName>
    <definedName name="MtIsaOptionExerciseDate">#REF!</definedName>
    <definedName name="MtIsaOptionIndicator">#REF!</definedName>
    <definedName name="MtIsaRealInsurance">#REF!</definedName>
    <definedName name="MtIsaRealRev">#REF!</definedName>
    <definedName name="MtIsaRevSens">#REF!</definedName>
    <definedName name="MtIsaTaxBase">#REF!</definedName>
    <definedName name="n">OFFSET(ADSWAPCount,0,1+ItemsCols,1,ADSWAPCount)</definedName>
    <definedName name="NABMaxTermDebt">#REF!</definedName>
    <definedName name="name">#REF!</definedName>
    <definedName name="Names">#REF!</definedName>
    <definedName name="NaturallyAustralianFoods">#REF!</definedName>
    <definedName name="NegService">#REF!</definedName>
    <definedName name="NetEquity">#REF!</definedName>
    <definedName name="NEW">#REF!</definedName>
    <definedName name="NEW_PROJ">#REF!</definedName>
    <definedName name="Newcastle">#REF!</definedName>
    <definedName name="Newcastle_Cost_2">#REF!</definedName>
    <definedName name="NewMatrix1">#REF!</definedName>
    <definedName name="NiftyCapitalCost">#REF!</definedName>
    <definedName name="NiftyEndOps">#REF!</definedName>
    <definedName name="NiftyMinimumPayment">#REF!</definedName>
    <definedName name="NiftyOMMargin">#REF!</definedName>
    <definedName name="NiftyOpexContingency">#REF!</definedName>
    <definedName name="NiftyOpexSens">#REF!</definedName>
    <definedName name="NiftyOpsFlag">#REF!</definedName>
    <definedName name="NiftyOptionContractEnd">#REF!</definedName>
    <definedName name="NiftyOptionContractLength">#REF!</definedName>
    <definedName name="NiftyOptionContractStart">#REF!</definedName>
    <definedName name="NiftyOptionExerciseDate">#REF!</definedName>
    <definedName name="NIftyOptionWACC">#REF!</definedName>
    <definedName name="NiftyPaymentChooser">#REF!</definedName>
    <definedName name="NiftyRevSens">#REF!</definedName>
    <definedName name="NiftyTaxBase">#REF!</definedName>
    <definedName name="No">#REF!</definedName>
    <definedName name="No.">TRUE</definedName>
    <definedName name="nocheck">#REF!</definedName>
    <definedName name="Node">#REF!</definedName>
    <definedName name="NomBondInd">#REF!</definedName>
    <definedName name="NominalSwapBanks">#REF!</definedName>
    <definedName name="Non_Target_MDQ">#REF!</definedName>
    <definedName name="NonAssPTT_B021">#REF!</definedName>
    <definedName name="NonAssPTT_B038">#REF!</definedName>
    <definedName name="NonAssPTT_B053">#REF!</definedName>
    <definedName name="NonAssPTT_J050">#REF!</definedName>
    <definedName name="NonAssPTT_J980">#REF!</definedName>
    <definedName name="NonDed_Donations">#REF!</definedName>
    <definedName name="NonDed_Ent">#REF!</definedName>
    <definedName name="NonDed_Fines">#REF!</definedName>
    <definedName name="NonDed_ROS">#REF!</definedName>
    <definedName name="NonDedInt">#REF!</definedName>
    <definedName name="NonExistingTelfNiftBanks">#REF!</definedName>
    <definedName name="NonLCCtnAmount">#REF!</definedName>
    <definedName name="NonLCCtnEstabFee">#REF!</definedName>
    <definedName name="NOOFFFSEGMENTS1">#REF!</definedName>
    <definedName name="Normalisation_Adjustments">#REF!</definedName>
    <definedName name="Northern_NSW">#REF!</definedName>
    <definedName name="Northern_NSW_Cost">#REF!</definedName>
    <definedName name="NOTE34_35">#REF!</definedName>
    <definedName name="NOTE35_36">#REF!</definedName>
    <definedName name="Note41a">#REF!</definedName>
    <definedName name="Note41b">#REF!</definedName>
    <definedName name="NOTE42_1">#REF!</definedName>
    <definedName name="NOTE42_44">#REF!</definedName>
    <definedName name="NOTE44_1">#REF!</definedName>
    <definedName name="NOTE44_2">#REF!</definedName>
    <definedName name="NOTE44_3">#REF!</definedName>
    <definedName name="NOTE44_45">#REF!</definedName>
    <definedName name="NOTEPP_30">#REF!</definedName>
    <definedName name="NOTEPP_31">#REF!</definedName>
    <definedName name="NOTEPP_32">#REF!</definedName>
    <definedName name="NOTEPP_33">#REF!</definedName>
    <definedName name="NOTEPP_34">#REF!</definedName>
    <definedName name="NOTEPP_35">#REF!</definedName>
    <definedName name="NOTEPP_36">#REF!</definedName>
    <definedName name="NOTEPP_37">#REF!</definedName>
    <definedName name="NOTEPP_38">#REF!</definedName>
    <definedName name="NOTEPP_39">#REF!</definedName>
    <definedName name="NOTEPP_40">#REF!</definedName>
    <definedName name="NOTEPP_41">#REF!</definedName>
    <definedName name="NOTEPP21">#REF!</definedName>
    <definedName name="NOTEPP21_1">#REF!</definedName>
    <definedName name="NOTEPP21_10">#REF!</definedName>
    <definedName name="NOTEPP21_11">#REF!</definedName>
    <definedName name="NOTEPP21_12">#REF!</definedName>
    <definedName name="NOTEPP21_13">#REF!</definedName>
    <definedName name="NOTEPP21_2">#REF!</definedName>
    <definedName name="NOTEPP21_3">#REF!</definedName>
    <definedName name="NOTEPP21_4">#REF!</definedName>
    <definedName name="NOTEPP21_5">#REF!</definedName>
    <definedName name="NOTEPP21_7">#REF!</definedName>
    <definedName name="NOTEPP21_8">#REF!</definedName>
    <definedName name="NOTEPP21_9">#REF!</definedName>
    <definedName name="Notes">#REF!</definedName>
    <definedName name="notes1">#REF!</definedName>
    <definedName name="notes2">#REF!</definedName>
    <definedName name="notes3">#REF!</definedName>
    <definedName name="Notes38_39">#REF!</definedName>
    <definedName name="NOTESP11">#REF!</definedName>
    <definedName name="NOTESP12">#REF!</definedName>
    <definedName name="NOTESP13">#REF!</definedName>
    <definedName name="NOTESP14">#REF!</definedName>
    <definedName name="NOTESP15">#REF!</definedName>
    <definedName name="NOTESP16">#REF!</definedName>
    <definedName name="NOTESP17">#REF!</definedName>
    <definedName name="NOTESP18">#REF!</definedName>
    <definedName name="NOTESP19">#REF!</definedName>
    <definedName name="NOTESP22">#REF!</definedName>
    <definedName name="NOTESP23">#REF!</definedName>
    <definedName name="NOTESP24">#REF!</definedName>
    <definedName name="NOTESP25">#REF!</definedName>
    <definedName name="Nov">#REF!</definedName>
    <definedName name="NOV09SPEND">#REF!</definedName>
    <definedName name="now">#REF!</definedName>
    <definedName name="NPVValnDate">#REF!</definedName>
    <definedName name="NSWMortgageDuty">#REF!</definedName>
    <definedName name="NT_BudgetData">#REF!</definedName>
    <definedName name="NTCY">OFFSET(#REF!,,COUNTA(#REF!)-37,,37)</definedName>
    <definedName name="NTGD">#REF!</definedName>
    <definedName name="NTmat">OFFSET(#REF!,,COUNTA(#REF!)-37,,37)</definedName>
    <definedName name="NTpY">OFFSET(#REF!,,COUNTA(#REF!)-37,,24)</definedName>
    <definedName name="NTXAxis">OFFSET(#REF!,,COUNTA(#REF!)-37,,37)</definedName>
    <definedName name="NUMBEROFDETAILFIELDS1">#REF!</definedName>
    <definedName name="NUMBEROFHEADERFIELDS1">#REF!</definedName>
    <definedName name="Numbers">#REF!</definedName>
    <definedName name="NVS">#REF!</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ParentRef">#REF!</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NZCASHRTCodes">OFFSET(ADSWAPCount,0,1+ItemsCols,1,ADSWAPCount)</definedName>
    <definedName name="NZCASHRTCount">#REF!</definedName>
    <definedName name="NZCASHRTItems">OFFSET(NZCASHRTCount,0,1,1,NZCASHRTCount)</definedName>
    <definedName name="NZTable">#REF!</definedName>
    <definedName name="O_Number">#REF!</definedName>
    <definedName name="O_Price">#REF!</definedName>
    <definedName name="O_ShareFValue">#REF!</definedName>
    <definedName name="OCATYTD1">#REF!</definedName>
    <definedName name="Oct">#REF!</definedName>
    <definedName name="OCT08SPEND">#REF!</definedName>
    <definedName name="OCT09SPEND">#REF!</definedName>
    <definedName name="ODBCDataSource1">#REF!</definedName>
    <definedName name="OE_COPYROW">#REF!</definedName>
    <definedName name="OE_DAILY">#REF!</definedName>
    <definedName name="OE_END">#REF!</definedName>
    <definedName name="OE_ENDDATE">#REF!</definedName>
    <definedName name="OE_ENDYEAR">#REF!</definedName>
    <definedName name="OE_PASTEROW">#REF!</definedName>
    <definedName name="OE_PASTEYRROW">#REF!</definedName>
    <definedName name="OE_PIPELINES">#REF!</definedName>
    <definedName name="OE_PIPEMDQ">#REF!</definedName>
    <definedName name="OE_SELECTION">#REF!</definedName>
    <definedName name="OE_SOURCES">#REF!</definedName>
    <definedName name="OE_START">#REF!</definedName>
    <definedName name="OE_STARTDATE">#REF!</definedName>
    <definedName name="OE_STARTYEAR">#REF!</definedName>
    <definedName name="OE_SUPPLY">#REF!</definedName>
    <definedName name="OE_YEAR">#REF!</definedName>
    <definedName name="OE_YEARLY">#REF!</definedName>
    <definedName name="OEIDistn_B021">#REF!</definedName>
    <definedName name="OEIDistn_J980">#REF!</definedName>
    <definedName name="OffTakeEndDate">#REF!</definedName>
    <definedName name="OffTakeEndDateQtr">#REF!</definedName>
    <definedName name="old">#REF!</definedName>
    <definedName name="Oldgrades">#REF!</definedName>
    <definedName name="olijanstaff">#REF!</definedName>
    <definedName name="OMBaseDate">#REF!</definedName>
    <definedName name="OMManagementMargin">#REF!</definedName>
    <definedName name="OMMarginAccrInd">#REF!</definedName>
    <definedName name="OMRebateFlag">#REF!</definedName>
    <definedName name="OMSensitivityInd">#REF!</definedName>
    <definedName name="op">#REF!</definedName>
    <definedName name="OpenCashAcctDrawdownDate">#REF!</definedName>
    <definedName name="OpenDITL">#REF!</definedName>
    <definedName name="OpenDSRA">#REF!</definedName>
    <definedName name="OpenDSRALookup">#REF!</definedName>
    <definedName name="OpenEYR">#REF!</definedName>
    <definedName name="OpenEYRInput">#REF!</definedName>
    <definedName name="OpenFITB">#REF!</definedName>
    <definedName name="OpenFrankingCredits">#REF!</definedName>
    <definedName name="OpenMRA">#REF!</definedName>
    <definedName name="OpenPPE">#REF!</definedName>
    <definedName name="Opex">#REF!</definedName>
    <definedName name="opexsagas">#REF!</definedName>
    <definedName name="OpexSensitivityTable">#REF!</definedName>
    <definedName name="OpnEndDate">#REF!</definedName>
    <definedName name="OpnEndDateQtr">#REF!</definedName>
    <definedName name="OpnStartDate">#REF!</definedName>
    <definedName name="OpRevTax_B022">#REF!</definedName>
    <definedName name="OpRevTax_B063">#REF!</definedName>
    <definedName name="Oracle_TB">#REF!</definedName>
    <definedName name="OricaCT">#REF!</definedName>
    <definedName name="OricaTT">#REF!</definedName>
    <definedName name="OsakaGasShare">#REF!</definedName>
    <definedName name="OT">#REF!</definedName>
    <definedName name="OTDAMDStartDate">#REF!</definedName>
    <definedName name="OTDAMDStartDateQtr">#REF!</definedName>
    <definedName name="other_acc">#REF!</definedName>
    <definedName name="OtherFixedAA_tbl">#REF!</definedName>
    <definedName name="OtherSecRevDSCRTable">#REF!</definedName>
    <definedName name="OtherVarAA_tbl">#REF!</definedName>
    <definedName name="othretsheet">#REF!</definedName>
    <definedName name="OUTPUT_FILE">#REF!</definedName>
    <definedName name="OwnersRepresentative">#REF!</definedName>
    <definedName name="OwnersRepresentativeDate">#REF!</definedName>
    <definedName name="p">#REF!</definedName>
    <definedName name="P_0">#REF!</definedName>
    <definedName name="P_HY">#REF!</definedName>
    <definedName name="P_L">#REF!</definedName>
    <definedName name="PacificOperations">#REF!</definedName>
    <definedName name="PacificOperations_cost">#REF!</definedName>
    <definedName name="pafsumm">#REF!</definedName>
    <definedName name="PAGE1">#REF!</definedName>
    <definedName name="Pal_Workbook_GUID" hidden="1">"5TX8I56CQ9EWKM3BWNVK968H"</definedName>
    <definedName name="PALL">#REF!</definedName>
    <definedName name="PARTAUSTDIV">#REF!</definedName>
    <definedName name="Passthrough_actual_by_month">#REF!</definedName>
    <definedName name="Passthrough_Actual_YTD">#REF!</definedName>
    <definedName name="Passthrough_budget_by_month">#REF!</definedName>
    <definedName name="Passthrough_budget_YTD">#REF!</definedName>
    <definedName name="Passthrough_lastyear_by_month">#REF!</definedName>
    <definedName name="Passthrough_lastyear_YTD">#REF!</definedName>
    <definedName name="PBT">#REF!</definedName>
    <definedName name="PBT_B021">#REF!</definedName>
    <definedName name="PBT_B038">#REF!</definedName>
    <definedName name="PBT_B053">#REF!</definedName>
    <definedName name="PBT_plusPERM">#REF!</definedName>
    <definedName name="PCtn">#REF!</definedName>
    <definedName name="PeakDayCopy">#REF!</definedName>
    <definedName name="PeakDays">#REF!</definedName>
    <definedName name="people">#REF!</definedName>
    <definedName name="PER">#REF!</definedName>
    <definedName name="Per_1_End_Date">#REF!</definedName>
    <definedName name="Per_1_End_Mth">#REF!</definedName>
    <definedName name="Per_1_Title">#REF!</definedName>
    <definedName name="PERIOD">#REF!</definedName>
    <definedName name="Period_Name">#REF!</definedName>
    <definedName name="PERIOD_NO">#REF!</definedName>
    <definedName name="PeriodNumberColumn">OFFSET(PeriodNumberHeading,0,0,_pdNoOfPayments+3,1)</definedName>
    <definedName name="PeriodNumberHeading">#REF!</definedName>
    <definedName name="PeriodNumbers">OFFSET(PeriodNumberHeading,2,0,_pdNoOfPayments+1,1)</definedName>
    <definedName name="PERIODSETNAME1">#REF!</definedName>
    <definedName name="PeriodsInYear">#REF!</definedName>
    <definedName name="Phone_No.">#REF!</definedName>
    <definedName name="Physical_Location_Listing">#REF!</definedName>
    <definedName name="PL">#REF!</definedName>
    <definedName name="PL_RepItems">#REF!</definedName>
    <definedName name="PM">#REF!</definedName>
    <definedName name="PMA_WA">#REF!</definedName>
    <definedName name="PN">#REF!</definedName>
    <definedName name="PNS">#REF!</definedName>
    <definedName name="Pnumbers">#REF!</definedName>
    <definedName name="PopCache_FA_MASS_ADDITIONS_AMORTIZE_NBV_FLAG" hidden="1">#REF!</definedName>
    <definedName name="PopCache_FA_MASS_ADDITIONS_ASSET_TYPE" hidden="1">#REF!</definedName>
    <definedName name="PopCache_FA_MASS_ADDITIONS_DEPRECIATE_FLAG" hidden="1">#REF!</definedName>
    <definedName name="PopCache_FA_MASS_ADDITIONS_IN_USE_FLAG" hidden="1">#REF!</definedName>
    <definedName name="PopCache_FA_MASS_ADDITIONS_INVENTORIAL" hidden="1">#REF!</definedName>
    <definedName name="PopCache_FA_MASS_ADDITIONS_NEW_USED" hidden="1">#REF!</definedName>
    <definedName name="PopCache_FA_MASS_ADDITIONS_OWNED_LEASED" hidden="1">#REF!</definedName>
    <definedName name="PopCache_FA_MASS_ADDITIONS_PROPERTY_1245_1250_CODE" hidden="1">#REF!</definedName>
    <definedName name="PopCache_FA_MASS_ADDITIONS_PROPERTY_TYPE_CODE" hidden="1">#REF!</definedName>
    <definedName name="PopCache_FA_MASS_ADDITIONS_SHORT_FISCAL_YEAR_FLAG" hidden="1">#REF!</definedName>
    <definedName name="Port_Douglas">#REF!</definedName>
    <definedName name="Port_Douglas_Cost">#REF!</definedName>
    <definedName name="pos">#REF!</definedName>
    <definedName name="Position_Types">#REF!</definedName>
    <definedName name="post_contract_redn">#REF!</definedName>
    <definedName name="Postcode">#REF!</definedName>
    <definedName name="POSTERRORSTOSUSP1">#REF!</definedName>
    <definedName name="PostOfftakeLeaseReceivableDiff">#REF!</definedName>
    <definedName name="PostOfftakeLeaseReceivableDiscRate">#REF!</definedName>
    <definedName name="PostTaxFiveYrYieldExSHL">#REF!</definedName>
    <definedName name="PosttaxOffTakeIRRexclSHL">#REF!</definedName>
    <definedName name="PostTaxThreeYrYieldExSHL">#REF!</definedName>
    <definedName name="PREACQ">#REF!</definedName>
    <definedName name="prepay">#REF!</definedName>
    <definedName name="press_reduc">#REF!</definedName>
    <definedName name="PreTaxUngearedIRR">#REF!</definedName>
    <definedName name="Prev_catergory">#REF!</definedName>
    <definedName name="previous_vanilla">#REF!</definedName>
    <definedName name="Previously_Claimed">#REF!,#REF!,#REF!,#REF!,#REF!,#REF!</definedName>
    <definedName name="PRICE">#REF!</definedName>
    <definedName name="PRICE_VARIANCE">#REF!</definedName>
    <definedName name="PRICEVAR">#REF!</definedName>
    <definedName name="Pricing">#REF!</definedName>
    <definedName name="Print">#REF!</definedName>
    <definedName name="_xlnm.Print_Area" localSheetId="5">'1. Pipeline information'!$A$1:$E$43</definedName>
    <definedName name="_xlnm.Print_Area" localSheetId="6">'2. Revenue and expenses'!$A$1:$H$6</definedName>
    <definedName name="_xlnm.Print_Area" localSheetId="7">'2.1 Profit &amp; Loss by component'!$A$1:$C$32</definedName>
    <definedName name="_xlnm.Print_Area" localSheetId="8">'2.2 Allocation to services'!$A$1:$J$24</definedName>
    <definedName name="_xlnm.Print_Area" localSheetId="9">'2.3 Revenue contributions '!$A$1:$F$29</definedName>
    <definedName name="_xlnm.Print_Area" localSheetId="10">'2.4 Indirect revenue'!$A$1:$I$41</definedName>
    <definedName name="_xlnm.Print_Area" localSheetId="11">'2.5 Shared expenses'!$A$1:$J$35</definedName>
    <definedName name="_xlnm.Print_Area" localSheetId="13">'3.1 Depreciated Book Value'!$A$1:$F$127</definedName>
    <definedName name="_xlnm.Print_Area" localSheetId="14">'3.2 Regulatory Asset Base'!$A$1:$F$98</definedName>
    <definedName name="_xlnm.Print_Area" localSheetId="15">'3.3 Asset useful life'!$A$1:$G$38</definedName>
    <definedName name="_xlnm.Print_Area" localSheetId="16">'3.4 Asset impairment'!$A$1:$I$57</definedName>
    <definedName name="_xlnm.Print_Area" localSheetId="17">'3.5 Depreciation amortisation'!$A$1:$P$86</definedName>
    <definedName name="_xlnm.Print_Area" localSheetId="18">'3.6 Shared supporting assets'!$A$1:$H$50</definedName>
    <definedName name="_xlnm.Print_Area" localSheetId="20">'4. Recovered Capital'!$A$1:$BL$53</definedName>
    <definedName name="_xlnm.Print_Area" localSheetId="21">'4.1 Pipelines capex'!$A$1:$F$41</definedName>
    <definedName name="_xlnm.Print_Area" localSheetId="23">'5. Historical demand'!$A$1:$BM$27</definedName>
    <definedName name="_xlnm.Print_Area" localSheetId="0">Cover!$A$2:$J$50</definedName>
    <definedName name="_xlnm.Print_Area" localSheetId="4">'Data visualisation'!$A$1:$F$88</definedName>
    <definedName name="_xlnm.Print_Area" localSheetId="12">Sheet1!$A$1:$N$32</definedName>
    <definedName name="_xlnm.Print_Area">#REF!</definedName>
    <definedName name="Print_Area1">#REF!</definedName>
    <definedName name="PRINT_CANBERRA">#REF!</definedName>
    <definedName name="PRINT_SYDNEY">#REF!</definedName>
    <definedName name="PRINT1">#REF!</definedName>
    <definedName name="PRINT10">#REF!</definedName>
    <definedName name="PRINT11">#REF!</definedName>
    <definedName name="PRINT12">#REF!</definedName>
    <definedName name="PRINT13">#REF!</definedName>
    <definedName name="PRINT14">#REF!</definedName>
    <definedName name="PRINT15">#REF!</definedName>
    <definedName name="PRINT16">#REF!</definedName>
    <definedName name="PRINT17">#REF!</definedName>
    <definedName name="PRINT18">#REF!</definedName>
    <definedName name="PRINT19">#REF!</definedName>
    <definedName name="PRINT2">#REF!</definedName>
    <definedName name="PRINT20">#REF!</definedName>
    <definedName name="PRINT21">#REF!</definedName>
    <definedName name="PRINT22">#REF!</definedName>
    <definedName name="PRINT3">#REF!</definedName>
    <definedName name="PRINT4">#REF!</definedName>
    <definedName name="PRINT5">#REF!</definedName>
    <definedName name="PRINT6">#REF!</definedName>
    <definedName name="PRINT7">#REF!</definedName>
    <definedName name="PRINT8">#REF!</definedName>
    <definedName name="PRINT9">#REF!</definedName>
    <definedName name="PrintNotes">#REF!</definedName>
    <definedName name="PrintNotesWorkings">#REF!</definedName>
    <definedName name="PrintPL">#REF!</definedName>
    <definedName name="Prior_catergory">#REF!</definedName>
    <definedName name="Prior_period">#REF!</definedName>
    <definedName name="Prior_Year___2000_2001____by_month">#REF!</definedName>
    <definedName name="Prior_Year___2000_2001____Year_to_date">#REF!</definedName>
    <definedName name="PriorYear">#REF!</definedName>
    <definedName name="Pro_Forma">#REF!</definedName>
    <definedName name="Pro_Rata_Dte">#REF!</definedName>
    <definedName name="probability">#REF!</definedName>
    <definedName name="probability_rating">#REF!</definedName>
    <definedName name="prod">#REF!</definedName>
    <definedName name="ProfEquAcc_ANPSPV">#REF!</definedName>
    <definedName name="ProfEquAcc_Eii">#REF!</definedName>
    <definedName name="ProfEquAcc_Eii2">#REF!</definedName>
    <definedName name="Profit">#REF!,#REF!</definedName>
    <definedName name="PROFITMONTH">#REF!</definedName>
    <definedName name="PROFITYTD">#REF!</definedName>
    <definedName name="ProjectDescr">#REF!</definedName>
    <definedName name="ProjectName">#REF!</definedName>
    <definedName name="projects">#REF!</definedName>
    <definedName name="Projects_Tasks_Mapped_to_Activities">#REF!</definedName>
    <definedName name="ProjList">#REF!</definedName>
    <definedName name="PROJTYPE">#REF!</definedName>
    <definedName name="Proposed">#REF!</definedName>
    <definedName name="ProtectionContents">TRUE</definedName>
    <definedName name="PublishDate">#REF!</definedName>
    <definedName name="PublishDateExists">#REF!</definedName>
    <definedName name="q_selAssetsListing">#REF!</definedName>
    <definedName name="q_selLiabilityListing">#REF!</definedName>
    <definedName name="Qld_AMS_City">#REF!</definedName>
    <definedName name="Qld_AMS_Regional">#REF!</definedName>
    <definedName name="QLD_BudgetData">#REF!</definedName>
    <definedName name="QldRepaymentInterestRate">#REF!</definedName>
    <definedName name="qqwed">#REF!</definedName>
    <definedName name="Qtr_1">#REF!</definedName>
    <definedName name="Qtr_2">#REF!</definedName>
    <definedName name="Qtr_3">#REF!</definedName>
    <definedName name="Qtr_4">#REF!</definedName>
    <definedName name="Qtr_Name">#REF!</definedName>
    <definedName name="Qtrly">#REF!</definedName>
    <definedName name="Qtrs_In_Yr">#REF!</definedName>
    <definedName name="Queensland">#REF!</definedName>
    <definedName name="Quote">#REF!</definedName>
    <definedName name="Quote_Expiry">#REF!</definedName>
    <definedName name="r_Measure">#REF!</definedName>
    <definedName name="R_Other_Income">#REF!</definedName>
    <definedName name="r_Version">#REF!</definedName>
    <definedName name="r_Year">#REF!</definedName>
    <definedName name="RAAgentsFee">#REF!</definedName>
    <definedName name="RAB">#REF!</definedName>
    <definedName name="RAB_OpenValDate">#REF!</definedName>
    <definedName name="RAFee">#REF!</definedName>
    <definedName name="rAllAssets" localSheetId="12">Sheet1!$A$3:$A$17</definedName>
    <definedName name="rAllAssets">#REF!</definedName>
    <definedName name="Rates">#REF!</definedName>
    <definedName name="RBN">#REF!</definedName>
    <definedName name="rbpdetailed">#REF!</definedName>
    <definedName name="RBPSUMMARY">#REF!</definedName>
    <definedName name="RCWP">#REF!</definedName>
    <definedName name="RECAUST1">#REF!</definedName>
    <definedName name="RECAUST2">#REF!</definedName>
    <definedName name="RECEIPTS99">#REF!</definedName>
    <definedName name="RechargeLF">#REF!</definedName>
    <definedName name="RedcliffeHospital">#REF!</definedName>
    <definedName name="RefiDate1">#REF!</definedName>
    <definedName name="RefinanceFeesBookDepnRate">#REF!</definedName>
    <definedName name="RefiTaxDepn">#REF!</definedName>
    <definedName name="RegDistInt">#REF!</definedName>
    <definedName name="RegDistMba">#REF!</definedName>
    <definedName name="RegearingIntOnlyEnd">#REF!</definedName>
    <definedName name="RegoToDriver">#REF!</definedName>
    <definedName name="rem_dollarperGJ">#REF!</definedName>
    <definedName name="Reporting_Period">#REF!</definedName>
    <definedName name="ReportingDate">#REF!</definedName>
    <definedName name="ResNo_Tbl">#REF!</definedName>
    <definedName name="ResourceList">#REF!</definedName>
    <definedName name="RESPONSIBILITYAPPLICATIONID1">#REF!</definedName>
    <definedName name="RESPONSIBILITYID1">#REF!</definedName>
    <definedName name="RESPONSIBILITYNAME1">#REF!</definedName>
    <definedName name="Retail">#REF!</definedName>
    <definedName name="retrievedata">#REF!</definedName>
    <definedName name="RetTarBud03">#REF!</definedName>
    <definedName name="Rev_Solve">#REF!</definedName>
    <definedName name="Rev_Status">#REF!</definedName>
    <definedName name="RevCat">#REF!</definedName>
    <definedName name="Revenue_End">#REF!</definedName>
    <definedName name="RevHedge_B003">#REF!</definedName>
    <definedName name="RevHedge_B080">#REF!</definedName>
    <definedName name="RevHedge_B081">#REF!</definedName>
    <definedName name="RevHedge_B111">#REF!</definedName>
    <definedName name="RevHedge_J002">#REF!</definedName>
    <definedName name="RevHedge_J074">#REF!</definedName>
    <definedName name="Revision_Status">#REF!</definedName>
    <definedName name="RevSensFlag">#REF!</definedName>
    <definedName name="Rf">#REF!</definedName>
    <definedName name="RFMLytton">#REF!</definedName>
    <definedName name="RFMRBPExp">#REF!</definedName>
    <definedName name="RIBBON_OBJECT_POINTER">1336012000</definedName>
    <definedName name="RID">#REF!</definedName>
    <definedName name="rInitialcosts" localSheetId="12">Sheet1!$G$3:$G$5</definedName>
    <definedName name="rInitialcosts">#REF!</definedName>
    <definedName name="rInitialyears" localSheetId="12">Sheet1!$G$3:$H$5</definedName>
    <definedName name="rInitialyears">#REF!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"$AB$327"</definedName>
    <definedName name="RiskSelectedNameCell1" hidden="1">"$AB$321"</definedName>
    <definedName name="RiskSelectedNameCell2" hidden="1">"$P$10"</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TRUE</definedName>
    <definedName name="RiskUseMultipleCPUs" hidden="1">TRUE</definedName>
    <definedName name="RL_tbl">#REF!</definedName>
    <definedName name="RLPL">#REF!</definedName>
    <definedName name="RN">#REF!</definedName>
    <definedName name="rnPrint10">#REF!</definedName>
    <definedName name="rnPrint2">#REF!</definedName>
    <definedName name="rnPrint3">#REF!</definedName>
    <definedName name="rnPrint4">#REF!</definedName>
    <definedName name="rnPrint5">#REF!</definedName>
    <definedName name="rnPrint6">#REF!</definedName>
    <definedName name="rnPrint7">#REF!</definedName>
    <definedName name="rnPrint8">#REF!</definedName>
    <definedName name="Rockhampton">#REF!</definedName>
    <definedName name="Rockhampton_Costs">#REF!</definedName>
    <definedName name="RockhamptonPrison">#REF!</definedName>
    <definedName name="RockStep1">#REF!</definedName>
    <definedName name="RockStep2">#REF!</definedName>
    <definedName name="RockStep3">#REF!</definedName>
    <definedName name="RockStep4">#REF!</definedName>
    <definedName name="RockStep5">#REF!</definedName>
    <definedName name="RockStep6">#REF!</definedName>
    <definedName name="ron">#REF!</definedName>
    <definedName name="ROS_NonDed_B038">#REF!</definedName>
    <definedName name="ROS_NonDed_J901">#REF!</definedName>
    <definedName name="ROSConversion">#REF!</definedName>
    <definedName name="ROSConversionIndicator">#REF!</definedName>
    <definedName name="ROSCouponDeductible">#REF!</definedName>
    <definedName name="ROSIndicator">#REF!</definedName>
    <definedName name="Rounding_Switch">#REF!</definedName>
    <definedName name="row">#REF!</definedName>
    <definedName name="ROWSTOUPLOAD1">#REF!</definedName>
    <definedName name="rPipelineAssets" localSheetId="12">Sheet1!$A$3:$A$12</definedName>
    <definedName name="rPipelineAssets">#REF!</definedName>
    <definedName name="rpipelines">#N/A</definedName>
    <definedName name="RPSConversion">#REF!</definedName>
    <definedName name="RPSCouponDeductible">#REF!</definedName>
    <definedName name="rpt_1">#REF!</definedName>
    <definedName name="rpt_2">#REF!</definedName>
    <definedName name="rpt_3">#REF!</definedName>
    <definedName name="Rpt_BudVsAct">#REF!</definedName>
    <definedName name="Rpt_MarginExplain">#REF!</definedName>
    <definedName name="Rpt_MoombaAudit">#REF!</definedName>
    <definedName name="Rpt_QldAudit">#REF!</definedName>
    <definedName name="Rpt_QldBudSumm">#REF!</definedName>
    <definedName name="Rpt_QldSumm">#REF!</definedName>
    <definedName name="Rpt_SEAudit">#REF!</definedName>
    <definedName name="rr">INDEX(INDIRECT(CountryShortCode&amp;"Codes"),MATCH(Item,INDIRECT(CountryShortCode&amp;"Desc"),0))</definedName>
    <definedName name="rreal">#REF!</definedName>
    <definedName name="RREST">#REF!</definedName>
    <definedName name="rSharedAssets" localSheetId="12">Sheet1!$A$13:$A$17</definedName>
    <definedName name="rSharedAssets">#REF!</definedName>
    <definedName name="rvanilla">#REF!</definedName>
    <definedName name="ryesno">#N/A</definedName>
    <definedName name="s_Measure">#REF!</definedName>
    <definedName name="s_Version">#REF!</definedName>
    <definedName name="s_Year">#REF!</definedName>
    <definedName name="SA_AMS_city">#REF!</definedName>
    <definedName name="SA_AMS_Regional">#REF!</definedName>
    <definedName name="SA_BudgetData">#REF!</definedName>
    <definedName name="SAMortgageDuty">#REF!</definedName>
    <definedName name="SAPBEXhrIndnt" hidden="1">"Wide"</definedName>
    <definedName name="SAPsysID" hidden="1">"708C5W7SBKP804JT78WJ0JNKI"</definedName>
    <definedName name="SAPwbID" hidden="1">"ARS"</definedName>
    <definedName name="sch3a">#REF!</definedName>
    <definedName name="SCHED_G">#REF!</definedName>
    <definedName name="SCHEDULE_A__RECONCILIATION_BETWEEN_STATUTORY_AND_REGULATORY_ACCOUNTS_REGULATORY_STATEMENT_OF_FINANCIAL_RETURNS">#REF!</definedName>
    <definedName name="SCHEDULE_B__RECONCILIATION_BETWEEN_STATUTORY_AND_REGULATORY_ACCOUNTS__REGULATORY_STATEMENT_OF_FINANCIAL_POSITION">#REF!</definedName>
    <definedName name="SCHEDULE_C__RECONCILIATION_BETWEEN_STATUTORY_ACCOUNTS_AND_REGULATORY_ACCOUNTS__REGULATORY_STATEMENT_OF_CASH_FLOWS">#REF!</definedName>
    <definedName name="SCHEDULE_E__NON_CAPITAL_COSTS">#REF!</definedName>
    <definedName name="SCHEDULE_G__DISPOSALS__BOOK_VALUE_OF_ASSETS_DISPOSED">#REF!</definedName>
    <definedName name="SCHEDULE_OF_OTHER_RECONCILIATION_ITEMS">#REF!</definedName>
    <definedName name="Scorecard_Rating">#REF!</definedName>
    <definedName name="SDT">#REF!</definedName>
    <definedName name="SE_Retail_Vol">#REF!</definedName>
    <definedName name="SE_Wholesale_Vol">#REF!</definedName>
    <definedName name="SeaGasCapexSens">#REF!</definedName>
    <definedName name="SeaGasContractEnd">#REF!</definedName>
    <definedName name="SeaGasEndOps">#REF!</definedName>
    <definedName name="SeaGasOMMargin">#REF!</definedName>
    <definedName name="SeaGasOpexEsc">#REF!</definedName>
    <definedName name="SeaGasOpexEscBaseDate">#REF!</definedName>
    <definedName name="SeaGasOpsFlag">#REF!</definedName>
    <definedName name="SeaGasOpsStart">#REF!</definedName>
    <definedName name="SeaGasRevEsc">#REF!</definedName>
    <definedName name="SeaGasRevEscBaseDate">#REF!</definedName>
    <definedName name="SeaGasRevPostContract">#REF!</definedName>
    <definedName name="SeaGasRevPostContractEndDate">#REF!</definedName>
    <definedName name="SEast">#REF!</definedName>
    <definedName name="SEast1">#REF!</definedName>
    <definedName name="Secs_In_Min">#REF!</definedName>
    <definedName name="SEGLIST">#REF!</definedName>
    <definedName name="SEGMENTSUM">#REF!</definedName>
    <definedName name="Semi_Ann">#REF!</definedName>
    <definedName name="Sep">#REF!</definedName>
    <definedName name="SEP08SPEND">#REF!</definedName>
    <definedName name="SEP09SPEND">#REF!</definedName>
    <definedName name="Series">#REF!</definedName>
    <definedName name="SETOFBOOKSID1">#REF!</definedName>
    <definedName name="SETOFBOOKSNAME1">#REF!</definedName>
    <definedName name="SGRSUYTYIUYOYO">#REF!</definedName>
    <definedName name="SGTable">#REF!</definedName>
    <definedName name="Sheet_Index">#REF!</definedName>
    <definedName name="Shell">#REF!</definedName>
    <definedName name="Shell_1">#REF!</definedName>
    <definedName name="Shell_2">#REF!</definedName>
    <definedName name="SideArrow">#REF!</definedName>
    <definedName name="Site_Address">#REF!</definedName>
    <definedName name="SMECustNo">#REF!</definedName>
    <definedName name="SN">#REF!</definedName>
    <definedName name="SolveFormulas">#REF!</definedName>
    <definedName name="Source">#REF!</definedName>
    <definedName name="sp">#REF!</definedName>
    <definedName name="Spec">#REF!</definedName>
    <definedName name="Spec_WACC">#REF!</definedName>
    <definedName name="SPECIFIC">#REF!</definedName>
    <definedName name="SPENDFEB09">#REF!</definedName>
    <definedName name="SpotUSD">#REF!</definedName>
    <definedName name="STAFFAUG08">#REF!</definedName>
    <definedName name="stafffeb10">#REF!</definedName>
    <definedName name="StampDutyFee">#REF!</definedName>
    <definedName name="StampDutyFeeDiff">#REF!</definedName>
    <definedName name="StampDutyFeePaste">#REF!</definedName>
    <definedName name="Start_date">#REF!</definedName>
    <definedName name="startdate">#REF!</definedName>
    <definedName name="STARTJOURNALIMPORT1">#REF!</definedName>
    <definedName name="StartPeriodName1">#REF!</definedName>
    <definedName name="STATEMENT_1__REGULATORY_STATEMENT_OF_FINANCIAL_RETURNS">#REF!</definedName>
    <definedName name="STATEMENT_2__REGULATORY_STATEMENT_OF_FINANCIAL_POSITION">#REF!</definedName>
    <definedName name="STATEMENT_3__REGULATORY_STATEMENT_OF_CASH_FLOWS">#REF!</definedName>
    <definedName name="StateRate">#REF!</definedName>
    <definedName name="status_ranking">#REF!</definedName>
    <definedName name="status_words">#REF!</definedName>
    <definedName name="step1_dollar">#REF!</definedName>
    <definedName name="step1_dollarperGJ">#REF!</definedName>
    <definedName name="step2_dollar">#REF!</definedName>
    <definedName name="step2_dollarperGJ">#REF!</definedName>
    <definedName name="step2_GJ">#REF!</definedName>
    <definedName name="step3_dollar">#REF!</definedName>
    <definedName name="step3_dollarperGJ">#REF!</definedName>
    <definedName name="step3_GJ">#REF!</definedName>
    <definedName name="step4_dollar">#REF!</definedName>
    <definedName name="step4_dollarperGJ">#REF!</definedName>
    <definedName name="step4_GJ">#REF!</definedName>
    <definedName name="step5_dollar">#REF!</definedName>
    <definedName name="step5_dollarperGJ">#REF!</definedName>
    <definedName name="step5_GJ">#REF!</definedName>
    <definedName name="step6_dollar">#REF!</definedName>
    <definedName name="step6_dollarperGJ">#REF!</definedName>
    <definedName name="step6_GJ">#REF!</definedName>
    <definedName name="step7_dollar">#REF!</definedName>
    <definedName name="step7_dollarperGJ">#REF!</definedName>
    <definedName name="step7_GJ">#REF!</definedName>
    <definedName name="step8_dollar">#REF!</definedName>
    <definedName name="step8_dollarperGJ">#REF!</definedName>
    <definedName name="step8_GJ">#REF!</definedName>
    <definedName name="STI_Rounding_Factor">#REF!</definedName>
    <definedName name="stop">#REF!</definedName>
    <definedName name="STP">#REF!</definedName>
    <definedName name="StructuralMargin">#REF!</definedName>
    <definedName name="Sub_Ledger_Range">#REF!</definedName>
    <definedName name="SubDebMarginTable">#REF!</definedName>
    <definedName name="SubDebtAmortPeriod">#REF!</definedName>
    <definedName name="SubDebtAmortPeriodEndDate">#REF!</definedName>
    <definedName name="SubDebtAmortPeriodStartDate">#REF!</definedName>
    <definedName name="SubDebtDeductible">#REF!</definedName>
    <definedName name="SubDebtMargin">#REF!</definedName>
    <definedName name="SubDebtYrstoAmort">#REF!</definedName>
    <definedName name="sum">#REF!</definedName>
    <definedName name="summaryconsolidation">#REF!</definedName>
    <definedName name="Sunshine">#REF!</definedName>
    <definedName name="Sunshine_Cost">#REF!</definedName>
    <definedName name="Supply_Origin">#REF!</definedName>
    <definedName name="Synergy_Year">#REF!</definedName>
    <definedName name="System_Peak">#REF!</definedName>
    <definedName name="Table_QldAGLBill">#REF!</definedName>
    <definedName name="Table_QldOtherCharges">#REF!</definedName>
    <definedName name="Table_QldPGEBill">#REF!</definedName>
    <definedName name="Table_QldRechargeSumm">#REF!</definedName>
    <definedName name="Table_QldSales">#REF!</definedName>
    <definedName name="Table_QldVarSumm">#REF!</definedName>
    <definedName name="Table_QldWellheadInvoices">#REF!</definedName>
    <definedName name="Target_MDQ">#REF!</definedName>
    <definedName name="TargetDSCRTable">#REF!</definedName>
    <definedName name="TARIFF">#REF!</definedName>
    <definedName name="TariffCR">#REF!</definedName>
    <definedName name="TariffTH">#REF!</definedName>
    <definedName name="TARIFFTRANSPORT">#REF!</definedName>
    <definedName name="Task">#REF!</definedName>
    <definedName name="TaskList">#REF!</definedName>
    <definedName name="Tax_Expense">#REF!</definedName>
    <definedName name="Tax_Life">#REF!</definedName>
    <definedName name="Tax_Rate">#REF!</definedName>
    <definedName name="TAXATION">#REF!</definedName>
    <definedName name="TB">#REF!</definedName>
    <definedName name="TB_TotalTaxExp">#REF!</definedName>
    <definedName name="TCC">#REF!</definedName>
    <definedName name="Td">#REF!</definedName>
    <definedName name="TDate">#REF!</definedName>
    <definedName name="TelferBCapacity">#REF!</definedName>
    <definedName name="TelferBFlowBasedTariff">#REF!</definedName>
    <definedName name="TelferBookBase">#REF!</definedName>
    <definedName name="TelferBookDepnRate">#REF!</definedName>
    <definedName name="TelferBOverrunChargesQrtly">#REF!</definedName>
    <definedName name="TelferCapacityCharge">#REF!</definedName>
    <definedName name="TelferCapexSens">#REF!</definedName>
    <definedName name="TelferCapexYearly">#REF!</definedName>
    <definedName name="telferdefaultoption">#REF!</definedName>
    <definedName name="TelferEndOps">#REF!</definedName>
    <definedName name="TelferNewcrestProfitShareQrtly">#REF!</definedName>
    <definedName name="TelferOMMargin">#REF!</definedName>
    <definedName name="TelferOMOtherQtrly">#REF!</definedName>
    <definedName name="TelferOMQtrly">#REF!</definedName>
    <definedName name="TelferOpexContingency">#REF!</definedName>
    <definedName name="TelferOpexSens">#REF!</definedName>
    <definedName name="TelferOpsFlag">#REF!</definedName>
    <definedName name="TelferOpsStart">#REF!</definedName>
    <definedName name="TelferOption">#REF!</definedName>
    <definedName name="TelferOptionChooser">#REF!</definedName>
    <definedName name="TelferOptionExerciseDate">#REF!</definedName>
    <definedName name="TelferOptionType">#REF!</definedName>
    <definedName name="TelferRevSens">#REF!</definedName>
    <definedName name="TelferTaxBase">#REF!</definedName>
    <definedName name="TelferTaxDepnRate">#REF!</definedName>
    <definedName name="Template.WIRE">"DBACCESS"</definedName>
    <definedName name="TemplateName">#REF!</definedName>
    <definedName name="TEMPLATENUMBER1">#REF!</definedName>
    <definedName name="TEMPLATES">#REF!</definedName>
    <definedName name="TEMPLATESTYLE1">#REF!</definedName>
    <definedName name="TEMPLATETYPE1">#REF!</definedName>
    <definedName name="Ten">#REF!</definedName>
    <definedName name="TEP">#REF!</definedName>
    <definedName name="TEST0">#REF!</definedName>
    <definedName name="TEST1">#REF!</definedName>
    <definedName name="TESTHKEY">#REF!</definedName>
    <definedName name="TESTKEYS">#REF!</definedName>
    <definedName name="TESTVKEY">#REF!</definedName>
    <definedName name="TFR_2010">#REF!</definedName>
    <definedName name="TFR_2011">#REF!</definedName>
    <definedName name="TFR_Rounding_Factor">#REF!</definedName>
    <definedName name="thiessrates10">#REF!</definedName>
    <definedName name="ThinCapInd">#REF!</definedName>
    <definedName name="This_Claim">#REF!,#REF!,#REF!,#REF!,#REF!,#REF!</definedName>
    <definedName name="Thousand">#REF!</definedName>
    <definedName name="Thousands">#REF!</definedName>
    <definedName name="TI_B001">#REF!</definedName>
    <definedName name="TI_B002">#REF!</definedName>
    <definedName name="TI_B003">#REF!</definedName>
    <definedName name="TI_B004">#REF!</definedName>
    <definedName name="TI_B005">#REF!</definedName>
    <definedName name="TI_B006">#REF!</definedName>
    <definedName name="TI_B007">#REF!</definedName>
    <definedName name="TI_B008">#REF!</definedName>
    <definedName name="TI_B009">#REF!</definedName>
    <definedName name="TI_B010">#REF!</definedName>
    <definedName name="TI_B011">#REF!</definedName>
    <definedName name="TI_B012">#REF!</definedName>
    <definedName name="TI_B013">#REF!</definedName>
    <definedName name="TI_B014">#REF!</definedName>
    <definedName name="TI_B015">#REF!</definedName>
    <definedName name="TI_B016">#REF!</definedName>
    <definedName name="TI_B017">#REF!</definedName>
    <definedName name="TI_B018">#REF!</definedName>
    <definedName name="TI_B019">#REF!</definedName>
    <definedName name="TI_B020">#REF!</definedName>
    <definedName name="TI_B021">#REF!</definedName>
    <definedName name="TI_B022">#REF!</definedName>
    <definedName name="TI_B023">#REF!</definedName>
    <definedName name="TI_B024">#REF!</definedName>
    <definedName name="TI_B025">#REF!</definedName>
    <definedName name="TI_B026">#REF!</definedName>
    <definedName name="TI_B027">#REF!</definedName>
    <definedName name="TI_B028">#REF!</definedName>
    <definedName name="TI_B031">#REF!</definedName>
    <definedName name="TI_B032">#REF!</definedName>
    <definedName name="TI_B033">#REF!</definedName>
    <definedName name="TI_B034">#REF!</definedName>
    <definedName name="TI_B035">#REF!</definedName>
    <definedName name="TI_B036">#REF!</definedName>
    <definedName name="TI_B038">#REF!</definedName>
    <definedName name="TI_B044">#REF!</definedName>
    <definedName name="TI_B045">#REF!</definedName>
    <definedName name="TI_B046">#REF!</definedName>
    <definedName name="TI_B047">#REF!</definedName>
    <definedName name="TI_B048">#REF!</definedName>
    <definedName name="TI_B050">#REF!</definedName>
    <definedName name="TI_B051">#REF!</definedName>
    <definedName name="TI_B052">#REF!</definedName>
    <definedName name="tier1">#REF!</definedName>
    <definedName name="tier2">#REF!</definedName>
    <definedName name="TiptonOpexContingency">#REF!</definedName>
    <definedName name="TiptonOpexSens">#REF!</definedName>
    <definedName name="TiptonWestAdminFee">#REF!</definedName>
    <definedName name="TiptonWestBookBase">#REF!</definedName>
    <definedName name="TiptonWestEndOps">#REF!</definedName>
    <definedName name="TiptonWestOMMargin">#REF!</definedName>
    <definedName name="TiptonWestOpsFlag">#REF!</definedName>
    <definedName name="TiptonWestOpsStart">#REF!</definedName>
    <definedName name="TiptonWestOptionAmount">#REF!</definedName>
    <definedName name="TiptonWestOptionExerciseDate">#REF!</definedName>
    <definedName name="TiptonWestOptionIndicator">#REF!</definedName>
    <definedName name="TiptonWestRealInsurance">#REF!</definedName>
    <definedName name="TiptonWestRealOpex">#REF!</definedName>
    <definedName name="TiptonWestRealRev">#REF!</definedName>
    <definedName name="TiptonWestRevSens">#REF!</definedName>
    <definedName name="TiptonWestTaxBase">#REF!</definedName>
    <definedName name="TIS">#REF!</definedName>
    <definedName name="TITLE">#REF!</definedName>
    <definedName name="TOP">#REF!</definedName>
    <definedName name="TOS_Cl_Bal">#REF!</definedName>
    <definedName name="TOS_IRR">#REF!</definedName>
    <definedName name="Tot199AA">#REF!</definedName>
    <definedName name="Tot199CR">#REF!</definedName>
    <definedName name="Tot220CR">#REF!</definedName>
    <definedName name="Tot221Cr">#REF!</definedName>
    <definedName name="Tot245AA">#REF!</definedName>
    <definedName name="tot253CR">#REF!</definedName>
    <definedName name="Tot255AA">#REF!</definedName>
    <definedName name="Tot257AA">#REF!</definedName>
    <definedName name="Tot257CR">#REF!</definedName>
    <definedName name="Tot259AA">#REF!</definedName>
    <definedName name="Tot259PPS">#REF!</definedName>
    <definedName name="Tot261AA">#REF!</definedName>
    <definedName name="Tot261CR">#REF!</definedName>
    <definedName name="Tot262AA">#REF!</definedName>
    <definedName name="Tot262CR">#REF!</definedName>
    <definedName name="Tot263AA">#REF!</definedName>
    <definedName name="Tot263CR">#REF!</definedName>
    <definedName name="Tot266AA">#REF!</definedName>
    <definedName name="Totals">#REF!</definedName>
    <definedName name="TotalTrancheDebt">#REF!</definedName>
    <definedName name="TotalTxnCostsDepn">#REF!</definedName>
    <definedName name="TotCR044">#REF!</definedName>
    <definedName name="TotSA013">#REF!</definedName>
    <definedName name="TotSA031">#REF!</definedName>
    <definedName name="TotSA033">#REF!</definedName>
    <definedName name="TotSA034">#REF!</definedName>
    <definedName name="TotSA035">#REF!</definedName>
    <definedName name="TotSA036">#REF!</definedName>
    <definedName name="TotSA040">#REF!</definedName>
    <definedName name="TotSA041">#REF!</definedName>
    <definedName name="TotSA044">#REF!</definedName>
    <definedName name="TotSA046">#REF!</definedName>
    <definedName name="TOTW05CG">#REF!</definedName>
    <definedName name="TOTW05CLCFWD">#REF!</definedName>
    <definedName name="TOTW05CLR">#REF!</definedName>
    <definedName name="TOTW05CLT">#REF!</definedName>
    <definedName name="TOTW05NCG">#REF!</definedName>
    <definedName name="TOTW11">#REF!</definedName>
    <definedName name="TOTW19DEFA">#REF!</definedName>
    <definedName name="TOTW19DEFD">#REF!</definedName>
    <definedName name="TOTW19PROV">#REF!</definedName>
    <definedName name="TOTW19RES">#REF!</definedName>
    <definedName name="TOTW36">#REF!</definedName>
    <definedName name="TOTW42A">#REF!</definedName>
    <definedName name="TOTW42B">#REF!</definedName>
    <definedName name="TOTW42REBATE">#REF!</definedName>
    <definedName name="TOTW52RECOUPED">#REF!</definedName>
    <definedName name="TOTW53IN">#REF!</definedName>
    <definedName name="TOTW53OUT">#REF!</definedName>
    <definedName name="TOTW54IN">#REF!</definedName>
    <definedName name="TOTW54OUT">#REF!</definedName>
    <definedName name="Townsville">#REF!</definedName>
    <definedName name="Townsville_Cost">#REF!</definedName>
    <definedName name="TPWAssets">#REF!</definedName>
    <definedName name="TradeCreditors">#REF!</definedName>
    <definedName name="TradeDebtors">#REF!</definedName>
    <definedName name="Tradingname" localSheetId="12">#REF!</definedName>
    <definedName name="Tradingname">Cover!$C$17</definedName>
    <definedName name="TRAIN">#REF!</definedName>
    <definedName name="TrancheAAmount">#REF!</definedName>
    <definedName name="TrancheAEstabPayment">#REF!</definedName>
    <definedName name="TrancheBAmount">#REF!</definedName>
    <definedName name="TrancheBEstabPayment">#REF!</definedName>
    <definedName name="TrancheCEstabPayment">#REF!</definedName>
    <definedName name="TrancheCPostTOCapexInd">#REF!</definedName>
    <definedName name="TrancheDEstabPayment">#REF!</definedName>
    <definedName name="TrancheEEstabPayment">#REF!</definedName>
    <definedName name="Transm_Pricing_Zone">#REF!</definedName>
    <definedName name="TRANSPORT99">#REF!</definedName>
    <definedName name="trunk_chrge">#REF!</definedName>
    <definedName name="TT">#REF!</definedName>
    <definedName name="TUOS">#REF!</definedName>
    <definedName name="TUOS_FC">#REF!</definedName>
    <definedName name="TUOS_Var">#REF!</definedName>
    <definedName name="TUOS_VC">#REF!</definedName>
    <definedName name="TV_EBITDA_multiple">#REF!</definedName>
    <definedName name="TV_switch">#REF!</definedName>
    <definedName name="TxnCostsTaxDepn">#REF!</definedName>
    <definedName name="type">#REF!</definedName>
    <definedName name="TYPES">#REF!</definedName>
    <definedName name="TYPESP5">#REF!</definedName>
    <definedName name="UAGDATA">#REF!</definedName>
    <definedName name="UCHOICES">#REF!</definedName>
    <definedName name="UKTable">#REF!</definedName>
    <definedName name="UnEarRev_B027">#REF!</definedName>
    <definedName name="UnEarRev_B028">#REF!</definedName>
    <definedName name="UNLNK">#REF!</definedName>
    <definedName name="UnRegCR">#REF!</definedName>
    <definedName name="UnRegMinChg">#REF!</definedName>
    <definedName name="UnRegTH">#REF!</definedName>
    <definedName name="UnSecRevDSCRTable">#REF!</definedName>
    <definedName name="UOS_1">#REF!</definedName>
    <definedName name="UOS_2">#REF!</definedName>
    <definedName name="UpArrow">#REF!</definedName>
    <definedName name="Upstream">#REF!</definedName>
    <definedName name="USA">#REF!</definedName>
    <definedName name="USATable">#REF!</definedName>
    <definedName name="USDEOMSPOT">#REF!</definedName>
    <definedName name="USDEOMSPOTFY13">#REF!</definedName>
    <definedName name="uselist">INDEX(valdata,1,MATCH(#REF!,#REF!,0)):INDEX(valdata,counter,MATCH(#REF!,#REF!,0))</definedName>
    <definedName name="uselist2">INDEX(valdata2,1,MATCH(#REF!,#REF!,0)):INDEX(valdata2,counter2,MATCH(#REF!,#REF!,0))</definedName>
    <definedName name="uselist3">INDEX(valdata3,1,MATCH(#REF!,#REF!,0)):INDEX(valdata3,counter3,MATCH(#REF!,#REF!,0))</definedName>
    <definedName name="uselist4">INDEX(valdata4,1,MATCH(#REF!,#REF!,0)):INDEX(valdata4,counter4,MATCH(#REF!,#REF!,0))</definedName>
    <definedName name="valdata">#REF!:INDEX(#REF!,100,COUNTA(#REF!))</definedName>
    <definedName name="valdata2">#REF!:INDEX(#REF!,100,COUNTA(#REF!))</definedName>
    <definedName name="valdata3">#REF!:INDEX(#REF!,100,COUNTA(#REF!))</definedName>
    <definedName name="valdata4">#REF!:INDEX(#REF!,100,COUNTA(#REF!))</definedName>
    <definedName name="Validations">#REF!</definedName>
    <definedName name="ValleyBeef">#REF!</definedName>
    <definedName name="valn_date">#REF!</definedName>
    <definedName name="vanilla">#REF!</definedName>
    <definedName name="vanilla1">#REF!</definedName>
    <definedName name="vanilla10">#REF!</definedName>
    <definedName name="vanilla2">#REF!</definedName>
    <definedName name="vanilla3">#REF!</definedName>
    <definedName name="vanilla4">#REF!</definedName>
    <definedName name="vanilla5">#REF!</definedName>
    <definedName name="vanilla6">#REF!</definedName>
    <definedName name="vanilla7">#REF!</definedName>
    <definedName name="vanilla8">#REF!</definedName>
    <definedName name="vanilla9">#REF!</definedName>
    <definedName name="VarAA_tbl">#REF!</definedName>
    <definedName name="vAutoFilter">#REF!</definedName>
    <definedName name="vAutoFilterFLAG">#REF!</definedName>
    <definedName name="vCube" hidden="1">#REF!</definedName>
    <definedName name="Version.WIRE">1</definedName>
    <definedName name="vFormulas" hidden="1">#REF!</definedName>
    <definedName name="vGetRange" hidden="1">#REF!</definedName>
    <definedName name="VIC_BudgetData">#REF!</definedName>
    <definedName name="Vic_CY">OFFSET(#REF!,0,#REF!,,24)</definedName>
    <definedName name="Vic_mat">OFFSET(#REF!,0,#REF!,,36)</definedName>
    <definedName name="Vic_PY">OFFSET(#REF!,0,#REF!,,36)</definedName>
    <definedName name="Vicgas_April">#REF!</definedName>
    <definedName name="Vicgas_August">#REF!</definedName>
    <definedName name="Vicgas_December">#REF!</definedName>
    <definedName name="Vicgas_February">#REF!</definedName>
    <definedName name="Vicgas_January">#REF!</definedName>
    <definedName name="Vicgas_July">#REF!</definedName>
    <definedName name="Vicgas_June">#REF!</definedName>
    <definedName name="Vicgas_March">#REF!</definedName>
    <definedName name="Vicgas_May">#REF!</definedName>
    <definedName name="Vicgas_November">#REF!</definedName>
    <definedName name="Vicgas_October">#REF!</definedName>
    <definedName name="Vicgas_September">#REF!</definedName>
    <definedName name="Visy">#REF!</definedName>
    <definedName name="Vol">#REF!</definedName>
    <definedName name="volume">#REF!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VTyp">#REF!</definedName>
    <definedName name="W53_Company_Name">#REF!</definedName>
    <definedName name="W5ADDCOST">#REF!</definedName>
    <definedName name="W5COST">#REF!</definedName>
    <definedName name="W5DISPCOST">#REF!</definedName>
    <definedName name="W5INDEX">#REF!</definedName>
    <definedName name="W5LOSS">#REF!</definedName>
    <definedName name="W5NEWCOST">#REF!</definedName>
    <definedName name="W5NOGAIN">#REF!</definedName>
    <definedName name="W5PROCEED">#REF!</definedName>
    <definedName name="W5PROFIT">#REF!</definedName>
    <definedName name="WACC">#REF!</definedName>
    <definedName name="WAPLInvoice">#REF!</definedName>
    <definedName name="Warwick">#REF!</definedName>
    <definedName name="Warwick_Cost">#REF!</definedName>
    <definedName name="WB_BudgetData">#REF!</definedName>
    <definedName name="WBSList">#REF!</definedName>
    <definedName name="wc">#REF!</definedName>
    <definedName name="wcbal">#REF!</definedName>
    <definedName name="WCCommitmentFeePerc">#REF!</definedName>
    <definedName name="wcdebtors">#REF!</definedName>
    <definedName name="WCDrawdownDate">#REF!</definedName>
    <definedName name="WCEndDate">#REF!</definedName>
    <definedName name="WCEstablishmentFee">#REF!</definedName>
    <definedName name="WCFacilityLimit">#REF!</definedName>
    <definedName name="WCMargin">#REF!</definedName>
    <definedName name="wcother">#REF!</definedName>
    <definedName name="wcsumm">#REF!</definedName>
    <definedName name="Weather_Grid">#REF!</definedName>
    <definedName name="Weighted_Price">#REF!</definedName>
    <definedName name="WELCOME_TO_PAGE">#REF!</definedName>
    <definedName name="WH_Rates">#REF!</definedName>
    <definedName name="Wholesale_Trade">#REF!</definedName>
    <definedName name="Whprice">#REF!</definedName>
    <definedName name="WickhamCapexBookDepnRate">#REF!</definedName>
    <definedName name="WickhamCapexFacAmtExclInt">#REF!</definedName>
    <definedName name="WickhamCapexSens">#REF!</definedName>
    <definedName name="WickhamContractEndDate">#REF!</definedName>
    <definedName name="WickhamOpexContingency">#REF!</definedName>
    <definedName name="WickhamOpexSens">#REF!</definedName>
    <definedName name="WickhamOpsFlag">#REF!</definedName>
    <definedName name="WickhamPointOMMargin">#REF!</definedName>
    <definedName name="WickhamRealYrlyRevenue">#REF!</definedName>
    <definedName name="WickhamRevPostContract">#REF!</definedName>
    <definedName name="WickhamRevPostContractEndDate">#REF!</definedName>
    <definedName name="WickhamRevSens">#REF!</definedName>
    <definedName name="WickhamStartOps">#REF!</definedName>
    <definedName name="Wide50_100">#REF!</definedName>
    <definedName name="WithholdingDistributions">#REF!</definedName>
    <definedName name="WithholdingRPSInt">#REF!</definedName>
    <definedName name="WithholdingRPSPrincipal">#REF!</definedName>
    <definedName name="WithholdingTaxChooser">#REF!</definedName>
    <definedName name="Wks_In_Yr">#REF!</definedName>
    <definedName name="WPCInvoice">#REF!</definedName>
    <definedName name="WrapFeeBondDiff">#REF!</definedName>
    <definedName name="WrapFeeFinClose">#REF!</definedName>
    <definedName name="WrappingFeeCFEndDate">#REF!</definedName>
    <definedName name="WrappingFeeDiscRate">#REF!</definedName>
    <definedName name="WrappingFeePerc">#REF!</definedName>
    <definedName name="WrappingFeePeriod">#REF!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wtsheet">#REF!</definedName>
    <definedName name="x">#REF!</definedName>
    <definedName name="x_1">#REF!</definedName>
    <definedName name="X_2">#REF!</definedName>
    <definedName name="X_3">#REF!</definedName>
    <definedName name="X_4">#REF!</definedName>
    <definedName name="XAXIS">OFFSET(#REF!,,COUNTIF(#REF!,"&gt;0")-36,,36)</definedName>
    <definedName name="XAXISV">OFFSET(#REF!,,COUNT(#REF!)-36,,36)</definedName>
    <definedName name="xx">#REF!</definedName>
    <definedName name="xxAnnl_CorpTax_Rate">#REF!</definedName>
    <definedName name="xxINDANNUAL">#REF!</definedName>
    <definedName name="xxINITEQUITYINJ">#REF!</definedName>
    <definedName name="xxx">#REF!</definedName>
    <definedName name="XXXXXXXXXXXXXXXXXXXXX">#REF!</definedName>
    <definedName name="xxYearNo">#REF!</definedName>
    <definedName name="y">#REF!</definedName>
    <definedName name="Y_N">#REF!</definedName>
    <definedName name="YEAR">#REF!</definedName>
    <definedName name="Yearending" localSheetId="12">#REF!</definedName>
    <definedName name="Yearending">Cover!$C$27</definedName>
    <definedName name="YearEndMonth">#REF!</definedName>
    <definedName name="years">#REF!</definedName>
    <definedName name="Yearstart" localSheetId="12">#REF!</definedName>
    <definedName name="Yearstart">Cover!$C$25</definedName>
    <definedName name="Yes">#REF!</definedName>
    <definedName name="YesNo">#REF!</definedName>
    <definedName name="Yr_Name">#REF!</definedName>
    <definedName name="Yrs_In_Yr">#REF!</definedName>
    <definedName name="YTD_Months">#REF!</definedName>
    <definedName name="ytdact98">#REF!</definedName>
    <definedName name="YTDACT99">#REF!</definedName>
    <definedName name="YTDACTTJ">#REF!</definedName>
    <definedName name="YTDBUD99">#REF!</definedName>
    <definedName name="YTDLIFE">#REF!</definedName>
    <definedName name="YTDLIFEE">#REF!</definedName>
    <definedName name="YTDVAR99">#REF!</definedName>
    <definedName name="yy">#REF!</definedName>
    <definedName name="z">OFFSET(ADSWAPCount,0,1+ItemsCols,1,ADSWAPCount)</definedName>
    <definedName name="Zeitwert">#REF!</definedName>
    <definedName name="ZW">#REF!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2" i="34" l="1"/>
  <c r="E22" i="34" l="1"/>
  <c r="E23" i="34"/>
  <c r="E21" i="34"/>
  <c r="E20" i="34"/>
  <c r="E19" i="34"/>
  <c r="E18" i="34"/>
  <c r="E17" i="34"/>
  <c r="E16" i="34"/>
  <c r="E15" i="34"/>
  <c r="D130" i="6" l="1"/>
  <c r="R1209" i="95" l="1"/>
  <c r="E66" i="34" l="1"/>
  <c r="F24" i="34" l="1"/>
  <c r="F67" i="34"/>
  <c r="F66" i="34"/>
  <c r="E67" i="34" l="1"/>
  <c r="E24" i="34"/>
  <c r="F19" i="34" l="1"/>
  <c r="F16" i="34"/>
  <c r="E15" i="87" l="1"/>
  <c r="D15" i="87"/>
  <c r="F15" i="87"/>
  <c r="G15" i="87"/>
  <c r="H15" i="87"/>
  <c r="B16" i="44"/>
  <c r="B15" i="44"/>
  <c r="D119" i="6"/>
  <c r="D118" i="6"/>
  <c r="D116" i="6"/>
  <c r="D115" i="6"/>
  <c r="D110" i="6"/>
  <c r="D108" i="6"/>
  <c r="D95" i="6"/>
  <c r="D94" i="6"/>
  <c r="D92" i="6"/>
  <c r="D91" i="6"/>
  <c r="D86" i="6"/>
  <c r="D78" i="6"/>
  <c r="D71" i="6"/>
  <c r="D63" i="6"/>
  <c r="D55" i="6"/>
  <c r="D47" i="6"/>
  <c r="D39" i="6"/>
  <c r="D31" i="6"/>
  <c r="D23" i="6"/>
  <c r="G98" i="66"/>
  <c r="E73" i="66"/>
  <c r="E41" i="66"/>
  <c r="E14" i="47"/>
  <c r="G46" i="59"/>
  <c r="I84" i="34"/>
  <c r="G59" i="34"/>
  <c r="D93" i="87"/>
  <c r="E91" i="87" s="1"/>
  <c r="E93" i="87" s="1"/>
  <c r="F91" i="87" s="1"/>
  <c r="F93" i="87" s="1"/>
  <c r="G91" i="87" s="1"/>
  <c r="G93" i="87" s="1"/>
  <c r="H91" i="87" s="1"/>
  <c r="H93" i="87" s="1"/>
  <c r="D90" i="87"/>
  <c r="E86" i="87" s="1"/>
  <c r="E90" i="87" s="1"/>
  <c r="F86" i="87" s="1"/>
  <c r="F90" i="87" s="1"/>
  <c r="G86" i="87" s="1"/>
  <c r="G90" i="87" s="1"/>
  <c r="H86" i="87" s="1"/>
  <c r="H90" i="87" s="1"/>
  <c r="D84" i="87"/>
  <c r="E80" i="87" s="1"/>
  <c r="E84" i="87" s="1"/>
  <c r="D29" i="87"/>
  <c r="E25" i="87" s="1"/>
  <c r="E29" i="87" s="1"/>
  <c r="D20" i="87"/>
  <c r="D23" i="87" s="1"/>
  <c r="E18" i="87" s="1"/>
  <c r="E20" i="87" s="1"/>
  <c r="E23" i="87" s="1"/>
  <c r="F18" i="87" s="1"/>
  <c r="F20" i="87" s="1"/>
  <c r="F23" i="87" s="1"/>
  <c r="G18" i="87" s="1"/>
  <c r="G20" i="87" s="1"/>
  <c r="G23" i="87" s="1"/>
  <c r="D102" i="6"/>
  <c r="E102" i="6"/>
  <c r="I35" i="16"/>
  <c r="I34" i="16"/>
  <c r="I33" i="16"/>
  <c r="I32" i="16"/>
  <c r="I31" i="16"/>
  <c r="I30" i="16"/>
  <c r="I29" i="16"/>
  <c r="I28" i="16"/>
  <c r="I27" i="16"/>
  <c r="I26" i="16"/>
  <c r="I25" i="16"/>
  <c r="I22" i="16"/>
  <c r="I21" i="16"/>
  <c r="E40" i="76" s="1"/>
  <c r="I20" i="16"/>
  <c r="E39" i="76" s="1"/>
  <c r="I19" i="16"/>
  <c r="E38" i="76" s="1"/>
  <c r="I17" i="16"/>
  <c r="E36" i="76" s="1"/>
  <c r="I16" i="16"/>
  <c r="E35" i="76" s="1"/>
  <c r="I15" i="16"/>
  <c r="E34" i="76" s="1"/>
  <c r="H35" i="16"/>
  <c r="H34" i="16"/>
  <c r="H33" i="16"/>
  <c r="H32" i="16"/>
  <c r="H31" i="16"/>
  <c r="H30" i="16"/>
  <c r="H29" i="16"/>
  <c r="H28" i="16"/>
  <c r="H27" i="16"/>
  <c r="H26" i="16"/>
  <c r="H25" i="16"/>
  <c r="H22" i="16"/>
  <c r="D41" i="76" s="1"/>
  <c r="H21" i="16"/>
  <c r="D40" i="76" s="1"/>
  <c r="H20" i="16"/>
  <c r="D39" i="76" s="1"/>
  <c r="H19" i="16"/>
  <c r="H17" i="16"/>
  <c r="H16" i="16"/>
  <c r="D35" i="76" s="1"/>
  <c r="H15" i="16"/>
  <c r="F23" i="16"/>
  <c r="F36" i="16" s="1"/>
  <c r="H41" i="45"/>
  <c r="H40" i="45"/>
  <c r="H39" i="45"/>
  <c r="H38" i="45"/>
  <c r="H37" i="45"/>
  <c r="H36" i="45"/>
  <c r="H35" i="45"/>
  <c r="H34" i="45"/>
  <c r="H33" i="45"/>
  <c r="H32" i="45"/>
  <c r="H31" i="45"/>
  <c r="H30" i="45"/>
  <c r="H29" i="45"/>
  <c r="H28" i="45"/>
  <c r="H27" i="45"/>
  <c r="H26" i="45"/>
  <c r="H25" i="45"/>
  <c r="H24" i="45"/>
  <c r="H23" i="45"/>
  <c r="H22" i="45"/>
  <c r="H21" i="45"/>
  <c r="H20" i="45"/>
  <c r="H19" i="45"/>
  <c r="H18" i="45"/>
  <c r="H17" i="45"/>
  <c r="H16" i="45"/>
  <c r="H15" i="45"/>
  <c r="G18" i="45"/>
  <c r="G17" i="45"/>
  <c r="G16" i="45"/>
  <c r="G15" i="45"/>
  <c r="D42" i="45"/>
  <c r="E42" i="45"/>
  <c r="D29" i="57"/>
  <c r="D15" i="76" s="1"/>
  <c r="F15" i="76" s="1"/>
  <c r="D17" i="57"/>
  <c r="E14" i="76" s="1"/>
  <c r="E16" i="57"/>
  <c r="E15" i="57"/>
  <c r="E14" i="57"/>
  <c r="E13" i="57"/>
  <c r="E12" i="57"/>
  <c r="H150" i="80"/>
  <c r="H151" i="80"/>
  <c r="H152" i="80"/>
  <c r="H153" i="80"/>
  <c r="H154" i="80"/>
  <c r="H155" i="80"/>
  <c r="H156" i="80"/>
  <c r="H157" i="80"/>
  <c r="H158" i="80"/>
  <c r="H138" i="80"/>
  <c r="H139" i="80"/>
  <c r="H140" i="80"/>
  <c r="H141" i="80"/>
  <c r="H142" i="80"/>
  <c r="H143" i="80"/>
  <c r="H144" i="80"/>
  <c r="H145" i="80"/>
  <c r="H146" i="80"/>
  <c r="E150" i="80"/>
  <c r="E151" i="80"/>
  <c r="E152" i="80"/>
  <c r="E153" i="80"/>
  <c r="E154" i="80"/>
  <c r="E155" i="80"/>
  <c r="E156" i="80"/>
  <c r="E157" i="80"/>
  <c r="E158" i="80"/>
  <c r="D150" i="80"/>
  <c r="D151" i="80"/>
  <c r="D152" i="80"/>
  <c r="D153" i="80"/>
  <c r="D154" i="80"/>
  <c r="D155" i="80"/>
  <c r="D156" i="80"/>
  <c r="D157" i="80"/>
  <c r="D158" i="80"/>
  <c r="F117" i="80"/>
  <c r="F118" i="80"/>
  <c r="F119" i="80"/>
  <c r="F120" i="80"/>
  <c r="F121" i="80"/>
  <c r="F122" i="80"/>
  <c r="F123" i="80"/>
  <c r="F124" i="80"/>
  <c r="F125" i="80"/>
  <c r="E105" i="80"/>
  <c r="E106" i="80"/>
  <c r="E107" i="80"/>
  <c r="E108" i="80"/>
  <c r="E109" i="80"/>
  <c r="E110" i="80"/>
  <c r="E111" i="80"/>
  <c r="E112" i="80"/>
  <c r="E113" i="80"/>
  <c r="E80" i="80"/>
  <c r="E81" i="80"/>
  <c r="E82" i="80"/>
  <c r="E83" i="80"/>
  <c r="E84" i="80"/>
  <c r="E85" i="80"/>
  <c r="E86" i="80"/>
  <c r="E87" i="80"/>
  <c r="E88" i="80"/>
  <c r="D77" i="87"/>
  <c r="E73" i="87" s="1"/>
  <c r="E77" i="87" s="1"/>
  <c r="F73" i="87" s="1"/>
  <c r="F77" i="87" s="1"/>
  <c r="G73" i="87" s="1"/>
  <c r="G77" i="87" s="1"/>
  <c r="H73" i="87" s="1"/>
  <c r="H77" i="87" s="1"/>
  <c r="D71" i="87"/>
  <c r="E67" i="87" s="1"/>
  <c r="E71" i="87" s="1"/>
  <c r="F67" i="87" s="1"/>
  <c r="F71" i="87" s="1"/>
  <c r="G67" i="87" s="1"/>
  <c r="G71" i="87" s="1"/>
  <c r="H67" i="87" s="1"/>
  <c r="H71" i="87" s="1"/>
  <c r="D65" i="87"/>
  <c r="E61" i="87" s="1"/>
  <c r="E65" i="87" s="1"/>
  <c r="F61" i="87" s="1"/>
  <c r="F65" i="87" s="1"/>
  <c r="G61" i="87" s="1"/>
  <c r="G65" i="87" s="1"/>
  <c r="H61" i="87" s="1"/>
  <c r="H65" i="87" s="1"/>
  <c r="D59" i="87"/>
  <c r="E55" i="87" s="1"/>
  <c r="E59" i="87" s="1"/>
  <c r="F55" i="87" s="1"/>
  <c r="F59" i="87" s="1"/>
  <c r="G55" i="87" s="1"/>
  <c r="G59" i="87" s="1"/>
  <c r="H55" i="87" s="1"/>
  <c r="H59" i="87" s="1"/>
  <c r="D53" i="87"/>
  <c r="E49" i="87" s="1"/>
  <c r="E53" i="87" s="1"/>
  <c r="F49" i="87" s="1"/>
  <c r="F53" i="87" s="1"/>
  <c r="G49" i="87" s="1"/>
  <c r="G53" i="87" s="1"/>
  <c r="H49" i="87" s="1"/>
  <c r="H53" i="87" s="1"/>
  <c r="D47" i="87"/>
  <c r="E43" i="87" s="1"/>
  <c r="E47" i="87" s="1"/>
  <c r="F43" i="87" s="1"/>
  <c r="F47" i="87" s="1"/>
  <c r="G43" i="87" s="1"/>
  <c r="G47" i="87" s="1"/>
  <c r="H43" i="87" s="1"/>
  <c r="H47" i="87" s="1"/>
  <c r="D41" i="87"/>
  <c r="E37" i="87" s="1"/>
  <c r="E41" i="87" s="1"/>
  <c r="F37" i="87" s="1"/>
  <c r="F41" i="87" s="1"/>
  <c r="G37" i="87" s="1"/>
  <c r="G41" i="87" s="1"/>
  <c r="H37" i="87" s="1"/>
  <c r="H41" i="87" s="1"/>
  <c r="D35" i="87"/>
  <c r="E31" i="87" s="1"/>
  <c r="E35" i="87" s="1"/>
  <c r="F31" i="87" s="1"/>
  <c r="F35" i="87" s="1"/>
  <c r="G31" i="87" s="1"/>
  <c r="G35" i="87" s="1"/>
  <c r="H31" i="87" s="1"/>
  <c r="H35" i="87" s="1"/>
  <c r="C4" i="87"/>
  <c r="F36" i="47"/>
  <c r="C3" i="87"/>
  <c r="B2" i="87"/>
  <c r="G43" i="74"/>
  <c r="D42" i="74"/>
  <c r="E23" i="47"/>
  <c r="F28" i="47"/>
  <c r="F20" i="47"/>
  <c r="E15" i="47"/>
  <c r="B43" i="74"/>
  <c r="C3" i="84"/>
  <c r="B2" i="84"/>
  <c r="C3" i="66"/>
  <c r="C3" i="47"/>
  <c r="C3" i="59"/>
  <c r="C3" i="34"/>
  <c r="C3" i="63"/>
  <c r="C3" i="55"/>
  <c r="C3" i="6"/>
  <c r="C3" i="16"/>
  <c r="C3" i="45"/>
  <c r="C3" i="57"/>
  <c r="C3" i="56"/>
  <c r="C3" i="76"/>
  <c r="C3" i="5"/>
  <c r="C3" i="44"/>
  <c r="C3" i="82"/>
  <c r="C3" i="69"/>
  <c r="D3" i="4"/>
  <c r="C3" i="74"/>
  <c r="C43" i="47"/>
  <c r="F12" i="47" s="1"/>
  <c r="C3" i="80"/>
  <c r="B2" i="80"/>
  <c r="B2" i="74"/>
  <c r="B2" i="66"/>
  <c r="B2" i="47"/>
  <c r="B2" i="59"/>
  <c r="B2" i="34"/>
  <c r="B2" i="63"/>
  <c r="B2" i="55"/>
  <c r="B2" i="6"/>
  <c r="B2" i="16"/>
  <c r="B2" i="45"/>
  <c r="B2" i="57"/>
  <c r="B2" i="56"/>
  <c r="B2" i="76"/>
  <c r="B2" i="5"/>
  <c r="B2" i="44"/>
  <c r="B2" i="82"/>
  <c r="B2" i="69"/>
  <c r="C2" i="4"/>
  <c r="J35" i="56"/>
  <c r="J32" i="56" s="1"/>
  <c r="I35" i="56"/>
  <c r="I30" i="56" s="1"/>
  <c r="E149" i="80"/>
  <c r="D149" i="80"/>
  <c r="H47" i="56"/>
  <c r="H35" i="56"/>
  <c r="G21" i="76"/>
  <c r="I47" i="56" s="1"/>
  <c r="H21" i="76"/>
  <c r="J47" i="56" s="1"/>
  <c r="J44" i="56" s="1"/>
  <c r="I20" i="76"/>
  <c r="I21" i="76" s="1"/>
  <c r="I15" i="76"/>
  <c r="I14" i="76"/>
  <c r="I41" i="76"/>
  <c r="I40" i="76"/>
  <c r="I39" i="76"/>
  <c r="I38" i="76"/>
  <c r="I36" i="76"/>
  <c r="I35" i="76"/>
  <c r="I34" i="76"/>
  <c r="H43" i="76"/>
  <c r="J90" i="56" s="1"/>
  <c r="E42" i="74"/>
  <c r="G17" i="59"/>
  <c r="L57" i="34"/>
  <c r="N57" i="34" s="1"/>
  <c r="Q57" i="34" s="1"/>
  <c r="G36" i="47"/>
  <c r="H36" i="47"/>
  <c r="I36" i="47"/>
  <c r="J36" i="47"/>
  <c r="K36" i="47"/>
  <c r="L36" i="47"/>
  <c r="M36" i="47"/>
  <c r="N36" i="47"/>
  <c r="O36" i="47"/>
  <c r="P36" i="47"/>
  <c r="Q36" i="47"/>
  <c r="R36" i="47"/>
  <c r="S36" i="47"/>
  <c r="T36" i="47"/>
  <c r="U36" i="47"/>
  <c r="V36" i="47"/>
  <c r="W36" i="47"/>
  <c r="X36" i="47"/>
  <c r="Y36" i="47"/>
  <c r="Z36" i="47"/>
  <c r="AA36" i="47"/>
  <c r="AB36" i="47"/>
  <c r="AC36" i="47"/>
  <c r="AD36" i="47"/>
  <c r="AE36" i="47"/>
  <c r="AF36" i="47"/>
  <c r="AG36" i="47"/>
  <c r="AH36" i="47"/>
  <c r="AI36" i="47"/>
  <c r="AJ36" i="47"/>
  <c r="AK36" i="47"/>
  <c r="AL36" i="47"/>
  <c r="AM36" i="47"/>
  <c r="AN36" i="47"/>
  <c r="AO36" i="47"/>
  <c r="AP36" i="47"/>
  <c r="AQ36" i="47"/>
  <c r="AR36" i="47"/>
  <c r="AS36" i="47"/>
  <c r="AT36" i="47"/>
  <c r="AU36" i="47"/>
  <c r="AV36" i="47"/>
  <c r="AW36" i="47"/>
  <c r="AX36" i="47"/>
  <c r="AY36" i="47"/>
  <c r="AZ36" i="47"/>
  <c r="BA36" i="47"/>
  <c r="BB36" i="47"/>
  <c r="BC36" i="47"/>
  <c r="BD36" i="47"/>
  <c r="BE36" i="47"/>
  <c r="BF36" i="47"/>
  <c r="BG36" i="47"/>
  <c r="BH36" i="47"/>
  <c r="BH28" i="47"/>
  <c r="BG28" i="47"/>
  <c r="BF28" i="47"/>
  <c r="BE28" i="47"/>
  <c r="BD28" i="47"/>
  <c r="BC28" i="47"/>
  <c r="BB28" i="47"/>
  <c r="BA28" i="47"/>
  <c r="AZ28" i="47"/>
  <c r="AY28" i="47"/>
  <c r="AX28" i="47"/>
  <c r="AW28" i="47"/>
  <c r="AV28" i="47"/>
  <c r="AU28" i="47"/>
  <c r="AT28" i="47"/>
  <c r="AS28" i="47"/>
  <c r="AR28" i="47"/>
  <c r="AQ28" i="47"/>
  <c r="AP28" i="47"/>
  <c r="AO28" i="47"/>
  <c r="AN28" i="47"/>
  <c r="AM28" i="47"/>
  <c r="AL28" i="47"/>
  <c r="AK28" i="47"/>
  <c r="AJ28" i="47"/>
  <c r="AI28" i="47"/>
  <c r="AH28" i="47"/>
  <c r="AG28" i="47"/>
  <c r="AF28" i="47"/>
  <c r="AE28" i="47"/>
  <c r="AD28" i="47"/>
  <c r="AC28" i="47"/>
  <c r="AB28" i="47"/>
  <c r="AA28" i="47"/>
  <c r="Z28" i="47"/>
  <c r="Y28" i="47"/>
  <c r="X28" i="47"/>
  <c r="W28" i="47"/>
  <c r="V28" i="47"/>
  <c r="U28" i="47"/>
  <c r="T28" i="47"/>
  <c r="S28" i="47"/>
  <c r="R28" i="47"/>
  <c r="Q28" i="47"/>
  <c r="P28" i="47"/>
  <c r="O28" i="47"/>
  <c r="N28" i="47"/>
  <c r="M28" i="47"/>
  <c r="L28" i="47"/>
  <c r="K28" i="47"/>
  <c r="J28" i="47"/>
  <c r="I28" i="47"/>
  <c r="H28" i="47"/>
  <c r="G28" i="47"/>
  <c r="BH20" i="47"/>
  <c r="BG20" i="47"/>
  <c r="BF20" i="47"/>
  <c r="BE20" i="47"/>
  <c r="BD20" i="47"/>
  <c r="BC20" i="47"/>
  <c r="BB20" i="47"/>
  <c r="BA20" i="47"/>
  <c r="AZ20" i="47"/>
  <c r="AY20" i="47"/>
  <c r="AX20" i="47"/>
  <c r="AW20" i="47"/>
  <c r="AV20" i="47"/>
  <c r="AU20" i="47"/>
  <c r="AT20" i="47"/>
  <c r="AS20" i="47"/>
  <c r="AR20" i="47"/>
  <c r="AQ20" i="47"/>
  <c r="AP20" i="47"/>
  <c r="AO20" i="47"/>
  <c r="AN20" i="47"/>
  <c r="AM20" i="47"/>
  <c r="AL20" i="47"/>
  <c r="AK20" i="47"/>
  <c r="AJ20" i="47"/>
  <c r="AI20" i="47"/>
  <c r="AH20" i="47"/>
  <c r="AG20" i="47"/>
  <c r="AF20" i="47"/>
  <c r="AE20" i="47"/>
  <c r="AD20" i="47"/>
  <c r="AC20" i="47"/>
  <c r="AB20" i="47"/>
  <c r="AA20" i="47"/>
  <c r="Z20" i="47"/>
  <c r="Y20" i="47"/>
  <c r="X20" i="47"/>
  <c r="W20" i="47"/>
  <c r="V20" i="47"/>
  <c r="U20" i="47"/>
  <c r="T20" i="47"/>
  <c r="S20" i="47"/>
  <c r="R20" i="47"/>
  <c r="Q20" i="47"/>
  <c r="P20" i="47"/>
  <c r="O20" i="47"/>
  <c r="N20" i="47"/>
  <c r="M20" i="47"/>
  <c r="L20" i="47"/>
  <c r="K20" i="47"/>
  <c r="J20" i="47"/>
  <c r="I20" i="47"/>
  <c r="H20" i="47"/>
  <c r="G20" i="47"/>
  <c r="E34" i="47"/>
  <c r="E27" i="47"/>
  <c r="E19" i="47"/>
  <c r="G37" i="59"/>
  <c r="G38" i="59"/>
  <c r="G39" i="59"/>
  <c r="G40" i="59"/>
  <c r="G41" i="59"/>
  <c r="E26" i="47"/>
  <c r="E25" i="47"/>
  <c r="E24" i="47"/>
  <c r="E22" i="47"/>
  <c r="C34" i="55"/>
  <c r="C23" i="55"/>
  <c r="C28" i="55"/>
  <c r="C18" i="55"/>
  <c r="C17" i="55"/>
  <c r="C16" i="55"/>
  <c r="C15" i="55"/>
  <c r="C14" i="55"/>
  <c r="C13" i="55"/>
  <c r="C12" i="55"/>
  <c r="C11" i="55"/>
  <c r="L25" i="34"/>
  <c r="N25" i="34" s="1"/>
  <c r="Q25" i="34" s="1"/>
  <c r="L26" i="34"/>
  <c r="N26" i="34" s="1"/>
  <c r="Q26" i="34" s="1"/>
  <c r="L27" i="34"/>
  <c r="N27" i="34" s="1"/>
  <c r="Q27" i="34" s="1"/>
  <c r="L28" i="34"/>
  <c r="N28" i="34" s="1"/>
  <c r="Q28" i="34" s="1"/>
  <c r="L29" i="34"/>
  <c r="N29" i="34" s="1"/>
  <c r="Q29" i="34" s="1"/>
  <c r="L30" i="34"/>
  <c r="N30" i="34" s="1"/>
  <c r="Q30" i="34" s="1"/>
  <c r="L31" i="34"/>
  <c r="N31" i="34" s="1"/>
  <c r="Q31" i="34" s="1"/>
  <c r="L32" i="34"/>
  <c r="N32" i="34" s="1"/>
  <c r="Q32" i="34" s="1"/>
  <c r="L33" i="34"/>
  <c r="N33" i="34" s="1"/>
  <c r="Q33" i="34" s="1"/>
  <c r="L34" i="34"/>
  <c r="N34" i="34" s="1"/>
  <c r="Q34" i="34" s="1"/>
  <c r="L35" i="34"/>
  <c r="N35" i="34" s="1"/>
  <c r="Q35" i="34" s="1"/>
  <c r="L36" i="34"/>
  <c r="N36" i="34" s="1"/>
  <c r="Q36" i="34" s="1"/>
  <c r="L37" i="34"/>
  <c r="N37" i="34" s="1"/>
  <c r="Q37" i="34" s="1"/>
  <c r="L38" i="34"/>
  <c r="N38" i="34" s="1"/>
  <c r="Q38" i="34" s="1"/>
  <c r="L39" i="34"/>
  <c r="N39" i="34" s="1"/>
  <c r="Q39" i="34" s="1"/>
  <c r="L40" i="34"/>
  <c r="N40" i="34" s="1"/>
  <c r="Q40" i="34" s="1"/>
  <c r="L41" i="34"/>
  <c r="N41" i="34" s="1"/>
  <c r="Q41" i="34" s="1"/>
  <c r="L42" i="34"/>
  <c r="N42" i="34" s="1"/>
  <c r="Q42" i="34" s="1"/>
  <c r="L43" i="34"/>
  <c r="N43" i="34" s="1"/>
  <c r="Q43" i="34" s="1"/>
  <c r="L44" i="34"/>
  <c r="N44" i="34" s="1"/>
  <c r="Q44" i="34" s="1"/>
  <c r="L45" i="34"/>
  <c r="N45" i="34" s="1"/>
  <c r="Q45" i="34" s="1"/>
  <c r="L46" i="34"/>
  <c r="N46" i="34" s="1"/>
  <c r="Q46" i="34" s="1"/>
  <c r="L47" i="34"/>
  <c r="N47" i="34" s="1"/>
  <c r="Q47" i="34" s="1"/>
  <c r="L48" i="34"/>
  <c r="N48" i="34" s="1"/>
  <c r="Q48" i="34" s="1"/>
  <c r="L49" i="34"/>
  <c r="N49" i="34" s="1"/>
  <c r="Q49" i="34" s="1"/>
  <c r="L50" i="34"/>
  <c r="N50" i="34" s="1"/>
  <c r="Q50" i="34" s="1"/>
  <c r="L51" i="34"/>
  <c r="N51" i="34" s="1"/>
  <c r="Q51" i="34" s="1"/>
  <c r="E17" i="47"/>
  <c r="K68" i="34"/>
  <c r="M68" i="34" s="1"/>
  <c r="P68" i="34" s="1"/>
  <c r="K69" i="34"/>
  <c r="M69" i="34" s="1"/>
  <c r="P69" i="34" s="1"/>
  <c r="K70" i="34"/>
  <c r="M70" i="34" s="1"/>
  <c r="P70" i="34" s="1"/>
  <c r="K71" i="34"/>
  <c r="M71" i="34" s="1"/>
  <c r="P71" i="34" s="1"/>
  <c r="K72" i="34"/>
  <c r="M72" i="34" s="1"/>
  <c r="P72" i="34" s="1"/>
  <c r="K73" i="34"/>
  <c r="M73" i="34" s="1"/>
  <c r="P73" i="34" s="1"/>
  <c r="K74" i="34"/>
  <c r="M74" i="34" s="1"/>
  <c r="P74" i="34" s="1"/>
  <c r="K75" i="34"/>
  <c r="M75" i="34" s="1"/>
  <c r="P75" i="34" s="1"/>
  <c r="K76" i="34"/>
  <c r="M76" i="34" s="1"/>
  <c r="P76" i="34" s="1"/>
  <c r="K77" i="34"/>
  <c r="M77" i="34" s="1"/>
  <c r="P77" i="34" s="1"/>
  <c r="K78" i="34"/>
  <c r="M78" i="34" s="1"/>
  <c r="P78" i="34" s="1"/>
  <c r="K79" i="34"/>
  <c r="M79" i="34" s="1"/>
  <c r="P79" i="34" s="1"/>
  <c r="K80" i="34"/>
  <c r="M80" i="34" s="1"/>
  <c r="P80" i="34" s="1"/>
  <c r="K81" i="34"/>
  <c r="M81" i="34" s="1"/>
  <c r="P81" i="34" s="1"/>
  <c r="K82" i="34"/>
  <c r="M82" i="34" s="1"/>
  <c r="P82" i="34" s="1"/>
  <c r="L52" i="34"/>
  <c r="N52" i="34" s="1"/>
  <c r="Q52" i="34" s="1"/>
  <c r="L53" i="34"/>
  <c r="N53" i="34" s="1"/>
  <c r="Q53" i="34" s="1"/>
  <c r="L54" i="34"/>
  <c r="N54" i="34" s="1"/>
  <c r="Q54" i="34" s="1"/>
  <c r="G45" i="59"/>
  <c r="G44" i="59"/>
  <c r="G43" i="59"/>
  <c r="G42" i="59"/>
  <c r="G36" i="59"/>
  <c r="G35" i="59"/>
  <c r="G34" i="59"/>
  <c r="G33" i="59"/>
  <c r="G32" i="59"/>
  <c r="G31" i="59"/>
  <c r="G30" i="59"/>
  <c r="G29" i="59"/>
  <c r="G28" i="59"/>
  <c r="G27" i="59"/>
  <c r="G26" i="59"/>
  <c r="G25" i="59"/>
  <c r="G24" i="59"/>
  <c r="G23" i="59"/>
  <c r="G22" i="59"/>
  <c r="G21" i="59"/>
  <c r="G20" i="59"/>
  <c r="G19" i="59"/>
  <c r="G18" i="59"/>
  <c r="E31" i="47"/>
  <c r="E32" i="47"/>
  <c r="E33" i="47"/>
  <c r="E35" i="47"/>
  <c r="G19" i="45"/>
  <c r="G20" i="45"/>
  <c r="G21" i="45"/>
  <c r="G22" i="45"/>
  <c r="G23" i="45"/>
  <c r="G24" i="45"/>
  <c r="G25" i="45"/>
  <c r="G26" i="45"/>
  <c r="G27" i="45"/>
  <c r="G28" i="45"/>
  <c r="G29" i="45"/>
  <c r="G30" i="45"/>
  <c r="G31" i="45"/>
  <c r="G32" i="45"/>
  <c r="G33" i="45"/>
  <c r="G34" i="45"/>
  <c r="G35" i="45"/>
  <c r="G36" i="45"/>
  <c r="G37" i="45"/>
  <c r="G38" i="45"/>
  <c r="G39" i="45"/>
  <c r="G40" i="45"/>
  <c r="G41" i="45"/>
  <c r="E16" i="47"/>
  <c r="E18" i="47"/>
  <c r="K83" i="34"/>
  <c r="M83" i="34" s="1"/>
  <c r="P83" i="34" s="1"/>
  <c r="L55" i="34"/>
  <c r="N55" i="34" s="1"/>
  <c r="Q55" i="34" s="1"/>
  <c r="L56" i="34"/>
  <c r="N56" i="34" s="1"/>
  <c r="Q56" i="34" s="1"/>
  <c r="L58" i="34"/>
  <c r="N58" i="34" s="1"/>
  <c r="Q58" i="34" s="1"/>
  <c r="B44" i="74" l="1"/>
  <c r="I37" i="45"/>
  <c r="I21" i="45"/>
  <c r="I35" i="45"/>
  <c r="I19" i="45"/>
  <c r="AK37" i="47"/>
  <c r="BA29" i="47"/>
  <c r="I39" i="45"/>
  <c r="I23" i="45"/>
  <c r="J30" i="16"/>
  <c r="AL29" i="47"/>
  <c r="BC37" i="47"/>
  <c r="E18" i="76"/>
  <c r="F35" i="56"/>
  <c r="J26" i="16"/>
  <c r="I40" i="45"/>
  <c r="I24" i="45"/>
  <c r="J34" i="16"/>
  <c r="I17" i="45"/>
  <c r="AG29" i="47"/>
  <c r="I33" i="45"/>
  <c r="J31" i="16"/>
  <c r="I38" i="45"/>
  <c r="I22" i="45"/>
  <c r="I31" i="45"/>
  <c r="BD29" i="47"/>
  <c r="I15" i="45"/>
  <c r="I30" i="45"/>
  <c r="AE29" i="47"/>
  <c r="I27" i="45"/>
  <c r="Q29" i="47"/>
  <c r="BG29" i="47"/>
  <c r="J32" i="16"/>
  <c r="BB37" i="47"/>
  <c r="F29" i="47"/>
  <c r="G38" i="47" s="1"/>
  <c r="X29" i="47"/>
  <c r="AM37" i="47"/>
  <c r="P29" i="47"/>
  <c r="AV37" i="47"/>
  <c r="AO29" i="47"/>
  <c r="I29" i="45"/>
  <c r="BH29" i="47"/>
  <c r="J26" i="56"/>
  <c r="I28" i="45"/>
  <c r="O29" i="47"/>
  <c r="Y29" i="47"/>
  <c r="BF29" i="47"/>
  <c r="I41" i="45"/>
  <c r="I25" i="45"/>
  <c r="AE37" i="47"/>
  <c r="AY37" i="47"/>
  <c r="S37" i="47"/>
  <c r="BA37" i="47"/>
  <c r="S29" i="47"/>
  <c r="AJ37" i="47"/>
  <c r="AZ29" i="47"/>
  <c r="M29" i="47"/>
  <c r="AC29" i="47"/>
  <c r="AL37" i="47"/>
  <c r="I26" i="45"/>
  <c r="J37" i="47"/>
  <c r="AP29" i="47"/>
  <c r="J17" i="16"/>
  <c r="J35" i="16"/>
  <c r="AK29" i="47"/>
  <c r="AZ37" i="47"/>
  <c r="J27" i="56"/>
  <c r="J19" i="16"/>
  <c r="N29" i="47"/>
  <c r="I20" i="45"/>
  <c r="I36" i="45"/>
  <c r="X37" i="47"/>
  <c r="K29" i="47"/>
  <c r="F37" i="47"/>
  <c r="AB37" i="47"/>
  <c r="AP37" i="47"/>
  <c r="E36" i="47"/>
  <c r="AI37" i="47"/>
  <c r="AY29" i="47"/>
  <c r="AU29" i="47"/>
  <c r="W37" i="47"/>
  <c r="AG37" i="47"/>
  <c r="J15" i="16"/>
  <c r="J33" i="16"/>
  <c r="AS29" i="47"/>
  <c r="AH29" i="47"/>
  <c r="E94" i="87"/>
  <c r="F80" i="87"/>
  <c r="F84" i="87" s="1"/>
  <c r="G80" i="87" s="1"/>
  <c r="G84" i="87" s="1"/>
  <c r="H80" i="87" s="1"/>
  <c r="H84" i="87" s="1"/>
  <c r="H94" i="87" s="1"/>
  <c r="J45" i="56"/>
  <c r="J27" i="16"/>
  <c r="J22" i="16"/>
  <c r="L29" i="47"/>
  <c r="I34" i="45"/>
  <c r="H29" i="47"/>
  <c r="AN29" i="47"/>
  <c r="J46" i="56"/>
  <c r="H42" i="45"/>
  <c r="E20" i="76" s="1"/>
  <c r="E21" i="76" s="1"/>
  <c r="I32" i="45"/>
  <c r="J28" i="16"/>
  <c r="O37" i="47"/>
  <c r="AM29" i="47"/>
  <c r="AA29" i="47"/>
  <c r="R29" i="47"/>
  <c r="AQ29" i="47"/>
  <c r="BC29" i="47"/>
  <c r="AU37" i="47"/>
  <c r="BF37" i="47"/>
  <c r="J28" i="56"/>
  <c r="N37" i="47"/>
  <c r="J29" i="56"/>
  <c r="BG37" i="47"/>
  <c r="BD37" i="47"/>
  <c r="J30" i="56"/>
  <c r="K30" i="56" s="1"/>
  <c r="AO37" i="47"/>
  <c r="G37" i="47"/>
  <c r="AS37" i="47"/>
  <c r="AN37" i="47"/>
  <c r="D38" i="76"/>
  <c r="F38" i="76" s="1"/>
  <c r="J31" i="56"/>
  <c r="AD29" i="47"/>
  <c r="J33" i="56"/>
  <c r="J16" i="16"/>
  <c r="P37" i="47"/>
  <c r="AT37" i="47"/>
  <c r="D36" i="76"/>
  <c r="F36" i="76" s="1"/>
  <c r="J34" i="56"/>
  <c r="BH37" i="47"/>
  <c r="D34" i="76"/>
  <c r="F34" i="76" s="1"/>
  <c r="Q37" i="47"/>
  <c r="AF37" i="47"/>
  <c r="AR37" i="47"/>
  <c r="W29" i="47"/>
  <c r="AI29" i="47"/>
  <c r="U29" i="47"/>
  <c r="J41" i="56"/>
  <c r="J25" i="16"/>
  <c r="AJ29" i="47"/>
  <c r="AV29" i="47"/>
  <c r="E41" i="76"/>
  <c r="F41" i="76" s="1"/>
  <c r="I18" i="45"/>
  <c r="F25" i="87"/>
  <c r="F29" i="87" s="1"/>
  <c r="G25" i="87" s="1"/>
  <c r="G29" i="87" s="1"/>
  <c r="H25" i="87" s="1"/>
  <c r="H29" i="87" s="1"/>
  <c r="E78" i="87"/>
  <c r="H18" i="87"/>
  <c r="H20" i="87" s="1"/>
  <c r="H23" i="87" s="1"/>
  <c r="J21" i="16"/>
  <c r="Z29" i="47"/>
  <c r="Z37" i="47"/>
  <c r="BE37" i="47"/>
  <c r="D94" i="87"/>
  <c r="Y37" i="47"/>
  <c r="AB29" i="47"/>
  <c r="J29" i="16"/>
  <c r="BB29" i="47"/>
  <c r="AW37" i="47"/>
  <c r="AW29" i="47"/>
  <c r="J20" i="16"/>
  <c r="M37" i="47"/>
  <c r="R37" i="47"/>
  <c r="AC37" i="47"/>
  <c r="AX37" i="47"/>
  <c r="AH37" i="47"/>
  <c r="E28" i="47"/>
  <c r="G29" i="47"/>
  <c r="G42" i="45"/>
  <c r="D20" i="76" s="1"/>
  <c r="I16" i="45"/>
  <c r="H37" i="47"/>
  <c r="I29" i="47"/>
  <c r="I37" i="47"/>
  <c r="D78" i="87"/>
  <c r="T37" i="47"/>
  <c r="BE29" i="47"/>
  <c r="E20" i="47"/>
  <c r="AQ37" i="47"/>
  <c r="K37" i="47"/>
  <c r="AT29" i="47"/>
  <c r="AD37" i="47"/>
  <c r="T29" i="47"/>
  <c r="J29" i="47"/>
  <c r="V37" i="47"/>
  <c r="AR29" i="47"/>
  <c r="AA37" i="47"/>
  <c r="J37" i="56"/>
  <c r="J43" i="56"/>
  <c r="J42" i="56"/>
  <c r="J40" i="56"/>
  <c r="J39" i="56"/>
  <c r="J38" i="56"/>
  <c r="AX29" i="47"/>
  <c r="U37" i="47"/>
  <c r="V29" i="47"/>
  <c r="J25" i="56"/>
  <c r="L37" i="47"/>
  <c r="AF29" i="47"/>
  <c r="I46" i="56"/>
  <c r="I45" i="56"/>
  <c r="I44" i="56"/>
  <c r="K44" i="56" s="1"/>
  <c r="I43" i="56"/>
  <c r="I40" i="56"/>
  <c r="I42" i="56"/>
  <c r="I41" i="56"/>
  <c r="I39" i="56"/>
  <c r="I38" i="56"/>
  <c r="I37" i="56"/>
  <c r="I31" i="56"/>
  <c r="I34" i="56"/>
  <c r="I32" i="56"/>
  <c r="K32" i="56" s="1"/>
  <c r="I33" i="56"/>
  <c r="I26" i="56"/>
  <c r="I25" i="56"/>
  <c r="I27" i="56"/>
  <c r="I28" i="56"/>
  <c r="I29" i="56"/>
  <c r="F35" i="76"/>
  <c r="F39" i="76"/>
  <c r="F40" i="76"/>
  <c r="G12" i="47"/>
  <c r="H12" i="47" s="1"/>
  <c r="I12" i="47" s="1"/>
  <c r="J12" i="47" s="1"/>
  <c r="K12" i="47" s="1"/>
  <c r="L12" i="47" s="1"/>
  <c r="M12" i="47" s="1"/>
  <c r="N12" i="47" s="1"/>
  <c r="O12" i="47" s="1"/>
  <c r="P12" i="47" s="1"/>
  <c r="Q12" i="47" s="1"/>
  <c r="R12" i="47" s="1"/>
  <c r="S12" i="47" s="1"/>
  <c r="T12" i="47" s="1"/>
  <c r="U12" i="47" s="1"/>
  <c r="V12" i="47" s="1"/>
  <c r="W12" i="47" s="1"/>
  <c r="X12" i="47" s="1"/>
  <c r="Y12" i="47" s="1"/>
  <c r="Z12" i="47" s="1"/>
  <c r="AA12" i="47" s="1"/>
  <c r="AB12" i="47" s="1"/>
  <c r="AC12" i="47" s="1"/>
  <c r="AD12" i="47" s="1"/>
  <c r="AE12" i="47" s="1"/>
  <c r="AF12" i="47" s="1"/>
  <c r="AG12" i="47" s="1"/>
  <c r="AH12" i="47" s="1"/>
  <c r="AI12" i="47" s="1"/>
  <c r="AJ12" i="47" s="1"/>
  <c r="AK12" i="47" s="1"/>
  <c r="AL12" i="47" s="1"/>
  <c r="AM12" i="47" s="1"/>
  <c r="AN12" i="47" s="1"/>
  <c r="AO12" i="47" s="1"/>
  <c r="AP12" i="47" s="1"/>
  <c r="AQ12" i="47" s="1"/>
  <c r="AR12" i="47" s="1"/>
  <c r="AS12" i="47" s="1"/>
  <c r="AT12" i="47" s="1"/>
  <c r="AU12" i="47" s="1"/>
  <c r="AV12" i="47" s="1"/>
  <c r="AW12" i="47" s="1"/>
  <c r="AX12" i="47" s="1"/>
  <c r="AY12" i="47" s="1"/>
  <c r="AZ12" i="47" s="1"/>
  <c r="BA12" i="47" s="1"/>
  <c r="BB12" i="47" s="1"/>
  <c r="BC12" i="47" s="1"/>
  <c r="BD12" i="47" s="1"/>
  <c r="BE12" i="47" s="1"/>
  <c r="BF12" i="47" s="1"/>
  <c r="BG12" i="47" s="1"/>
  <c r="BH12" i="47" s="1"/>
  <c r="G45" i="74"/>
  <c r="B45" i="74"/>
  <c r="H44" i="74"/>
  <c r="I44" i="74"/>
  <c r="G44" i="74"/>
  <c r="I45" i="74" l="1"/>
  <c r="I43" i="74"/>
  <c r="H43" i="74"/>
  <c r="F23" i="56"/>
  <c r="K46" i="56"/>
  <c r="E22" i="76"/>
  <c r="K39" i="56"/>
  <c r="K45" i="56"/>
  <c r="K38" i="56"/>
  <c r="K26" i="56"/>
  <c r="K29" i="56"/>
  <c r="K40" i="56"/>
  <c r="H38" i="47"/>
  <c r="I38" i="47" s="1"/>
  <c r="J38" i="47" s="1"/>
  <c r="K38" i="47" s="1"/>
  <c r="L38" i="47" s="1"/>
  <c r="M38" i="47" s="1"/>
  <c r="N38" i="47" s="1"/>
  <c r="O38" i="47" s="1"/>
  <c r="P38" i="47" s="1"/>
  <c r="Q38" i="47" s="1"/>
  <c r="R38" i="47" s="1"/>
  <c r="S38" i="47" s="1"/>
  <c r="T38" i="47" s="1"/>
  <c r="U38" i="47" s="1"/>
  <c r="V38" i="47" s="1"/>
  <c r="W38" i="47" s="1"/>
  <c r="X38" i="47" s="1"/>
  <c r="Y38" i="47" s="1"/>
  <c r="Z38" i="47" s="1"/>
  <c r="AA38" i="47" s="1"/>
  <c r="AB38" i="47" s="1"/>
  <c r="AC38" i="47" s="1"/>
  <c r="AD38" i="47" s="1"/>
  <c r="AE38" i="47" s="1"/>
  <c r="AF38" i="47" s="1"/>
  <c r="AG38" i="47" s="1"/>
  <c r="AH38" i="47" s="1"/>
  <c r="AI38" i="47" s="1"/>
  <c r="AJ38" i="47" s="1"/>
  <c r="AK38" i="47" s="1"/>
  <c r="AL38" i="47" s="1"/>
  <c r="AM38" i="47" s="1"/>
  <c r="AN38" i="47" s="1"/>
  <c r="AO38" i="47" s="1"/>
  <c r="AP38" i="47" s="1"/>
  <c r="AQ38" i="47" s="1"/>
  <c r="AR38" i="47" s="1"/>
  <c r="AS38" i="47" s="1"/>
  <c r="AT38" i="47" s="1"/>
  <c r="AU38" i="47" s="1"/>
  <c r="AV38" i="47" s="1"/>
  <c r="AW38" i="47" s="1"/>
  <c r="AX38" i="47" s="1"/>
  <c r="AY38" i="47" s="1"/>
  <c r="AZ38" i="47" s="1"/>
  <c r="BA38" i="47" s="1"/>
  <c r="BB38" i="47" s="1"/>
  <c r="BC38" i="47" s="1"/>
  <c r="BD38" i="47" s="1"/>
  <c r="BE38" i="47" s="1"/>
  <c r="BF38" i="47" s="1"/>
  <c r="BG38" i="47" s="1"/>
  <c r="BH38" i="47" s="1"/>
  <c r="K27" i="56"/>
  <c r="F47" i="56"/>
  <c r="K34" i="56"/>
  <c r="I42" i="45"/>
  <c r="G94" i="87"/>
  <c r="K31" i="56"/>
  <c r="D95" i="87"/>
  <c r="K41" i="56"/>
  <c r="E95" i="87"/>
  <c r="K33" i="56"/>
  <c r="F78" i="87"/>
  <c r="K42" i="56"/>
  <c r="K28" i="56"/>
  <c r="K43" i="56"/>
  <c r="K25" i="56"/>
  <c r="G78" i="87"/>
  <c r="H78" i="87"/>
  <c r="H95" i="87" s="1"/>
  <c r="C23" i="69" s="1"/>
  <c r="F94" i="87"/>
  <c r="E37" i="47"/>
  <c r="E29" i="47"/>
  <c r="C26" i="69" s="1"/>
  <c r="K37" i="56"/>
  <c r="D21" i="76"/>
  <c r="E47" i="56" s="1"/>
  <c r="F20" i="76"/>
  <c r="F21" i="76" s="1"/>
  <c r="C11" i="69" s="1"/>
  <c r="E23" i="16"/>
  <c r="E36" i="16" s="1"/>
  <c r="C129" i="80"/>
  <c r="G46" i="74"/>
  <c r="B46" i="74"/>
  <c r="H46" i="74" s="1"/>
  <c r="H45" i="74" l="1"/>
  <c r="I46" i="74"/>
  <c r="F48" i="56"/>
  <c r="K47" i="56"/>
  <c r="G95" i="87"/>
  <c r="F95" i="87"/>
  <c r="K35" i="56"/>
  <c r="D143" i="80"/>
  <c r="D137" i="80"/>
  <c r="D142" i="80"/>
  <c r="D144" i="80"/>
  <c r="D145" i="80"/>
  <c r="D139" i="80"/>
  <c r="D138" i="80"/>
  <c r="D141" i="80"/>
  <c r="D140" i="80"/>
  <c r="D146" i="80"/>
  <c r="C130" i="80"/>
  <c r="C131" i="80" s="1"/>
  <c r="C132" i="80" s="1"/>
  <c r="C133" i="80" s="1"/>
  <c r="F17" i="76"/>
  <c r="B47" i="74"/>
  <c r="G47" i="74"/>
  <c r="H47" i="74" l="1"/>
  <c r="I47" i="74"/>
  <c r="E11" i="57"/>
  <c r="C17" i="57"/>
  <c r="D14" i="76" s="1"/>
  <c r="C134" i="80"/>
  <c r="E144" i="80"/>
  <c r="E146" i="80"/>
  <c r="E140" i="80"/>
  <c r="E139" i="80"/>
  <c r="E145" i="80"/>
  <c r="E138" i="80"/>
  <c r="E143" i="80"/>
  <c r="E137" i="80"/>
  <c r="E141" i="80"/>
  <c r="E142" i="80"/>
  <c r="B48" i="74"/>
  <c r="G48" i="74"/>
  <c r="H48" i="74" l="1"/>
  <c r="E17" i="57"/>
  <c r="E35" i="56"/>
  <c r="F14" i="76"/>
  <c r="F13" i="76"/>
  <c r="B49" i="74"/>
  <c r="H49" i="74" s="1"/>
  <c r="G49" i="74"/>
  <c r="I49" i="74" l="1"/>
  <c r="I48" i="74"/>
  <c r="F43" i="56"/>
  <c r="E43" i="56"/>
  <c r="F26" i="56"/>
  <c r="E26" i="56"/>
  <c r="F46" i="56"/>
  <c r="E46" i="56"/>
  <c r="F31" i="56"/>
  <c r="E31" i="56"/>
  <c r="E38" i="56"/>
  <c r="F38" i="56"/>
  <c r="E37" i="56"/>
  <c r="F37" i="56"/>
  <c r="D47" i="56"/>
  <c r="F34" i="56"/>
  <c r="E34" i="56"/>
  <c r="F44" i="56"/>
  <c r="E44" i="56"/>
  <c r="D35" i="56"/>
  <c r="F25" i="56"/>
  <c r="E25" i="56"/>
  <c r="F32" i="56"/>
  <c r="E32" i="56"/>
  <c r="E40" i="56"/>
  <c r="F40" i="56"/>
  <c r="F27" i="56"/>
  <c r="E27" i="56"/>
  <c r="F42" i="56"/>
  <c r="E42" i="56"/>
  <c r="F29" i="56"/>
  <c r="E29" i="56"/>
  <c r="F30" i="56"/>
  <c r="E30" i="56"/>
  <c r="E41" i="56"/>
  <c r="F41" i="56"/>
  <c r="F45" i="56"/>
  <c r="E45" i="56"/>
  <c r="F28" i="56"/>
  <c r="E28" i="56"/>
  <c r="F39" i="56"/>
  <c r="E39" i="56"/>
  <c r="F33" i="56"/>
  <c r="E33" i="56"/>
  <c r="B50" i="74"/>
  <c r="G50" i="74"/>
  <c r="I50" i="74" l="1"/>
  <c r="G44" i="56"/>
  <c r="G43" i="56"/>
  <c r="G30" i="56"/>
  <c r="G33" i="56"/>
  <c r="G39" i="56"/>
  <c r="G45" i="56"/>
  <c r="G28" i="56"/>
  <c r="G46" i="56"/>
  <c r="G29" i="56"/>
  <c r="G25" i="56"/>
  <c r="G26" i="56"/>
  <c r="G38" i="56"/>
  <c r="G41" i="56"/>
  <c r="G42" i="56"/>
  <c r="G32" i="56"/>
  <c r="G31" i="56"/>
  <c r="G34" i="56"/>
  <c r="G37" i="56"/>
  <c r="G27" i="56"/>
  <c r="G40" i="56"/>
  <c r="G51" i="74"/>
  <c r="B51" i="74"/>
  <c r="H50" i="74" l="1"/>
  <c r="I51" i="74"/>
  <c r="G35" i="56"/>
  <c r="G47" i="56"/>
  <c r="B52" i="74"/>
  <c r="H52" i="74" s="1"/>
  <c r="G52" i="74"/>
  <c r="I52" i="74" l="1"/>
  <c r="H51" i="74"/>
  <c r="B53" i="74"/>
  <c r="G53" i="74"/>
  <c r="H53" i="74" l="1"/>
  <c r="G54" i="74"/>
  <c r="B54" i="74"/>
  <c r="H54" i="74" l="1"/>
  <c r="I53" i="74"/>
  <c r="B55" i="74"/>
  <c r="H55" i="74" s="1"/>
  <c r="G55" i="74"/>
  <c r="I55" i="74" l="1"/>
  <c r="I54" i="74"/>
  <c r="G56" i="74"/>
  <c r="B56" i="74"/>
  <c r="H56" i="74" l="1"/>
  <c r="G57" i="74"/>
  <c r="B57" i="74"/>
  <c r="I56" i="74" l="1"/>
  <c r="I57" i="74"/>
  <c r="B58" i="74"/>
  <c r="G58" i="74"/>
  <c r="H57" i="74" l="1"/>
  <c r="I58" i="74"/>
  <c r="B59" i="74"/>
  <c r="G59" i="74"/>
  <c r="I59" i="74" l="1"/>
  <c r="H58" i="74"/>
  <c r="G60" i="74"/>
  <c r="B60" i="74"/>
  <c r="H60" i="74" s="1"/>
  <c r="H59" i="74" l="1"/>
  <c r="I60" i="74"/>
  <c r="B61" i="74"/>
  <c r="G61" i="74"/>
  <c r="H61" i="74" l="1"/>
  <c r="B62" i="74"/>
  <c r="G62" i="74"/>
  <c r="H62" i="74" l="1"/>
  <c r="I61" i="74"/>
  <c r="I62" i="74"/>
  <c r="B63" i="74"/>
  <c r="G63" i="74"/>
  <c r="H63" i="74" l="1"/>
  <c r="B64" i="74"/>
  <c r="G64" i="74"/>
  <c r="H64" i="74" l="1"/>
  <c r="I63" i="74"/>
  <c r="B65" i="74"/>
  <c r="G65" i="74"/>
  <c r="I65" i="74" l="1"/>
  <c r="I64" i="74"/>
  <c r="G66" i="74"/>
  <c r="B66" i="74"/>
  <c r="H65" i="74" l="1"/>
  <c r="I66" i="74"/>
  <c r="B67" i="74"/>
  <c r="G67" i="74"/>
  <c r="H67" i="74" l="1"/>
  <c r="H66" i="74"/>
  <c r="B68" i="74"/>
  <c r="G68" i="74"/>
  <c r="H68" i="74" l="1"/>
  <c r="I67" i="74"/>
  <c r="G69" i="74"/>
  <c r="B69" i="74"/>
  <c r="I68" i="74" l="1"/>
  <c r="H69" i="74"/>
  <c r="B70" i="74"/>
  <c r="I70" i="74" s="1"/>
  <c r="G70" i="74"/>
  <c r="I69" i="74" l="1"/>
  <c r="H70" i="74"/>
  <c r="B71" i="74"/>
  <c r="G71" i="74"/>
  <c r="I71" i="74" l="1"/>
  <c r="B72" i="74"/>
  <c r="G72" i="74"/>
  <c r="I72" i="74" l="1"/>
  <c r="H71" i="74"/>
  <c r="G73" i="74"/>
  <c r="B73" i="74"/>
  <c r="H73" i="74" l="1"/>
  <c r="H72" i="74"/>
  <c r="B74" i="74"/>
  <c r="G74" i="74"/>
  <c r="I73" i="74" l="1"/>
  <c r="I74" i="74"/>
  <c r="G75" i="74"/>
  <c r="B75" i="74"/>
  <c r="H74" i="74" l="1"/>
  <c r="I75" i="74"/>
  <c r="G76" i="74"/>
  <c r="B76" i="74"/>
  <c r="I76" i="74" l="1"/>
  <c r="H75" i="74"/>
  <c r="B77" i="74"/>
  <c r="G77" i="74"/>
  <c r="H77" i="74" l="1"/>
  <c r="H76" i="74"/>
  <c r="G78" i="74"/>
  <c r="B78" i="74"/>
  <c r="I77" i="74" l="1"/>
  <c r="I78" i="74"/>
  <c r="G79" i="74"/>
  <c r="B79" i="74"/>
  <c r="H79" i="74" l="1"/>
  <c r="H78" i="74"/>
  <c r="I79" i="74"/>
  <c r="B80" i="74"/>
  <c r="G80" i="74"/>
  <c r="I80" i="74" l="1"/>
  <c r="B81" i="74"/>
  <c r="G81" i="74"/>
  <c r="H81" i="74" l="1"/>
  <c r="H80" i="74"/>
  <c r="B82" i="74"/>
  <c r="G82" i="74"/>
  <c r="H82" i="74" l="1"/>
  <c r="I81" i="74"/>
  <c r="I82" i="74"/>
  <c r="B83" i="74"/>
  <c r="G83" i="74"/>
  <c r="I83" i="74" l="1"/>
  <c r="G84" i="74"/>
  <c r="B84" i="74"/>
  <c r="H83" i="74" l="1"/>
  <c r="H84" i="74"/>
  <c r="G85" i="74"/>
  <c r="B85" i="74"/>
  <c r="H85" i="74" l="1"/>
  <c r="I84" i="74"/>
  <c r="G86" i="74"/>
  <c r="B86" i="74"/>
  <c r="H86" i="74" l="1"/>
  <c r="I85" i="74"/>
  <c r="B87" i="74"/>
  <c r="G87" i="74"/>
  <c r="H87" i="74" l="1"/>
  <c r="I86" i="74"/>
  <c r="I87" i="74"/>
  <c r="G88" i="74"/>
  <c r="B88" i="74"/>
  <c r="H88" i="74" l="1"/>
  <c r="G89" i="74"/>
  <c r="B89" i="74"/>
  <c r="I89" i="74" s="1"/>
  <c r="I88" i="74" l="1"/>
  <c r="H89" i="74"/>
  <c r="G90" i="74"/>
  <c r="B90" i="74"/>
  <c r="H90" i="74" l="1"/>
  <c r="B91" i="74"/>
  <c r="G91" i="74"/>
  <c r="I91" i="74" l="1"/>
  <c r="I90" i="74"/>
  <c r="H91" i="74"/>
  <c r="G92" i="74"/>
  <c r="B92" i="74"/>
  <c r="H92" i="74" s="1"/>
  <c r="I92" i="74" l="1"/>
  <c r="B93" i="74"/>
  <c r="G93" i="74"/>
  <c r="H93" i="74" l="1"/>
  <c r="B94" i="74"/>
  <c r="G94" i="74"/>
  <c r="H94" i="74" l="1"/>
  <c r="I93" i="74"/>
  <c r="B95" i="74"/>
  <c r="I95" i="74" s="1"/>
  <c r="G95" i="74"/>
  <c r="I94" i="74" l="1"/>
  <c r="H95" i="74"/>
  <c r="B96" i="74"/>
  <c r="G96" i="74"/>
  <c r="I96" i="74" l="1"/>
  <c r="B97" i="74"/>
  <c r="G97" i="74"/>
  <c r="H96" i="74" l="1"/>
  <c r="I97" i="74"/>
  <c r="B98" i="74"/>
  <c r="G98" i="74"/>
  <c r="H98" i="74" l="1"/>
  <c r="H97" i="74"/>
  <c r="B99" i="74"/>
  <c r="G99" i="74"/>
  <c r="I98" i="74" l="1"/>
  <c r="I99" i="74"/>
  <c r="G100" i="74"/>
  <c r="B100" i="74"/>
  <c r="H100" i="74" s="1"/>
  <c r="H99" i="74" l="1"/>
  <c r="I100" i="74"/>
  <c r="B101" i="74"/>
  <c r="G101" i="74"/>
  <c r="I101" i="74" l="1"/>
  <c r="B102" i="74"/>
  <c r="G102" i="74"/>
  <c r="H101" i="74" l="1"/>
  <c r="I102" i="74"/>
  <c r="B103" i="74"/>
  <c r="H103" i="74" s="1"/>
  <c r="G103" i="74"/>
  <c r="I103" i="74" l="1"/>
  <c r="H102" i="74"/>
  <c r="B104" i="74"/>
  <c r="I104" i="74" s="1"/>
  <c r="G104" i="74"/>
  <c r="H104" i="74" l="1"/>
  <c r="G105" i="74"/>
  <c r="B105" i="74"/>
  <c r="I105" i="74" l="1"/>
  <c r="H105" i="74"/>
  <c r="G106" i="74"/>
  <c r="B106" i="74"/>
  <c r="H106" i="74" l="1"/>
  <c r="B107" i="74"/>
  <c r="G107" i="74"/>
  <c r="I106" i="74" l="1"/>
  <c r="H107" i="74"/>
  <c r="B108" i="74"/>
  <c r="G108" i="74"/>
  <c r="I108" i="74" l="1"/>
  <c r="I107" i="74"/>
  <c r="G109" i="74"/>
  <c r="B109" i="74"/>
  <c r="H108" i="74" l="1"/>
  <c r="I109" i="74"/>
  <c r="B110" i="74"/>
  <c r="I110" i="74" s="1"/>
  <c r="G110" i="74"/>
  <c r="H110" i="74" l="1"/>
  <c r="H109" i="74"/>
  <c r="B111" i="74"/>
  <c r="G111" i="74"/>
  <c r="I111" i="74" l="1"/>
  <c r="G112" i="74"/>
  <c r="B112" i="74"/>
  <c r="H112" i="74" l="1"/>
  <c r="H111" i="74"/>
  <c r="G113" i="74"/>
  <c r="B113" i="74"/>
  <c r="H113" i="74" l="1"/>
  <c r="I112" i="74"/>
  <c r="B114" i="74"/>
  <c r="H114" i="74" s="1"/>
  <c r="G114" i="74"/>
  <c r="I114" i="74" l="1"/>
  <c r="I113" i="74"/>
  <c r="G115" i="74"/>
  <c r="B115" i="74"/>
  <c r="H115" i="74" l="1"/>
  <c r="G116" i="74"/>
  <c r="B116" i="74"/>
  <c r="I115" i="74" l="1"/>
  <c r="H116" i="74"/>
  <c r="B117" i="74"/>
  <c r="G117" i="74"/>
  <c r="I116" i="74" l="1"/>
  <c r="H117" i="74"/>
  <c r="B118" i="74"/>
  <c r="G118" i="74"/>
  <c r="I117" i="74" l="1"/>
  <c r="H118" i="74"/>
  <c r="G119" i="74"/>
  <c r="B119" i="74"/>
  <c r="H119" i="74" l="1"/>
  <c r="I118" i="74"/>
  <c r="I119" i="74"/>
  <c r="G120" i="74"/>
  <c r="B120" i="74"/>
  <c r="H120" i="74" l="1"/>
  <c r="B121" i="74"/>
  <c r="I121" i="74" s="1"/>
  <c r="G121" i="74"/>
  <c r="I120" i="74" l="1"/>
  <c r="H121" i="74"/>
  <c r="B122" i="74"/>
  <c r="G122" i="74"/>
  <c r="I122" i="74" l="1"/>
  <c r="B123" i="74"/>
  <c r="G123" i="74"/>
  <c r="I123" i="74" l="1"/>
  <c r="H122" i="74"/>
  <c r="B124" i="74"/>
  <c r="G124" i="74"/>
  <c r="H124" i="74" l="1"/>
  <c r="H123" i="74"/>
  <c r="G125" i="74"/>
  <c r="B125" i="74"/>
  <c r="H125" i="74" l="1"/>
  <c r="I124" i="74"/>
  <c r="G126" i="74"/>
  <c r="B126" i="74"/>
  <c r="I126" i="74" l="1"/>
  <c r="I125" i="74"/>
  <c r="G127" i="74"/>
  <c r="B127" i="74"/>
  <c r="I127" i="74" l="1"/>
  <c r="H126" i="74"/>
  <c r="G128" i="74"/>
  <c r="B128" i="74"/>
  <c r="I128" i="74" s="1"/>
  <c r="H128" i="74" l="1"/>
  <c r="H127" i="74"/>
  <c r="B129" i="74"/>
  <c r="G129" i="74"/>
  <c r="H129" i="74" l="1"/>
  <c r="B130" i="74"/>
  <c r="G130" i="74"/>
  <c r="H130" i="74" l="1"/>
  <c r="I129" i="74"/>
  <c r="I130" i="74"/>
  <c r="G131" i="74"/>
  <c r="B131" i="74"/>
  <c r="I131" i="74" l="1"/>
  <c r="B132" i="74"/>
  <c r="G132" i="74"/>
  <c r="H132" i="74" l="1"/>
  <c r="H131" i="74"/>
  <c r="G133" i="74"/>
  <c r="B133" i="74"/>
  <c r="I133" i="74" s="1"/>
  <c r="H133" i="74" l="1"/>
  <c r="I132" i="74"/>
  <c r="B134" i="74"/>
  <c r="G134" i="74"/>
  <c r="I134" i="74" l="1"/>
  <c r="G135" i="74"/>
  <c r="B135" i="74"/>
  <c r="H135" i="74" l="1"/>
  <c r="H134" i="74"/>
  <c r="B136" i="74"/>
  <c r="I136" i="74" s="1"/>
  <c r="G136" i="74"/>
  <c r="H136" i="74" l="1"/>
  <c r="I135" i="74"/>
  <c r="G137" i="74"/>
  <c r="B137" i="74"/>
  <c r="I137" i="74" l="1"/>
  <c r="B138" i="74"/>
  <c r="G138" i="74"/>
  <c r="H138" i="74" l="1"/>
  <c r="H137" i="74"/>
  <c r="G139" i="74"/>
  <c r="B139" i="74"/>
  <c r="H139" i="74" l="1"/>
  <c r="I138" i="74"/>
  <c r="B140" i="74"/>
  <c r="G140" i="74"/>
  <c r="I140" i="74" l="1"/>
  <c r="I139" i="74"/>
  <c r="H140" i="74"/>
  <c r="G141" i="74"/>
  <c r="B141" i="74"/>
  <c r="H141" i="74" l="1"/>
  <c r="G142" i="74"/>
  <c r="B142" i="74"/>
  <c r="I141" i="74" l="1"/>
  <c r="H142" i="74"/>
  <c r="B143" i="74"/>
  <c r="G143" i="74"/>
  <c r="I143" i="74" l="1"/>
  <c r="I142" i="74"/>
  <c r="G144" i="74"/>
  <c r="B144" i="74"/>
  <c r="I144" i="74" l="1"/>
  <c r="H143" i="74"/>
  <c r="G145" i="74"/>
  <c r="B145" i="74"/>
  <c r="H144" i="74" l="1"/>
  <c r="H145" i="74"/>
  <c r="G146" i="74"/>
  <c r="B146" i="74"/>
  <c r="H146" i="74" s="1"/>
  <c r="I146" i="74" l="1"/>
  <c r="I145" i="74"/>
  <c r="B147" i="74"/>
  <c r="G147" i="74"/>
  <c r="I147" i="74" l="1"/>
  <c r="B148" i="74"/>
  <c r="G148" i="74"/>
  <c r="H148" i="74" l="1"/>
  <c r="H147" i="74"/>
  <c r="I148" i="74"/>
  <c r="B149" i="74"/>
  <c r="G149" i="74"/>
  <c r="H149" i="74" l="1"/>
  <c r="G150" i="74"/>
  <c r="B150" i="74"/>
  <c r="H150" i="74" l="1"/>
  <c r="I149" i="74"/>
  <c r="B151" i="74"/>
  <c r="G151" i="74"/>
  <c r="I150" i="74" l="1"/>
  <c r="H151" i="74"/>
  <c r="B152" i="74"/>
  <c r="G152" i="74"/>
  <c r="I151" i="74" l="1"/>
  <c r="H152" i="74"/>
  <c r="G153" i="74"/>
  <c r="B153" i="74"/>
  <c r="I153" i="74" l="1"/>
  <c r="I152" i="74"/>
  <c r="G154" i="74"/>
  <c r="B154" i="74"/>
  <c r="I154" i="74" l="1"/>
  <c r="H153" i="74"/>
  <c r="H154" i="74"/>
  <c r="G155" i="74"/>
  <c r="B155" i="74"/>
  <c r="H155" i="74" l="1"/>
  <c r="G156" i="74"/>
  <c r="B156" i="74"/>
  <c r="I155" i="74" l="1"/>
  <c r="H156" i="74"/>
  <c r="G157" i="74"/>
  <c r="B157" i="74"/>
  <c r="H157" i="74" l="1"/>
  <c r="I156" i="74"/>
  <c r="B158" i="74"/>
  <c r="I158" i="74" s="1"/>
  <c r="G158" i="74"/>
  <c r="H158" i="74" l="1"/>
  <c r="I157" i="74"/>
  <c r="G159" i="74"/>
  <c r="B159" i="74"/>
  <c r="I159" i="74" l="1"/>
  <c r="B160" i="74"/>
  <c r="G160" i="74"/>
  <c r="H160" i="74" l="1"/>
  <c r="H159" i="74"/>
  <c r="B161" i="74"/>
  <c r="G161" i="74"/>
  <c r="I160" i="74" l="1"/>
  <c r="I161" i="74"/>
  <c r="G162" i="74"/>
  <c r="B162" i="74"/>
  <c r="H162" i="74" l="1"/>
  <c r="H161" i="74"/>
  <c r="G163" i="74"/>
  <c r="B163" i="74"/>
  <c r="I163" i="74" l="1"/>
  <c r="I162" i="74"/>
  <c r="G164" i="74"/>
  <c r="B164" i="74"/>
  <c r="I164" i="74" l="1"/>
  <c r="H163" i="74"/>
  <c r="G165" i="74"/>
  <c r="B165" i="74"/>
  <c r="H164" i="74" l="1"/>
  <c r="H165" i="74"/>
  <c r="G166" i="74"/>
  <c r="B166" i="74"/>
  <c r="I165" i="74" l="1"/>
  <c r="H166" i="74"/>
  <c r="B167" i="74"/>
  <c r="G167" i="74"/>
  <c r="H167" i="74" l="1"/>
  <c r="I166" i="74"/>
  <c r="G168" i="74"/>
  <c r="B168" i="74"/>
  <c r="H168" i="74" l="1"/>
  <c r="I167" i="74"/>
  <c r="G169" i="74"/>
  <c r="B169" i="74"/>
  <c r="I168" i="74" l="1"/>
  <c r="I169" i="74"/>
  <c r="G170" i="74"/>
  <c r="B170" i="74"/>
  <c r="I170" i="74" l="1"/>
  <c r="H169" i="74"/>
  <c r="G171" i="74"/>
  <c r="B171" i="74"/>
  <c r="H170" i="74" l="1"/>
  <c r="H171" i="74"/>
  <c r="B172" i="74"/>
  <c r="G172" i="74"/>
  <c r="H172" i="74" l="1"/>
  <c r="I171" i="74"/>
  <c r="G173" i="74"/>
  <c r="B173" i="74"/>
  <c r="I172" i="74" l="1"/>
  <c r="I173" i="74"/>
  <c r="B174" i="74"/>
  <c r="I174" i="74" s="1"/>
  <c r="G174" i="74"/>
  <c r="H174" i="74" l="1"/>
  <c r="H173" i="74"/>
  <c r="G175" i="74"/>
  <c r="B175" i="74"/>
  <c r="I175" i="74" l="1"/>
  <c r="G176" i="74"/>
  <c r="B176" i="74"/>
  <c r="I176" i="74" l="1"/>
  <c r="H175" i="74"/>
  <c r="B177" i="74"/>
  <c r="G177" i="74"/>
  <c r="H177" i="74" l="1"/>
  <c r="H176" i="74"/>
  <c r="B178" i="74"/>
  <c r="G178" i="74"/>
  <c r="H178" i="74" l="1"/>
  <c r="I177" i="74"/>
  <c r="G179" i="74"/>
  <c r="B179" i="74"/>
  <c r="I179" i="74" l="1"/>
  <c r="I178" i="74"/>
  <c r="B180" i="74"/>
  <c r="H180" i="74" s="1"/>
  <c r="G180" i="74"/>
  <c r="I180" i="74" l="1"/>
  <c r="H179" i="74"/>
  <c r="G181" i="74"/>
  <c r="B181" i="74"/>
  <c r="H181" i="74" l="1"/>
  <c r="G182" i="74"/>
  <c r="B182" i="74"/>
  <c r="H182" i="74" l="1"/>
  <c r="I181" i="74"/>
  <c r="G183" i="74"/>
  <c r="B183" i="74"/>
  <c r="I183" i="74" l="1"/>
  <c r="I182" i="74"/>
  <c r="B184" i="74"/>
  <c r="H184" i="74" s="1"/>
  <c r="G184" i="74"/>
  <c r="I184" i="74" l="1"/>
  <c r="H183" i="74"/>
  <c r="B185" i="74"/>
  <c r="G185" i="74"/>
  <c r="H185" i="74" l="1"/>
  <c r="B186" i="74"/>
  <c r="G186" i="74"/>
  <c r="H186" i="74" l="1"/>
  <c r="I185" i="74"/>
  <c r="G187" i="74"/>
  <c r="B187" i="74"/>
  <c r="I187" i="74" s="1"/>
  <c r="H187" i="74" l="1"/>
  <c r="I186" i="74"/>
  <c r="B188" i="74"/>
  <c r="G188" i="74"/>
  <c r="I188" i="74" l="1"/>
  <c r="B189" i="74"/>
  <c r="G189" i="74"/>
  <c r="H189" i="74" l="1"/>
  <c r="H188" i="74"/>
  <c r="B190" i="74"/>
  <c r="G190" i="74"/>
  <c r="I189" i="74" l="1"/>
  <c r="H190" i="74"/>
  <c r="G191" i="74"/>
  <c r="B191" i="74"/>
  <c r="H191" i="74" l="1"/>
  <c r="I190" i="74"/>
  <c r="G192" i="74"/>
  <c r="B192" i="74"/>
  <c r="I192" i="74" l="1"/>
  <c r="I191" i="74"/>
  <c r="G193" i="74"/>
  <c r="B193" i="74"/>
  <c r="H192" i="74" l="1"/>
  <c r="H193" i="74"/>
  <c r="B194" i="74"/>
  <c r="I194" i="74" s="1"/>
  <c r="G194" i="74"/>
  <c r="H194" i="74" l="1"/>
  <c r="I193" i="74"/>
  <c r="B195" i="74"/>
  <c r="G195" i="74"/>
  <c r="I195" i="74" l="1"/>
  <c r="G196" i="74"/>
  <c r="B196" i="74"/>
  <c r="I196" i="74" l="1"/>
  <c r="H195" i="74"/>
  <c r="B197" i="74"/>
  <c r="G197" i="74"/>
  <c r="H197" i="74" l="1"/>
  <c r="H196" i="74"/>
  <c r="G198" i="74"/>
  <c r="B198" i="74"/>
  <c r="I198" i="74" l="1"/>
  <c r="I197" i="74"/>
  <c r="G199" i="74"/>
  <c r="B199" i="74"/>
  <c r="H199" i="74" l="1"/>
  <c r="H198" i="74"/>
  <c r="G200" i="74"/>
  <c r="B200" i="74"/>
  <c r="I200" i="74" l="1"/>
  <c r="I199" i="74"/>
  <c r="B201" i="74"/>
  <c r="G201" i="74"/>
  <c r="H201" i="74" l="1"/>
  <c r="H200" i="74"/>
  <c r="B202" i="74"/>
  <c r="G202" i="74"/>
  <c r="I202" i="74" l="1"/>
  <c r="I201" i="74"/>
  <c r="G203" i="74"/>
  <c r="B203" i="74"/>
  <c r="H203" i="74" l="1"/>
  <c r="H202" i="74"/>
  <c r="B204" i="74"/>
  <c r="G204" i="74"/>
  <c r="H204" i="74" l="1"/>
  <c r="I203" i="74"/>
  <c r="B205" i="74"/>
  <c r="G205" i="74"/>
  <c r="I205" i="74" l="1"/>
  <c r="I204" i="74"/>
  <c r="B206" i="74"/>
  <c r="G206" i="74"/>
  <c r="I206" i="74" l="1"/>
  <c r="H205" i="74"/>
  <c r="G207" i="74"/>
  <c r="B207" i="74"/>
  <c r="I207" i="74" l="1"/>
  <c r="H206" i="74"/>
  <c r="G208" i="74"/>
  <c r="B208" i="74"/>
  <c r="H208" i="74" l="1"/>
  <c r="H207" i="74"/>
  <c r="B209" i="74"/>
  <c r="G209" i="74"/>
  <c r="I208" i="74" l="1"/>
  <c r="I209" i="74"/>
  <c r="B210" i="74"/>
  <c r="G210" i="74"/>
  <c r="H210" i="74" l="1"/>
  <c r="H209" i="74"/>
  <c r="G211" i="74"/>
  <c r="B211" i="74"/>
  <c r="I210" i="74" l="1"/>
  <c r="I211" i="74"/>
  <c r="B212" i="74"/>
  <c r="G212" i="74"/>
  <c r="H212" i="74" l="1"/>
  <c r="H211" i="74"/>
  <c r="G213" i="74"/>
  <c r="B213" i="74"/>
  <c r="I213" i="74" l="1"/>
  <c r="I212" i="74"/>
  <c r="B214" i="74"/>
  <c r="G214" i="74"/>
  <c r="I214" i="74" l="1"/>
  <c r="H213" i="74"/>
  <c r="B215" i="74"/>
  <c r="G215" i="74"/>
  <c r="H214" i="74" l="1"/>
  <c r="H215" i="74"/>
  <c r="B216" i="74"/>
  <c r="G216" i="74"/>
  <c r="H216" i="74" l="1"/>
  <c r="I215" i="74"/>
  <c r="B217" i="74"/>
  <c r="G217" i="74"/>
  <c r="H217" i="74" l="1"/>
  <c r="I216" i="74"/>
  <c r="G218" i="74"/>
  <c r="B218" i="74"/>
  <c r="H218" i="74" l="1"/>
  <c r="I217" i="74"/>
  <c r="B219" i="74"/>
  <c r="G219" i="74"/>
  <c r="I218" i="74" l="1"/>
  <c r="I219" i="74"/>
  <c r="G220" i="74"/>
  <c r="B220" i="74"/>
  <c r="H219" i="74" l="1"/>
  <c r="H220" i="74"/>
  <c r="G221" i="74"/>
  <c r="B221" i="74"/>
  <c r="I220" i="74" l="1"/>
  <c r="H221" i="74"/>
  <c r="B222" i="74"/>
  <c r="G222" i="74"/>
  <c r="I222" i="74" l="1"/>
  <c r="I221" i="74"/>
  <c r="H222" i="74"/>
  <c r="G223" i="74"/>
  <c r="B223" i="74"/>
  <c r="H223" i="74" l="1"/>
  <c r="B224" i="74"/>
  <c r="G224" i="74"/>
  <c r="H224" i="74" l="1"/>
  <c r="I223" i="74"/>
  <c r="B225" i="74"/>
  <c r="I225" i="74" s="1"/>
  <c r="G225" i="74"/>
  <c r="H225" i="74"/>
  <c r="I224" i="74" l="1"/>
  <c r="B226" i="74"/>
  <c r="I226" i="74" s="1"/>
  <c r="G226" i="74"/>
  <c r="H226" i="74" l="1"/>
  <c r="G227" i="74"/>
  <c r="B227" i="74"/>
  <c r="I227" i="74" l="1"/>
  <c r="G228" i="74"/>
  <c r="B228" i="74"/>
  <c r="H227" i="74" l="1"/>
  <c r="I228" i="74"/>
  <c r="G229" i="74"/>
  <c r="B229" i="74"/>
  <c r="H228" i="74" l="1"/>
  <c r="I229" i="74"/>
  <c r="B230" i="74"/>
  <c r="I230" i="74" s="1"/>
  <c r="G230" i="74"/>
  <c r="H230" i="74" l="1"/>
  <c r="H229" i="74"/>
  <c r="G231" i="74"/>
  <c r="B231" i="74"/>
  <c r="H231" i="74" l="1"/>
  <c r="B232" i="74"/>
  <c r="I232" i="74" s="1"/>
  <c r="G232" i="74"/>
  <c r="I231" i="74" l="1"/>
  <c r="H232" i="74"/>
  <c r="G233" i="74"/>
  <c r="B233" i="74"/>
  <c r="H233" i="74" l="1"/>
  <c r="G234" i="74"/>
  <c r="B234" i="74"/>
  <c r="I233" i="74" l="1"/>
  <c r="I234" i="74"/>
  <c r="B235" i="74"/>
  <c r="H235" i="74" s="1"/>
  <c r="G235" i="74"/>
  <c r="I235" i="74" l="1"/>
  <c r="H234" i="74"/>
  <c r="B236" i="74"/>
  <c r="I236" i="74" s="1"/>
  <c r="G236" i="74"/>
  <c r="H236" i="74" l="1"/>
  <c r="B237" i="74"/>
  <c r="G237" i="74"/>
  <c r="H237" i="74" l="1"/>
  <c r="G238" i="74"/>
  <c r="B238" i="74"/>
  <c r="I237" i="74" l="1"/>
  <c r="H238" i="74"/>
  <c r="B239" i="74"/>
  <c r="H239" i="74" s="1"/>
  <c r="G239" i="74"/>
  <c r="I239" i="74" l="1"/>
  <c r="I238" i="74"/>
  <c r="G240" i="74"/>
  <c r="B240" i="74"/>
  <c r="I240" i="74" l="1"/>
  <c r="G241" i="74"/>
  <c r="B241" i="74"/>
  <c r="I241" i="74" s="1"/>
  <c r="H241" i="74" l="1"/>
  <c r="H240" i="74"/>
  <c r="G242" i="74"/>
  <c r="B242" i="74"/>
  <c r="I242" i="74" l="1"/>
  <c r="B243" i="74"/>
  <c r="G243" i="74"/>
  <c r="H242" i="74" l="1"/>
  <c r="I243" i="74"/>
  <c r="G244" i="74"/>
  <c r="B244" i="74"/>
  <c r="H243" i="74" l="1"/>
  <c r="I244" i="74"/>
  <c r="G245" i="74"/>
  <c r="B245" i="74"/>
  <c r="I245" i="74" l="1"/>
  <c r="H244" i="74"/>
  <c r="B246" i="74"/>
  <c r="H246" i="74" s="1"/>
  <c r="G246" i="74"/>
  <c r="H245" i="74" l="1"/>
  <c r="I246" i="74"/>
  <c r="G247" i="74"/>
  <c r="B247" i="74"/>
  <c r="I247" i="74" l="1"/>
  <c r="G248" i="74"/>
  <c r="B248" i="74"/>
  <c r="H247" i="74" l="1"/>
  <c r="H248" i="74"/>
  <c r="G249" i="74"/>
  <c r="B249" i="74"/>
  <c r="I248" i="74" l="1"/>
  <c r="H249" i="74"/>
  <c r="G250" i="74"/>
  <c r="B250" i="74"/>
  <c r="I249" i="74" l="1"/>
  <c r="H250" i="74"/>
  <c r="B251" i="74"/>
  <c r="G251" i="74"/>
  <c r="I251" i="74" l="1"/>
  <c r="I250" i="74"/>
  <c r="G252" i="74"/>
  <c r="B252" i="74"/>
  <c r="H252" i="74" l="1"/>
  <c r="H251" i="74"/>
  <c r="G253" i="74"/>
  <c r="B253" i="74"/>
  <c r="I252" i="74" l="1"/>
  <c r="H253" i="74"/>
  <c r="B254" i="74"/>
  <c r="H254" i="74" s="1"/>
  <c r="G254" i="74"/>
  <c r="I253" i="74" l="1"/>
  <c r="I254" i="74"/>
  <c r="B255" i="74"/>
  <c r="G255" i="74"/>
  <c r="H255" i="74" l="1"/>
  <c r="G256" i="74"/>
  <c r="B256" i="74"/>
  <c r="I255" i="74" l="1"/>
  <c r="I256" i="74"/>
  <c r="G257" i="74"/>
  <c r="B257" i="74"/>
  <c r="H257" i="74" l="1"/>
  <c r="H256" i="74"/>
  <c r="B258" i="74"/>
  <c r="H258" i="74" s="1"/>
  <c r="G258" i="74"/>
  <c r="I258" i="74" l="1"/>
  <c r="I257" i="74"/>
  <c r="G259" i="74"/>
  <c r="B259" i="74"/>
  <c r="H259" i="74" l="1"/>
  <c r="G260" i="74"/>
  <c r="B260" i="74"/>
  <c r="I260" i="74" l="1"/>
  <c r="I259" i="74"/>
  <c r="G261" i="74"/>
  <c r="B261" i="74"/>
  <c r="H260" i="74" l="1"/>
  <c r="I261" i="74"/>
  <c r="B262" i="74"/>
  <c r="I262" i="74" s="1"/>
  <c r="G262" i="74"/>
  <c r="H261" i="74" l="1"/>
  <c r="H262" i="74"/>
  <c r="B263" i="74"/>
  <c r="G263" i="74"/>
  <c r="I263" i="74" l="1"/>
  <c r="G264" i="74"/>
  <c r="B264" i="74"/>
  <c r="H263" i="74" l="1"/>
  <c r="H264" i="74"/>
  <c r="B265" i="74"/>
  <c r="G265" i="74"/>
  <c r="I265" i="74" l="1"/>
  <c r="I264" i="74"/>
  <c r="G266" i="74"/>
  <c r="B266" i="74"/>
  <c r="I266" i="74" s="1"/>
  <c r="H266" i="74" l="1"/>
  <c r="H265" i="74"/>
  <c r="B267" i="74"/>
  <c r="G267" i="74"/>
  <c r="I267" i="74" l="1"/>
  <c r="G268" i="74"/>
  <c r="B268" i="74"/>
  <c r="H267" i="74" l="1"/>
  <c r="I268" i="74"/>
  <c r="G269" i="74"/>
  <c r="B269" i="74"/>
  <c r="H269" i="74" s="1"/>
  <c r="I269" i="74" l="1"/>
  <c r="H268" i="74"/>
  <c r="G270" i="74"/>
  <c r="B270" i="74"/>
  <c r="H270" i="74" l="1"/>
  <c r="G271" i="74"/>
  <c r="B271" i="74"/>
  <c r="I270" i="74" l="1"/>
  <c r="H271" i="74"/>
  <c r="B272" i="74"/>
  <c r="H272" i="74" s="1"/>
  <c r="G272" i="74"/>
  <c r="I272" i="74" l="1"/>
  <c r="I271" i="74"/>
  <c r="B273" i="74"/>
  <c r="G273" i="74"/>
  <c r="H273" i="74" l="1"/>
  <c r="G274" i="74"/>
  <c r="B274" i="74"/>
  <c r="H274" i="74" l="1"/>
  <c r="I273" i="74"/>
  <c r="B275" i="74"/>
  <c r="I275" i="74" s="1"/>
  <c r="G275" i="74"/>
  <c r="H275" i="74" l="1"/>
  <c r="I274" i="74"/>
  <c r="G276" i="74"/>
  <c r="B276" i="74"/>
  <c r="I276" i="74" l="1"/>
  <c r="G277" i="74"/>
  <c r="B277" i="74"/>
  <c r="I277" i="74" l="1"/>
  <c r="H276" i="74"/>
  <c r="B278" i="74"/>
  <c r="G278" i="74"/>
  <c r="H277" i="74" l="1"/>
  <c r="H278" i="74"/>
  <c r="G279" i="74"/>
  <c r="B279" i="74"/>
  <c r="I279" i="74" l="1"/>
  <c r="I278" i="74"/>
  <c r="B280" i="74"/>
  <c r="I280" i="74" s="1"/>
  <c r="G280" i="74"/>
  <c r="H280" i="74" l="1"/>
  <c r="H279" i="74"/>
  <c r="B281" i="74"/>
  <c r="G281" i="74"/>
  <c r="I281" i="74" l="1"/>
  <c r="B282" i="74"/>
  <c r="I282" i="74" s="1"/>
  <c r="G282" i="74"/>
  <c r="H282" i="74" l="1"/>
  <c r="H281" i="74"/>
  <c r="G283" i="74"/>
  <c r="B283" i="74"/>
  <c r="H283" i="74" l="1"/>
  <c r="G284" i="74"/>
  <c r="B284" i="74"/>
  <c r="I283" i="74" l="1"/>
  <c r="I284" i="74"/>
  <c r="G285" i="74"/>
  <c r="B285" i="74"/>
  <c r="H284" i="74" l="1"/>
  <c r="I285" i="74"/>
  <c r="B286" i="74"/>
  <c r="G286" i="74"/>
  <c r="I286" i="74" l="1"/>
  <c r="H285" i="74"/>
  <c r="B287" i="74"/>
  <c r="G287" i="74"/>
  <c r="H286" i="74" l="1"/>
  <c r="H287" i="74"/>
  <c r="B288" i="74"/>
  <c r="G288" i="74"/>
  <c r="H288" i="74" l="1"/>
  <c r="I287" i="74"/>
  <c r="G289" i="74"/>
  <c r="B289" i="74"/>
  <c r="H289" i="74" l="1"/>
  <c r="I288" i="74"/>
  <c r="B290" i="74"/>
  <c r="G290" i="74"/>
  <c r="I289" i="74" l="1"/>
  <c r="H290" i="74"/>
  <c r="B291" i="74"/>
  <c r="G291" i="74"/>
  <c r="H291" i="74" l="1"/>
  <c r="I290" i="74"/>
  <c r="B292" i="74"/>
  <c r="H292" i="74" s="1"/>
  <c r="G292" i="74"/>
  <c r="I292" i="74" l="1"/>
  <c r="I291" i="74"/>
  <c r="G293" i="74"/>
  <c r="B293" i="74"/>
  <c r="H293" i="74" l="1"/>
  <c r="G294" i="74"/>
  <c r="B294" i="74"/>
  <c r="I293" i="74" l="1"/>
  <c r="I294" i="74"/>
  <c r="G295" i="74"/>
  <c r="B295" i="74"/>
  <c r="H295" i="74" l="1"/>
  <c r="H294" i="74"/>
  <c r="I295" i="74"/>
  <c r="G296" i="74"/>
  <c r="B296" i="74"/>
  <c r="I296" i="74" l="1"/>
  <c r="G297" i="74"/>
  <c r="B297" i="74"/>
  <c r="H296" i="74" l="1"/>
  <c r="H297" i="74"/>
  <c r="B298" i="74"/>
  <c r="H298" i="74" s="1"/>
  <c r="G298" i="74"/>
  <c r="I298" i="74" l="1"/>
  <c r="I297" i="74"/>
  <c r="B299" i="74"/>
  <c r="G299" i="74"/>
  <c r="H299" i="74" l="1"/>
  <c r="B300" i="74"/>
  <c r="G300" i="74"/>
  <c r="H300" i="74" l="1"/>
  <c r="I299" i="74"/>
  <c r="G301" i="74"/>
  <c r="B301" i="74"/>
  <c r="I301" i="74" l="1"/>
  <c r="I300" i="74"/>
  <c r="B302" i="74"/>
  <c r="G302" i="74"/>
  <c r="H301" i="74" l="1"/>
  <c r="I302" i="74"/>
  <c r="G303" i="74"/>
  <c r="B303" i="74"/>
  <c r="H302" i="74" l="1"/>
  <c r="H303" i="74"/>
  <c r="B304" i="74"/>
  <c r="G304" i="74"/>
  <c r="H304" i="74" l="1"/>
  <c r="I303" i="74"/>
  <c r="B305" i="74"/>
  <c r="G305" i="74"/>
  <c r="I304" i="74" l="1"/>
  <c r="I305" i="74"/>
  <c r="G306" i="74"/>
  <c r="B306" i="74"/>
  <c r="H305" i="74" l="1"/>
  <c r="I306" i="74"/>
  <c r="G307" i="74"/>
  <c r="B307" i="74"/>
  <c r="H307" i="74" l="1"/>
  <c r="H306" i="74"/>
  <c r="B308" i="74"/>
  <c r="G308" i="74"/>
  <c r="I307" i="74" l="1"/>
  <c r="H308" i="74"/>
  <c r="B309" i="74"/>
  <c r="G309" i="74"/>
  <c r="H309" i="74" l="1"/>
  <c r="I308" i="74"/>
  <c r="G310" i="74"/>
  <c r="B310" i="74"/>
  <c r="I310" i="74" l="1"/>
  <c r="I309" i="74"/>
  <c r="G311" i="74"/>
  <c r="B311" i="74"/>
  <c r="I311" i="74" l="1"/>
  <c r="H310" i="74"/>
  <c r="H311" i="74"/>
  <c r="G312" i="74"/>
  <c r="B312" i="74"/>
  <c r="H312" i="74" l="1"/>
  <c r="B313" i="74"/>
  <c r="I313" i="74" s="1"/>
  <c r="G313" i="74"/>
  <c r="I312" i="74" l="1"/>
  <c r="H313" i="74"/>
  <c r="G314" i="74"/>
  <c r="B314" i="74"/>
  <c r="I314" i="74" l="1"/>
  <c r="B315" i="74"/>
  <c r="G315" i="74"/>
  <c r="H314" i="74" l="1"/>
  <c r="I315" i="74"/>
  <c r="B316" i="74"/>
  <c r="G316" i="74"/>
  <c r="I316" i="74" l="1"/>
  <c r="H315" i="74"/>
  <c r="G317" i="74"/>
  <c r="B317" i="74"/>
  <c r="H316" i="74" l="1"/>
  <c r="I317" i="74"/>
  <c r="B318" i="74"/>
  <c r="G318" i="74"/>
  <c r="I318" i="74" l="1"/>
  <c r="H317" i="74"/>
  <c r="B319" i="74"/>
  <c r="G319" i="74"/>
  <c r="H318" i="74" l="1"/>
  <c r="H319" i="74"/>
  <c r="B320" i="74"/>
  <c r="G320" i="74"/>
  <c r="I320" i="74" l="1"/>
  <c r="I319" i="74"/>
  <c r="B321" i="74"/>
  <c r="G321" i="74"/>
  <c r="H320" i="74" l="1"/>
  <c r="I321" i="74"/>
  <c r="B322" i="74"/>
  <c r="G322" i="74"/>
  <c r="H321" i="74" l="1"/>
  <c r="H322" i="74"/>
  <c r="G323" i="74"/>
  <c r="B323" i="74"/>
  <c r="H323" i="74" l="1"/>
  <c r="I322" i="74"/>
  <c r="G324" i="74"/>
  <c r="B324" i="74"/>
  <c r="I323" i="74" l="1"/>
  <c r="H324" i="74"/>
  <c r="B325" i="74"/>
  <c r="I325" i="74" s="1"/>
  <c r="G325" i="74"/>
  <c r="I324" i="74" l="1"/>
  <c r="H325" i="74"/>
  <c r="G326" i="74"/>
  <c r="B326" i="74"/>
  <c r="H326" i="74" l="1"/>
  <c r="G327" i="74"/>
  <c r="B327" i="74"/>
  <c r="H327" i="74" l="1"/>
  <c r="I326" i="74"/>
  <c r="G328" i="74"/>
  <c r="B328" i="74"/>
  <c r="H328" i="74" l="1"/>
  <c r="I327" i="74"/>
  <c r="G329" i="74"/>
  <c r="B329" i="74"/>
  <c r="I328" i="74" l="1"/>
  <c r="H329" i="74"/>
  <c r="G330" i="74"/>
  <c r="B330" i="74"/>
  <c r="I330" i="74" l="1"/>
  <c r="I329" i="74"/>
  <c r="B331" i="74"/>
  <c r="G331" i="74"/>
  <c r="H331" i="74" l="1"/>
  <c r="H330" i="74"/>
  <c r="G332" i="74"/>
  <c r="B332" i="74"/>
  <c r="I332" i="74" l="1"/>
  <c r="I331" i="74"/>
  <c r="B333" i="74"/>
  <c r="G333" i="74"/>
  <c r="I333" i="74" l="1"/>
  <c r="H332" i="74"/>
  <c r="G334" i="74"/>
  <c r="B334" i="74"/>
  <c r="I334" i="74" l="1"/>
  <c r="H333" i="74"/>
  <c r="B335" i="74"/>
  <c r="G335" i="74"/>
  <c r="H335" i="74" l="1"/>
  <c r="H334" i="74"/>
  <c r="G336" i="74"/>
  <c r="B336" i="74"/>
  <c r="I336" i="74" l="1"/>
  <c r="I335" i="74"/>
  <c r="G337" i="74"/>
  <c r="B337" i="74"/>
  <c r="H336" i="74" l="1"/>
  <c r="H337" i="74"/>
  <c r="G338" i="74"/>
  <c r="B338" i="74"/>
  <c r="I337" i="74" l="1"/>
  <c r="I338" i="74"/>
  <c r="G339" i="74"/>
  <c r="B339" i="74"/>
  <c r="H339" i="74" l="1"/>
  <c r="H338" i="74"/>
  <c r="B340" i="74"/>
  <c r="G340" i="74"/>
  <c r="I340" i="74" l="1"/>
  <c r="I339" i="74"/>
  <c r="G341" i="74"/>
  <c r="B341" i="74"/>
  <c r="H341" i="74" s="1"/>
  <c r="I341" i="74" l="1"/>
  <c r="H340" i="74"/>
  <c r="G342" i="74"/>
  <c r="B342" i="74"/>
  <c r="H342" i="74" l="1"/>
  <c r="G343" i="74"/>
  <c r="B343" i="74"/>
  <c r="H343" i="74" l="1"/>
  <c r="I342" i="74"/>
  <c r="G344" i="74"/>
  <c r="B344" i="74"/>
  <c r="I344" i="74" l="1"/>
  <c r="I343" i="74"/>
  <c r="B345" i="74"/>
  <c r="G345" i="74"/>
  <c r="H345" i="74" l="1"/>
  <c r="H344" i="74"/>
  <c r="G346" i="74"/>
  <c r="B346" i="74"/>
  <c r="I346" i="74" l="1"/>
  <c r="I345" i="74"/>
  <c r="B347" i="74"/>
  <c r="G347" i="74"/>
  <c r="I347" i="74" l="1"/>
  <c r="H346" i="74"/>
  <c r="B348" i="74"/>
  <c r="G348" i="74"/>
  <c r="I348" i="74" l="1"/>
  <c r="H347" i="74"/>
  <c r="G349" i="74"/>
  <c r="B349" i="74"/>
  <c r="H348" i="74" l="1"/>
  <c r="I349" i="74"/>
  <c r="B350" i="74"/>
  <c r="G350" i="74"/>
  <c r="I350" i="74" l="1"/>
  <c r="H349" i="74"/>
  <c r="G351" i="74"/>
  <c r="B351" i="74"/>
  <c r="H350" i="74" l="1"/>
  <c r="H351" i="74"/>
  <c r="B352" i="74"/>
  <c r="I352" i="74" s="1"/>
  <c r="G352" i="74"/>
  <c r="I351" i="74" l="1"/>
  <c r="H352" i="74"/>
  <c r="B353" i="74"/>
  <c r="H353" i="74" s="1"/>
  <c r="G353" i="74"/>
  <c r="I353" i="74" l="1"/>
  <c r="B354" i="74"/>
  <c r="G354" i="74"/>
  <c r="I354" i="74" l="1"/>
  <c r="G355" i="74"/>
  <c r="B355" i="74"/>
  <c r="H354" i="74" l="1"/>
  <c r="H355" i="74"/>
  <c r="B356" i="74"/>
  <c r="G356" i="74"/>
  <c r="H356" i="74" l="1"/>
  <c r="I355" i="74"/>
  <c r="G357" i="74"/>
  <c r="B357" i="74"/>
  <c r="I357" i="74" l="1"/>
  <c r="I356" i="74"/>
  <c r="G358" i="74"/>
  <c r="B358" i="74"/>
  <c r="H357" i="74" l="1"/>
  <c r="H358" i="74"/>
  <c r="B359" i="74"/>
  <c r="G359" i="74"/>
  <c r="H359" i="74" l="1"/>
  <c r="I358" i="74"/>
  <c r="B360" i="74"/>
  <c r="G360" i="74"/>
  <c r="I359" i="74" l="1"/>
  <c r="H360" i="74"/>
  <c r="B361" i="74"/>
  <c r="G361" i="74"/>
  <c r="H361" i="74" l="1"/>
  <c r="I360" i="74"/>
  <c r="G362" i="74"/>
  <c r="B362" i="74"/>
  <c r="I362" i="74" s="1"/>
  <c r="H362" i="74" l="1"/>
  <c r="I361" i="74"/>
  <c r="G363" i="74"/>
  <c r="B363" i="74"/>
  <c r="H363" i="74" l="1"/>
  <c r="B364" i="74"/>
  <c r="I364" i="74" s="1"/>
  <c r="G364" i="74"/>
  <c r="H364" i="74" l="1"/>
  <c r="I363" i="74"/>
  <c r="G365" i="74"/>
  <c r="B365" i="74"/>
  <c r="H365" i="74" l="1"/>
  <c r="B366" i="74"/>
  <c r="I366" i="74" s="1"/>
  <c r="G366" i="74"/>
  <c r="I365" i="74" l="1"/>
  <c r="H366" i="74"/>
  <c r="G367" i="74"/>
  <c r="B367" i="74"/>
  <c r="I367" i="74" l="1"/>
  <c r="B368" i="74"/>
  <c r="G368" i="74"/>
  <c r="H367" i="74" l="1"/>
  <c r="I368" i="74"/>
  <c r="G369" i="74"/>
  <c r="B369" i="74"/>
  <c r="H368" i="74" l="1"/>
  <c r="H369" i="74"/>
  <c r="B370" i="74"/>
  <c r="I370" i="74" s="1"/>
  <c r="G370" i="74"/>
  <c r="H370" i="74" l="1"/>
  <c r="I369" i="74"/>
  <c r="B371" i="74"/>
  <c r="G371" i="74"/>
  <c r="H371" i="74" l="1"/>
  <c r="G372" i="74"/>
  <c r="B372" i="74"/>
  <c r="H372" i="74" s="1"/>
  <c r="I372" i="74" l="1"/>
  <c r="I371" i="74"/>
  <c r="B373" i="74"/>
  <c r="G373" i="74"/>
  <c r="H373" i="74" l="1"/>
  <c r="B374" i="74"/>
  <c r="G374" i="74"/>
  <c r="I374" i="74" l="1"/>
  <c r="I373" i="74"/>
  <c r="B375" i="74"/>
  <c r="G375" i="74"/>
  <c r="H374" i="74" l="1"/>
  <c r="I375" i="74"/>
  <c r="B376" i="74"/>
  <c r="G376" i="74"/>
  <c r="H375" i="74" l="1"/>
  <c r="I376" i="74"/>
  <c r="G377" i="74"/>
  <c r="B377" i="74"/>
  <c r="I377" i="74" l="1"/>
  <c r="H376" i="74"/>
  <c r="B378" i="74"/>
  <c r="G378" i="74"/>
  <c r="H377" i="74" l="1"/>
  <c r="H378" i="74"/>
  <c r="B379" i="74"/>
  <c r="G379" i="74"/>
  <c r="I379" i="74" l="1"/>
  <c r="I378" i="74"/>
  <c r="G380" i="74"/>
  <c r="B380" i="74"/>
  <c r="I380" i="74" l="1"/>
  <c r="H379" i="74"/>
  <c r="G381" i="74"/>
  <c r="B381" i="74"/>
  <c r="H381" i="74" l="1"/>
  <c r="H380" i="74"/>
  <c r="G382" i="74"/>
  <c r="B382" i="74"/>
  <c r="H382" i="74" l="1"/>
  <c r="I381" i="74"/>
  <c r="G383" i="74"/>
  <c r="B383" i="74"/>
  <c r="I382" i="74" l="1"/>
  <c r="H383" i="74"/>
  <c r="G384" i="74"/>
  <c r="B384" i="74"/>
  <c r="H384" i="74" l="1"/>
  <c r="I383" i="74"/>
  <c r="B385" i="74"/>
  <c r="G385" i="74"/>
  <c r="I385" i="74" l="1"/>
  <c r="I384" i="74"/>
  <c r="B386" i="74"/>
  <c r="G386" i="74"/>
  <c r="H386" i="74" l="1"/>
  <c r="H385" i="74"/>
  <c r="B387" i="74"/>
  <c r="G387" i="74"/>
  <c r="I386" i="74" l="1"/>
  <c r="I387" i="74"/>
  <c r="G388" i="74"/>
  <c r="B388" i="74"/>
  <c r="H388" i="74" l="1"/>
  <c r="H387" i="74"/>
  <c r="B389" i="74"/>
  <c r="G389" i="74"/>
  <c r="H389" i="74" l="1"/>
  <c r="I388" i="74"/>
  <c r="G390" i="74"/>
  <c r="B390" i="74"/>
  <c r="I390" i="74" l="1"/>
  <c r="I389" i="74"/>
  <c r="B391" i="74"/>
  <c r="G391" i="74"/>
  <c r="H391" i="74" l="1"/>
  <c r="H390" i="74"/>
  <c r="G392" i="74"/>
  <c r="B392" i="74"/>
  <c r="I392" i="74" l="1"/>
  <c r="I391" i="74"/>
  <c r="G393" i="74"/>
  <c r="B393" i="74"/>
  <c r="H393" i="74" l="1"/>
  <c r="H392" i="74"/>
  <c r="G394" i="74"/>
  <c r="B394" i="74"/>
  <c r="I394" i="74" l="1"/>
  <c r="I393" i="74"/>
  <c r="G395" i="74"/>
  <c r="B395" i="74"/>
  <c r="H394" i="74" l="1"/>
  <c r="H395" i="74"/>
  <c r="G396" i="74"/>
  <c r="B396" i="74"/>
  <c r="I395" i="74" l="1"/>
  <c r="H396" i="74"/>
  <c r="G397" i="74"/>
  <c r="B397" i="74"/>
  <c r="I396" i="74" l="1"/>
  <c r="I397" i="74"/>
  <c r="B398" i="74"/>
  <c r="G398" i="74"/>
  <c r="H397" i="74" l="1"/>
  <c r="H398" i="74"/>
  <c r="B399" i="74"/>
  <c r="I399" i="74" s="1"/>
  <c r="G399" i="74"/>
  <c r="H399" i="74" l="1"/>
  <c r="I398" i="74"/>
  <c r="B400" i="74"/>
  <c r="G400" i="74"/>
  <c r="I400" i="74" l="1"/>
  <c r="G401" i="74"/>
  <c r="B401" i="74"/>
  <c r="H400" i="74" l="1"/>
  <c r="I401" i="74"/>
  <c r="G402" i="74"/>
  <c r="B402" i="74"/>
  <c r="I402" i="74" l="1"/>
  <c r="H401" i="74"/>
  <c r="B403" i="74"/>
  <c r="G403" i="74"/>
  <c r="H402" i="74" l="1"/>
  <c r="I403" i="74"/>
  <c r="B404" i="74"/>
  <c r="I404" i="74" s="1"/>
  <c r="G404" i="74"/>
  <c r="H403" i="74" l="1"/>
  <c r="H404" i="74"/>
  <c r="G405" i="74"/>
  <c r="B405" i="74"/>
  <c r="H405" i="74" l="1"/>
  <c r="G406" i="74"/>
  <c r="B406" i="74"/>
  <c r="I406" i="74" s="1"/>
  <c r="H406" i="74" l="1"/>
  <c r="I405" i="74"/>
  <c r="G407" i="74"/>
  <c r="B407" i="74"/>
  <c r="C42" i="74" l="1"/>
  <c r="C26" i="74" s="1"/>
  <c r="H408" i="74"/>
  <c r="I408" i="74"/>
  <c r="B408" i="74"/>
  <c r="G408" i="74"/>
  <c r="G42" i="74" s="1"/>
  <c r="F116" i="80" l="1"/>
  <c r="E79" i="80"/>
  <c r="H149" i="80"/>
  <c r="E104" i="80"/>
  <c r="H137" i="80"/>
  <c r="I42" i="74"/>
  <c r="I407" i="74"/>
  <c r="H407" i="74"/>
  <c r="H42" i="74" s="1"/>
  <c r="I24" i="16"/>
  <c r="I23" i="16" s="1"/>
  <c r="H24" i="16" l="1"/>
  <c r="H23" i="16" s="1"/>
  <c r="E42" i="76"/>
  <c r="J24" i="16" l="1"/>
  <c r="J23" i="16"/>
  <c r="D42" i="76"/>
  <c r="F42" i="76" l="1"/>
  <c r="I42" i="76" l="1"/>
  <c r="E96" i="6" l="1"/>
  <c r="D93" i="6"/>
  <c r="L24" i="34" l="1"/>
  <c r="D90" i="6"/>
  <c r="D96" i="6" s="1"/>
  <c r="N24" i="34" l="1"/>
  <c r="Q24" i="34" l="1"/>
  <c r="D117" i="6" l="1"/>
  <c r="E120" i="6" l="1"/>
  <c r="D114" i="6" l="1"/>
  <c r="D120" i="6" s="1"/>
  <c r="K67" i="34"/>
  <c r="M67" i="34" s="1"/>
  <c r="P67" i="34" s="1"/>
  <c r="F23" i="34" l="1"/>
  <c r="F15" i="34"/>
  <c r="F17" i="34"/>
  <c r="F18" i="34"/>
  <c r="F21" i="34"/>
  <c r="F20" i="34"/>
  <c r="D45" i="6"/>
  <c r="D77" i="6"/>
  <c r="D53" i="6"/>
  <c r="D84" i="6"/>
  <c r="D37" i="6" l="1"/>
  <c r="D36" i="6"/>
  <c r="D28" i="6"/>
  <c r="D29" i="6"/>
  <c r="D61" i="6"/>
  <c r="D52" i="6" l="1"/>
  <c r="D87" i="6"/>
  <c r="D79" i="6"/>
  <c r="D69" i="6"/>
  <c r="D40" i="6"/>
  <c r="D64" i="6"/>
  <c r="D76" i="6"/>
  <c r="D48" i="6"/>
  <c r="D83" i="6"/>
  <c r="D56" i="6"/>
  <c r="D44" i="6"/>
  <c r="D20" i="6"/>
  <c r="D32" i="6"/>
  <c r="J59" i="34" l="1"/>
  <c r="E80" i="6"/>
  <c r="D60" i="6"/>
  <c r="D24" i="6"/>
  <c r="D68" i="6" l="1"/>
  <c r="D75" i="6"/>
  <c r="D80" i="6" s="1"/>
  <c r="L22" i="34"/>
  <c r="N22" i="34" s="1"/>
  <c r="D30" i="6"/>
  <c r="E21" i="6"/>
  <c r="P59" i="34"/>
  <c r="E33" i="6" l="1"/>
  <c r="E73" i="6"/>
  <c r="E25" i="6"/>
  <c r="D72" i="6"/>
  <c r="K59" i="34"/>
  <c r="D43" i="6"/>
  <c r="L18" i="34"/>
  <c r="N18" i="34" s="1"/>
  <c r="E49" i="6"/>
  <c r="D46" i="6"/>
  <c r="Q22" i="34"/>
  <c r="D70" i="6"/>
  <c r="D59" i="6"/>
  <c r="L20" i="34"/>
  <c r="N20" i="34" s="1"/>
  <c r="D19" i="6"/>
  <c r="I59" i="34"/>
  <c r="E57" i="6"/>
  <c r="D54" i="6"/>
  <c r="E88" i="6"/>
  <c r="D85" i="6"/>
  <c r="D35" i="6"/>
  <c r="L17" i="34"/>
  <c r="N17" i="34" s="1"/>
  <c r="L19" i="34"/>
  <c r="N19" i="34" s="1"/>
  <c r="D51" i="6"/>
  <c r="E41" i="6"/>
  <c r="D38" i="6"/>
  <c r="E65" i="6"/>
  <c r="D62" i="6"/>
  <c r="Q17" i="34" l="1"/>
  <c r="Q19" i="34"/>
  <c r="D57" i="6"/>
  <c r="D41" i="6"/>
  <c r="E103" i="6"/>
  <c r="L16" i="34"/>
  <c r="N16" i="34" s="1"/>
  <c r="Q16" i="34" s="1"/>
  <c r="D27" i="6"/>
  <c r="D33" i="6" s="1"/>
  <c r="D67" i="6"/>
  <c r="D73" i="6" s="1"/>
  <c r="L21" i="34"/>
  <c r="N21" i="34" s="1"/>
  <c r="Q21" i="34" s="1"/>
  <c r="D82" i="6"/>
  <c r="D88" i="6" s="1"/>
  <c r="L23" i="34"/>
  <c r="N23" i="34" s="1"/>
  <c r="Q23" i="34" s="1"/>
  <c r="Q18" i="34"/>
  <c r="D49" i="6"/>
  <c r="Q20" i="34"/>
  <c r="D65" i="6"/>
  <c r="D22" i="6"/>
  <c r="O59" i="34"/>
  <c r="D18" i="6"/>
  <c r="D21" i="6" s="1"/>
  <c r="L15" i="34"/>
  <c r="H59" i="34"/>
  <c r="D25" i="6" l="1"/>
  <c r="N15" i="34"/>
  <c r="L59" i="34"/>
  <c r="D103" i="6" l="1"/>
  <c r="Q15" i="34"/>
  <c r="Q59" i="34" s="1"/>
  <c r="N59" i="34"/>
  <c r="C96" i="80" l="1"/>
  <c r="F21" i="56"/>
  <c r="C124" i="80"/>
  <c r="F20" i="56"/>
  <c r="C99" i="80"/>
  <c r="C120" i="80"/>
  <c r="C92" i="80"/>
  <c r="C116" i="80"/>
  <c r="C94" i="80"/>
  <c r="C118" i="80"/>
  <c r="F17" i="56"/>
  <c r="C100" i="80" l="1"/>
  <c r="C123" i="80"/>
  <c r="F13" i="56"/>
  <c r="D23" i="56"/>
  <c r="D66" i="56"/>
  <c r="D90" i="56"/>
  <c r="C31" i="80"/>
  <c r="F15" i="56"/>
  <c r="C151" i="80"/>
  <c r="C139" i="80"/>
  <c r="C98" i="80"/>
  <c r="C122" i="80"/>
  <c r="D78" i="56"/>
  <c r="C95" i="80"/>
  <c r="C119" i="80"/>
  <c r="C137" i="80"/>
  <c r="C149" i="80"/>
  <c r="F19" i="56"/>
  <c r="C156" i="80"/>
  <c r="C144" i="80"/>
  <c r="C93" i="80"/>
  <c r="C117" i="80"/>
  <c r="F18" i="56"/>
  <c r="C153" i="80"/>
  <c r="C141" i="80"/>
  <c r="F22" i="56"/>
  <c r="F14" i="56"/>
  <c r="C101" i="80"/>
  <c r="C125" i="80"/>
  <c r="C97" i="80"/>
  <c r="C121" i="80"/>
  <c r="F16" i="56"/>
  <c r="C145" i="80" l="1"/>
  <c r="C157" i="80"/>
  <c r="C146" i="80"/>
  <c r="C158" i="80"/>
  <c r="C155" i="80"/>
  <c r="C143" i="80"/>
  <c r="G137" i="80"/>
  <c r="J137" i="80" s="1"/>
  <c r="I64" i="80" s="1"/>
  <c r="F137" i="80"/>
  <c r="I137" i="80" s="1"/>
  <c r="H64" i="80" s="1"/>
  <c r="G144" i="80"/>
  <c r="J144" i="80" s="1"/>
  <c r="I71" i="80" s="1"/>
  <c r="F144" i="80"/>
  <c r="I144" i="80" s="1"/>
  <c r="H71" i="80" s="1"/>
  <c r="F141" i="80"/>
  <c r="I141" i="80" s="1"/>
  <c r="H68" i="80" s="1"/>
  <c r="G141" i="80"/>
  <c r="J141" i="80" s="1"/>
  <c r="I68" i="80" s="1"/>
  <c r="G149" i="80"/>
  <c r="J149" i="80" s="1"/>
  <c r="K64" i="80" s="1"/>
  <c r="F149" i="80"/>
  <c r="I149" i="80" s="1"/>
  <c r="J64" i="80" s="1"/>
  <c r="C138" i="80"/>
  <c r="C150" i="80"/>
  <c r="F139" i="80"/>
  <c r="I139" i="80" s="1"/>
  <c r="H66" i="80" s="1"/>
  <c r="G139" i="80"/>
  <c r="J139" i="80" s="1"/>
  <c r="I66" i="80" s="1"/>
  <c r="G156" i="80"/>
  <c r="J156" i="80" s="1"/>
  <c r="K71" i="80" s="1"/>
  <c r="F156" i="80"/>
  <c r="I156" i="80" s="1"/>
  <c r="J71" i="80" s="1"/>
  <c r="C154" i="80"/>
  <c r="C142" i="80"/>
  <c r="G151" i="80"/>
  <c r="J151" i="80" s="1"/>
  <c r="K66" i="80" s="1"/>
  <c r="F151" i="80"/>
  <c r="I151" i="80" s="1"/>
  <c r="J66" i="80" s="1"/>
  <c r="F145" i="80"/>
  <c r="I145" i="80" s="1"/>
  <c r="H72" i="80" s="1"/>
  <c r="G145" i="80"/>
  <c r="J145" i="80" s="1"/>
  <c r="I72" i="80" s="1"/>
  <c r="F157" i="80"/>
  <c r="I157" i="80" s="1"/>
  <c r="J72" i="80" s="1"/>
  <c r="G157" i="80"/>
  <c r="J157" i="80" s="1"/>
  <c r="K72" i="80" s="1"/>
  <c r="G153" i="80"/>
  <c r="J153" i="80" s="1"/>
  <c r="K68" i="80" s="1"/>
  <c r="F153" i="80"/>
  <c r="I153" i="80" s="1"/>
  <c r="J68" i="80" s="1"/>
  <c r="C152" i="80"/>
  <c r="C140" i="80"/>
  <c r="F45" i="80" l="1"/>
  <c r="F46" i="80"/>
  <c r="F41" i="80"/>
  <c r="F42" i="80"/>
  <c r="F51" i="80"/>
  <c r="F52" i="80"/>
  <c r="G140" i="80"/>
  <c r="J140" i="80" s="1"/>
  <c r="I67" i="80" s="1"/>
  <c r="F140" i="80"/>
  <c r="I140" i="80" s="1"/>
  <c r="H67" i="80" s="1"/>
  <c r="F38" i="80"/>
  <c r="F37" i="80"/>
  <c r="G158" i="80"/>
  <c r="J158" i="80" s="1"/>
  <c r="K73" i="80" s="1"/>
  <c r="F158" i="80"/>
  <c r="I158" i="80" s="1"/>
  <c r="J73" i="80" s="1"/>
  <c r="F146" i="80"/>
  <c r="I146" i="80" s="1"/>
  <c r="H73" i="80" s="1"/>
  <c r="G146" i="80"/>
  <c r="J146" i="80" s="1"/>
  <c r="I73" i="80" s="1"/>
  <c r="F142" i="80"/>
  <c r="I142" i="80" s="1"/>
  <c r="H69" i="80" s="1"/>
  <c r="G142" i="80"/>
  <c r="J142" i="80" s="1"/>
  <c r="I69" i="80" s="1"/>
  <c r="G154" i="80"/>
  <c r="J154" i="80" s="1"/>
  <c r="K69" i="80" s="1"/>
  <c r="F154" i="80"/>
  <c r="I154" i="80" s="1"/>
  <c r="J69" i="80" s="1"/>
  <c r="G150" i="80"/>
  <c r="J150" i="80" s="1"/>
  <c r="K65" i="80" s="1"/>
  <c r="F150" i="80"/>
  <c r="I150" i="80" s="1"/>
  <c r="J65" i="80" s="1"/>
  <c r="F138" i="80"/>
  <c r="I138" i="80" s="1"/>
  <c r="H65" i="80" s="1"/>
  <c r="G138" i="80"/>
  <c r="J138" i="80" s="1"/>
  <c r="I65" i="80" s="1"/>
  <c r="G143" i="80"/>
  <c r="J143" i="80" s="1"/>
  <c r="I70" i="80" s="1"/>
  <c r="F143" i="80"/>
  <c r="I143" i="80" s="1"/>
  <c r="H70" i="80" s="1"/>
  <c r="F152" i="80"/>
  <c r="I152" i="80" s="1"/>
  <c r="J67" i="80" s="1"/>
  <c r="G152" i="80"/>
  <c r="J152" i="80" s="1"/>
  <c r="K67" i="80" s="1"/>
  <c r="F54" i="80"/>
  <c r="F53" i="80"/>
  <c r="G155" i="80"/>
  <c r="J155" i="80" s="1"/>
  <c r="K70" i="80" s="1"/>
  <c r="F155" i="80"/>
  <c r="I155" i="80" s="1"/>
  <c r="J70" i="80" s="1"/>
  <c r="F43" i="80" l="1"/>
  <c r="F44" i="80"/>
  <c r="F49" i="80"/>
  <c r="F50" i="80"/>
  <c r="F48" i="80"/>
  <c r="F47" i="80"/>
  <c r="F39" i="80"/>
  <c r="F40" i="80"/>
  <c r="F55" i="80"/>
  <c r="F56" i="80"/>
  <c r="H18" i="76" l="1"/>
  <c r="J23" i="56" l="1"/>
  <c r="J48" i="56" s="1"/>
  <c r="H22" i="76"/>
  <c r="I17" i="76"/>
  <c r="I13" i="76" l="1"/>
  <c r="J13" i="56" l="1"/>
  <c r="J80" i="56"/>
  <c r="J19" i="56"/>
  <c r="H23" i="56" l="1"/>
  <c r="H90" i="56"/>
  <c r="J87" i="56"/>
  <c r="J20" i="56"/>
  <c r="J17" i="56"/>
  <c r="J89" i="56"/>
  <c r="J15" i="56"/>
  <c r="J83" i="56"/>
  <c r="J18" i="56"/>
  <c r="J88" i="56"/>
  <c r="J22" i="56"/>
  <c r="J16" i="56"/>
  <c r="J14" i="56"/>
  <c r="J21" i="56"/>
  <c r="J86" i="56"/>
  <c r="J82" i="56"/>
  <c r="J84" i="56"/>
  <c r="J85" i="56"/>
  <c r="H66" i="56"/>
  <c r="J81" i="56"/>
  <c r="H78" i="56"/>
  <c r="F16" i="76" l="1"/>
  <c r="F18" i="76" s="1"/>
  <c r="D18" i="76"/>
  <c r="D22" i="76" l="1"/>
  <c r="E23" i="56"/>
  <c r="F22" i="76"/>
  <c r="C10" i="69"/>
  <c r="C12" i="69" l="1"/>
  <c r="I28" i="76"/>
  <c r="F25" i="76"/>
  <c r="I29" i="76"/>
  <c r="F29" i="76"/>
  <c r="F28" i="76"/>
  <c r="I30" i="76"/>
  <c r="F30" i="76"/>
  <c r="F27" i="76"/>
  <c r="F31" i="76"/>
  <c r="I27" i="76"/>
  <c r="I31" i="76"/>
  <c r="I25" i="76"/>
  <c r="E48" i="56"/>
  <c r="E20" i="56"/>
  <c r="G20" i="56" s="1"/>
  <c r="D19" i="5" s="1"/>
  <c r="E17" i="56"/>
  <c r="G17" i="56" s="1"/>
  <c r="D16" i="5" s="1"/>
  <c r="E13" i="56"/>
  <c r="G13" i="56" s="1"/>
  <c r="E18" i="56"/>
  <c r="G18" i="56" s="1"/>
  <c r="D17" i="5" s="1"/>
  <c r="E19" i="56"/>
  <c r="G19" i="56" s="1"/>
  <c r="D18" i="5" s="1"/>
  <c r="E15" i="56"/>
  <c r="G15" i="56" s="1"/>
  <c r="D14" i="5" s="1"/>
  <c r="E14" i="56"/>
  <c r="G14" i="56" s="1"/>
  <c r="D13" i="5" s="1"/>
  <c r="E16" i="56"/>
  <c r="G16" i="56" s="1"/>
  <c r="D15" i="5" s="1"/>
  <c r="E22" i="56"/>
  <c r="G22" i="56" s="1"/>
  <c r="D21" i="5" s="1"/>
  <c r="E21" i="56"/>
  <c r="G21" i="56" s="1"/>
  <c r="D20" i="5" s="1"/>
  <c r="D12" i="5" l="1"/>
  <c r="D22" i="5" s="1" a="1"/>
  <c r="D22" i="5" s="1"/>
  <c r="G23" i="56"/>
  <c r="G48" i="56" s="1"/>
  <c r="J78" i="56"/>
  <c r="O84" i="34" l="1"/>
  <c r="H32" i="76"/>
  <c r="F26" i="76"/>
  <c r="J68" i="56"/>
  <c r="J77" i="56"/>
  <c r="J72" i="56"/>
  <c r="J73" i="56"/>
  <c r="J71" i="56"/>
  <c r="J75" i="56"/>
  <c r="J69" i="56"/>
  <c r="J76" i="56"/>
  <c r="J70" i="56"/>
  <c r="J74" i="56"/>
  <c r="I26" i="76"/>
  <c r="E32" i="76"/>
  <c r="F66" i="56" s="1"/>
  <c r="D111" i="6" l="1"/>
  <c r="J84" i="34"/>
  <c r="D112" i="80"/>
  <c r="G112" i="80" s="1"/>
  <c r="F72" i="80" s="1"/>
  <c r="D106" i="80"/>
  <c r="G106" i="80" s="1"/>
  <c r="F66" i="80" s="1"/>
  <c r="D94" i="80"/>
  <c r="E94" i="80" s="1"/>
  <c r="D118" i="80" s="1"/>
  <c r="E118" i="80" s="1"/>
  <c r="G118" i="80" s="1"/>
  <c r="G66" i="80" s="1"/>
  <c r="D100" i="80"/>
  <c r="E100" i="80" s="1"/>
  <c r="D124" i="80" s="1"/>
  <c r="E124" i="80" s="1"/>
  <c r="G124" i="80" s="1"/>
  <c r="G72" i="80" s="1"/>
  <c r="D113" i="80"/>
  <c r="G113" i="80" s="1"/>
  <c r="F73" i="80" s="1"/>
  <c r="D93" i="80"/>
  <c r="E93" i="80" s="1"/>
  <c r="D117" i="80" s="1"/>
  <c r="E117" i="80" s="1"/>
  <c r="G117" i="80" s="1"/>
  <c r="G65" i="80" s="1"/>
  <c r="D97" i="80"/>
  <c r="E97" i="80" s="1"/>
  <c r="D121" i="80" s="1"/>
  <c r="E121" i="80" s="1"/>
  <c r="G121" i="80" s="1"/>
  <c r="G69" i="80" s="1"/>
  <c r="D99" i="80"/>
  <c r="E99" i="80" s="1"/>
  <c r="D123" i="80" s="1"/>
  <c r="E123" i="80" s="1"/>
  <c r="G123" i="80" s="1"/>
  <c r="G71" i="80" s="1"/>
  <c r="D105" i="80"/>
  <c r="G105" i="80" s="1"/>
  <c r="F65" i="80" s="1"/>
  <c r="D101" i="80"/>
  <c r="E101" i="80" s="1"/>
  <c r="D125" i="80" s="1"/>
  <c r="E125" i="80" s="1"/>
  <c r="G125" i="80" s="1"/>
  <c r="G73" i="80" s="1"/>
  <c r="D96" i="80"/>
  <c r="E96" i="80" s="1"/>
  <c r="D120" i="80" s="1"/>
  <c r="E120" i="80" s="1"/>
  <c r="G120" i="80" s="1"/>
  <c r="G68" i="80" s="1"/>
  <c r="D98" i="80"/>
  <c r="E98" i="80" s="1"/>
  <c r="D122" i="80" s="1"/>
  <c r="E122" i="80" s="1"/>
  <c r="G122" i="80" s="1"/>
  <c r="G70" i="80" s="1"/>
  <c r="D95" i="80"/>
  <c r="E95" i="80" s="1"/>
  <c r="D119" i="80" s="1"/>
  <c r="E119" i="80" s="1"/>
  <c r="G119" i="80" s="1"/>
  <c r="G67" i="80" s="1"/>
  <c r="D92" i="80"/>
  <c r="E92" i="80" s="1"/>
  <c r="D116" i="80" s="1"/>
  <c r="E116" i="80" s="1"/>
  <c r="G116" i="80" s="1"/>
  <c r="G64" i="80" s="1"/>
  <c r="D111" i="80"/>
  <c r="G111" i="80" s="1"/>
  <c r="F71" i="80" s="1"/>
  <c r="D104" i="80"/>
  <c r="G104" i="80" s="1"/>
  <c r="F64" i="80" s="1"/>
  <c r="D108" i="80"/>
  <c r="G108" i="80" s="1"/>
  <c r="F68" i="80" s="1"/>
  <c r="D107" i="80"/>
  <c r="G107" i="80" s="1"/>
  <c r="F67" i="80" s="1"/>
  <c r="D109" i="80"/>
  <c r="G109" i="80" s="1"/>
  <c r="F69" i="80" s="1"/>
  <c r="D110" i="80"/>
  <c r="G110" i="80" s="1"/>
  <c r="F70" i="80" s="1"/>
  <c r="D32" i="76"/>
  <c r="E66" i="56" s="1"/>
  <c r="F24" i="76"/>
  <c r="F32" i="76" s="1"/>
  <c r="J66" i="56"/>
  <c r="H44" i="76"/>
  <c r="H45" i="76" s="1"/>
  <c r="F56" i="56"/>
  <c r="F65" i="56"/>
  <c r="F63" i="56"/>
  <c r="F62" i="56"/>
  <c r="F57" i="56"/>
  <c r="F60" i="56"/>
  <c r="F58" i="56"/>
  <c r="F59" i="56"/>
  <c r="F61" i="56"/>
  <c r="F64" i="56"/>
  <c r="I24" i="76"/>
  <c r="I32" i="76" s="1"/>
  <c r="G32" i="76"/>
  <c r="I66" i="56" s="1"/>
  <c r="H84" i="34" l="1"/>
  <c r="D107" i="6"/>
  <c r="H18" i="16"/>
  <c r="I18" i="16"/>
  <c r="I56" i="56"/>
  <c r="I64" i="56"/>
  <c r="I59" i="56"/>
  <c r="I63" i="56"/>
  <c r="I60" i="56"/>
  <c r="I57" i="56"/>
  <c r="K57" i="56" s="1"/>
  <c r="I61" i="56"/>
  <c r="I62" i="56"/>
  <c r="I58" i="56"/>
  <c r="I65" i="56"/>
  <c r="J91" i="56"/>
  <c r="J56" i="56"/>
  <c r="J64" i="56"/>
  <c r="J60" i="56"/>
  <c r="J62" i="56"/>
  <c r="J59" i="56"/>
  <c r="J63" i="56"/>
  <c r="J57" i="56"/>
  <c r="J61" i="56"/>
  <c r="J65" i="56"/>
  <c r="J58" i="56"/>
  <c r="C13" i="69"/>
  <c r="D88" i="80"/>
  <c r="G88" i="80" s="1"/>
  <c r="D73" i="80" s="1"/>
  <c r="D85" i="80"/>
  <c r="G85" i="80" s="1"/>
  <c r="D70" i="80" s="1"/>
  <c r="D86" i="80"/>
  <c r="G86" i="80" s="1"/>
  <c r="D71" i="80" s="1"/>
  <c r="D87" i="80"/>
  <c r="G87" i="80" s="1"/>
  <c r="D72" i="80" s="1"/>
  <c r="D79" i="80"/>
  <c r="G79" i="80" s="1"/>
  <c r="D64" i="80" s="1"/>
  <c r="D81" i="80"/>
  <c r="G81" i="80" s="1"/>
  <c r="D66" i="80" s="1"/>
  <c r="D82" i="80"/>
  <c r="G82" i="80" s="1"/>
  <c r="D67" i="80" s="1"/>
  <c r="D84" i="80"/>
  <c r="G84" i="80" s="1"/>
  <c r="D69" i="80" s="1"/>
  <c r="D80" i="80"/>
  <c r="G80" i="80" s="1"/>
  <c r="D65" i="80" s="1"/>
  <c r="D83" i="80"/>
  <c r="G83" i="80" s="1"/>
  <c r="D68" i="80" s="1"/>
  <c r="E56" i="56"/>
  <c r="G56" i="56" s="1"/>
  <c r="E64" i="56"/>
  <c r="G64" i="56" s="1"/>
  <c r="E65" i="56"/>
  <c r="G65" i="56" s="1"/>
  <c r="E62" i="56"/>
  <c r="G62" i="56" s="1"/>
  <c r="E60" i="56"/>
  <c r="G60" i="56" s="1"/>
  <c r="E63" i="56"/>
  <c r="G63" i="56" s="1"/>
  <c r="E58" i="56"/>
  <c r="G58" i="56" s="1"/>
  <c r="E61" i="56"/>
  <c r="G61" i="56" s="1"/>
  <c r="E59" i="56"/>
  <c r="G59" i="56" s="1"/>
  <c r="E57" i="56"/>
  <c r="G57" i="56" s="1"/>
  <c r="K60" i="56" l="1"/>
  <c r="K65" i="56"/>
  <c r="K62" i="56"/>
  <c r="K58" i="56"/>
  <c r="K61" i="56"/>
  <c r="E112" i="6"/>
  <c r="E124" i="6" s="1"/>
  <c r="E125" i="6" s="1"/>
  <c r="K63" i="56"/>
  <c r="K59" i="56"/>
  <c r="K64" i="56"/>
  <c r="K56" i="56"/>
  <c r="G66" i="56"/>
  <c r="I36" i="16"/>
  <c r="E37" i="76"/>
  <c r="I16" i="76"/>
  <c r="I18" i="76" s="1"/>
  <c r="G18" i="76"/>
  <c r="H36" i="16"/>
  <c r="D37" i="76"/>
  <c r="J18" i="16"/>
  <c r="J36" i="16" s="1"/>
  <c r="K66" i="56" l="1"/>
  <c r="F37" i="76"/>
  <c r="D43" i="76"/>
  <c r="E78" i="56"/>
  <c r="E43" i="76"/>
  <c r="F78" i="56"/>
  <c r="G22" i="76"/>
  <c r="I23" i="56"/>
  <c r="I22" i="76"/>
  <c r="I13" i="56" l="1"/>
  <c r="K13" i="56" s="1"/>
  <c r="I16" i="56"/>
  <c r="K16" i="56" s="1"/>
  <c r="I15" i="56"/>
  <c r="K15" i="56" s="1"/>
  <c r="I20" i="56"/>
  <c r="K20" i="56" s="1"/>
  <c r="I19" i="56"/>
  <c r="K19" i="56" s="1"/>
  <c r="I48" i="56"/>
  <c r="I17" i="56"/>
  <c r="K17" i="56" s="1"/>
  <c r="I14" i="56"/>
  <c r="K14" i="56" s="1"/>
  <c r="I21" i="56"/>
  <c r="K21" i="56" s="1"/>
  <c r="I22" i="56"/>
  <c r="K22" i="56" s="1"/>
  <c r="I18" i="56"/>
  <c r="K18" i="56" s="1"/>
  <c r="F76" i="56"/>
  <c r="F70" i="56"/>
  <c r="F73" i="56"/>
  <c r="F77" i="56"/>
  <c r="F72" i="56"/>
  <c r="F69" i="56"/>
  <c r="F68" i="56"/>
  <c r="F75" i="56"/>
  <c r="F71" i="56"/>
  <c r="F74" i="56"/>
  <c r="I37" i="76"/>
  <c r="I43" i="76" s="1"/>
  <c r="I44" i="76" s="1"/>
  <c r="I45" i="76" s="1"/>
  <c r="G43" i="76"/>
  <c r="I78" i="56"/>
  <c r="E90" i="56"/>
  <c r="D44" i="76"/>
  <c r="D45" i="76" s="1"/>
  <c r="E44" i="76"/>
  <c r="E45" i="76" s="1"/>
  <c r="F90" i="56"/>
  <c r="E76" i="56"/>
  <c r="E70" i="56"/>
  <c r="E77" i="56"/>
  <c r="E73" i="56"/>
  <c r="E72" i="56"/>
  <c r="E75" i="56"/>
  <c r="E69" i="56"/>
  <c r="E71" i="56"/>
  <c r="E68" i="56"/>
  <c r="G68" i="56" s="1"/>
  <c r="E74" i="56"/>
  <c r="G74" i="56" s="1"/>
  <c r="N84" i="34"/>
  <c r="D109" i="6"/>
  <c r="F43" i="76"/>
  <c r="C111" i="80"/>
  <c r="F111" i="80" s="1"/>
  <c r="E71" i="80" s="1"/>
  <c r="C105" i="80"/>
  <c r="F105" i="80" s="1"/>
  <c r="E65" i="80" s="1"/>
  <c r="C107" i="80"/>
  <c r="F107" i="80" s="1"/>
  <c r="E67" i="80" s="1"/>
  <c r="C110" i="80"/>
  <c r="F110" i="80" s="1"/>
  <c r="E70" i="80" s="1"/>
  <c r="C106" i="80"/>
  <c r="F106" i="80" s="1"/>
  <c r="E66" i="80" s="1"/>
  <c r="C112" i="80"/>
  <c r="F112" i="80" s="1"/>
  <c r="E72" i="80" s="1"/>
  <c r="C108" i="80"/>
  <c r="F108" i="80" s="1"/>
  <c r="E68" i="80" s="1"/>
  <c r="C109" i="80"/>
  <c r="F109" i="80" s="1"/>
  <c r="E69" i="80" s="1"/>
  <c r="C113" i="80"/>
  <c r="F113" i="80" s="1"/>
  <c r="E73" i="80" s="1"/>
  <c r="C104" i="80"/>
  <c r="F104" i="80" s="1"/>
  <c r="E64" i="80" s="1"/>
  <c r="K66" i="34"/>
  <c r="D106" i="6"/>
  <c r="G84" i="34"/>
  <c r="G15" i="59"/>
  <c r="G69" i="56" l="1"/>
  <c r="G72" i="56"/>
  <c r="G71" i="56"/>
  <c r="G70" i="56"/>
  <c r="G75" i="56"/>
  <c r="D112" i="6"/>
  <c r="D124" i="6" s="1"/>
  <c r="D125" i="6" s="1"/>
  <c r="C20" i="69" s="1"/>
  <c r="G76" i="56"/>
  <c r="F91" i="56"/>
  <c r="F82" i="56"/>
  <c r="F80" i="56"/>
  <c r="F83" i="56"/>
  <c r="F85" i="56"/>
  <c r="F84" i="56"/>
  <c r="F87" i="56"/>
  <c r="F88" i="56"/>
  <c r="F89" i="56"/>
  <c r="F81" i="56"/>
  <c r="F86" i="56"/>
  <c r="E91" i="56"/>
  <c r="E82" i="56"/>
  <c r="E80" i="56"/>
  <c r="E89" i="56"/>
  <c r="E81" i="56"/>
  <c r="E88" i="56"/>
  <c r="E85" i="56"/>
  <c r="E84" i="56"/>
  <c r="E86" i="56"/>
  <c r="E87" i="56"/>
  <c r="E83" i="56"/>
  <c r="I68" i="56"/>
  <c r="K68" i="56" s="1"/>
  <c r="I69" i="56"/>
  <c r="K69" i="56" s="1"/>
  <c r="I72" i="56"/>
  <c r="K72" i="56" s="1"/>
  <c r="I73" i="56"/>
  <c r="K73" i="56" s="1"/>
  <c r="I77" i="56"/>
  <c r="K77" i="56" s="1"/>
  <c r="I75" i="56"/>
  <c r="K75" i="56" s="1"/>
  <c r="I76" i="56"/>
  <c r="K76" i="56" s="1"/>
  <c r="I71" i="56"/>
  <c r="K71" i="56" s="1"/>
  <c r="I74" i="56"/>
  <c r="K74" i="56" s="1"/>
  <c r="I70" i="56"/>
  <c r="K70" i="56" s="1"/>
  <c r="E49" i="80"/>
  <c r="E50" i="80"/>
  <c r="F44" i="76"/>
  <c r="C14" i="69"/>
  <c r="C79" i="80"/>
  <c r="F79" i="80" s="1"/>
  <c r="C64" i="80" s="1"/>
  <c r="C81" i="80"/>
  <c r="F81" i="80" s="1"/>
  <c r="C66" i="80" s="1"/>
  <c r="C80" i="80"/>
  <c r="F80" i="80" s="1"/>
  <c r="C65" i="80" s="1"/>
  <c r="C88" i="80"/>
  <c r="F88" i="80" s="1"/>
  <c r="C73" i="80" s="1"/>
  <c r="C87" i="80"/>
  <c r="F87" i="80" s="1"/>
  <c r="C72" i="80" s="1"/>
  <c r="C85" i="80"/>
  <c r="F85" i="80" s="1"/>
  <c r="C70" i="80" s="1"/>
  <c r="C86" i="80"/>
  <c r="F86" i="80" s="1"/>
  <c r="C71" i="80" s="1"/>
  <c r="C83" i="80"/>
  <c r="F83" i="80" s="1"/>
  <c r="C68" i="80" s="1"/>
  <c r="C84" i="80"/>
  <c r="F84" i="80" s="1"/>
  <c r="C69" i="80" s="1"/>
  <c r="C82" i="80"/>
  <c r="F82" i="80" s="1"/>
  <c r="C67" i="80" s="1"/>
  <c r="I90" i="56"/>
  <c r="G44" i="76"/>
  <c r="G45" i="76" s="1"/>
  <c r="M66" i="34"/>
  <c r="K84" i="34"/>
  <c r="E39" i="80"/>
  <c r="E40" i="80"/>
  <c r="E56" i="80"/>
  <c r="E55" i="80"/>
  <c r="E42" i="80"/>
  <c r="E41" i="80"/>
  <c r="E43" i="80"/>
  <c r="E44" i="80"/>
  <c r="E52" i="80"/>
  <c r="E51" i="80"/>
  <c r="E48" i="80"/>
  <c r="E47" i="80"/>
  <c r="E38" i="80"/>
  <c r="E37" i="80"/>
  <c r="E46" i="80"/>
  <c r="E45" i="80"/>
  <c r="G73" i="56"/>
  <c r="E53" i="80"/>
  <c r="E54" i="80"/>
  <c r="G77" i="56"/>
  <c r="K23" i="56"/>
  <c r="K48" i="56" s="1"/>
  <c r="G87" i="56" l="1"/>
  <c r="F19" i="5" s="1"/>
  <c r="G19" i="5" s="1"/>
  <c r="G88" i="56"/>
  <c r="G83" i="56"/>
  <c r="F15" i="5" s="1"/>
  <c r="G15" i="5" s="1"/>
  <c r="K78" i="56"/>
  <c r="G86" i="56"/>
  <c r="F18" i="5" s="1"/>
  <c r="G18" i="5" s="1"/>
  <c r="G81" i="56"/>
  <c r="F13" i="5" s="1"/>
  <c r="G13" i="5" s="1"/>
  <c r="G78" i="56"/>
  <c r="D55" i="80"/>
  <c r="G55" i="80" s="1"/>
  <c r="C20" i="84" s="1"/>
  <c r="D56" i="80"/>
  <c r="G56" i="80" s="1"/>
  <c r="D20" i="84" s="1"/>
  <c r="C15" i="69"/>
  <c r="F45" i="76"/>
  <c r="G84" i="56"/>
  <c r="F16" i="5" s="1"/>
  <c r="G16" i="5" s="1"/>
  <c r="D38" i="80"/>
  <c r="G38" i="80" s="1"/>
  <c r="D11" i="84" s="1"/>
  <c r="D37" i="80"/>
  <c r="G37" i="80" s="1"/>
  <c r="C11" i="84" s="1"/>
  <c r="G85" i="56"/>
  <c r="F17" i="5" s="1"/>
  <c r="G17" i="5" s="1"/>
  <c r="P66" i="34"/>
  <c r="M84" i="34"/>
  <c r="D42" i="80"/>
  <c r="G42" i="80" s="1"/>
  <c r="D13" i="84" s="1"/>
  <c r="D41" i="80"/>
  <c r="G41" i="80" s="1"/>
  <c r="C13" i="84" s="1"/>
  <c r="G89" i="56"/>
  <c r="F21" i="5" s="1"/>
  <c r="G21" i="5" s="1"/>
  <c r="D47" i="80"/>
  <c r="G47" i="80" s="1"/>
  <c r="C16" i="84" s="1"/>
  <c r="D48" i="80"/>
  <c r="G48" i="80" s="1"/>
  <c r="D16" i="84" s="1"/>
  <c r="G80" i="56"/>
  <c r="F20" i="5"/>
  <c r="G20" i="5" s="1"/>
  <c r="D45" i="80"/>
  <c r="G45" i="80" s="1"/>
  <c r="C15" i="84" s="1"/>
  <c r="D46" i="80"/>
  <c r="G46" i="80" s="1"/>
  <c r="D15" i="84" s="1"/>
  <c r="G82" i="56"/>
  <c r="F14" i="5" s="1"/>
  <c r="G14" i="5" s="1"/>
  <c r="D39" i="80"/>
  <c r="G39" i="80" s="1"/>
  <c r="C12" i="84" s="1"/>
  <c r="D40" i="80"/>
  <c r="G40" i="80" s="1"/>
  <c r="D12" i="84" s="1"/>
  <c r="I91" i="56"/>
  <c r="I80" i="56"/>
  <c r="K80" i="56" s="1"/>
  <c r="I89" i="56"/>
  <c r="K89" i="56" s="1"/>
  <c r="I81" i="56"/>
  <c r="K81" i="56" s="1"/>
  <c r="I86" i="56"/>
  <c r="K86" i="56" s="1"/>
  <c r="I88" i="56"/>
  <c r="K88" i="56" s="1"/>
  <c r="I82" i="56"/>
  <c r="K82" i="56" s="1"/>
  <c r="I84" i="56"/>
  <c r="K84" i="56" s="1"/>
  <c r="I85" i="56"/>
  <c r="K85" i="56" s="1"/>
  <c r="I83" i="56"/>
  <c r="K83" i="56" s="1"/>
  <c r="I87" i="56"/>
  <c r="K87" i="56" s="1"/>
  <c r="D51" i="80"/>
  <c r="G51" i="80" s="1"/>
  <c r="C18" i="84" s="1"/>
  <c r="D52" i="80"/>
  <c r="G52" i="80" s="1"/>
  <c r="D18" i="84" s="1"/>
  <c r="D44" i="80"/>
  <c r="G44" i="80" s="1"/>
  <c r="D14" i="84" s="1"/>
  <c r="D43" i="80"/>
  <c r="G43" i="80" s="1"/>
  <c r="C14" i="84" s="1"/>
  <c r="D50" i="80"/>
  <c r="G50" i="80" s="1"/>
  <c r="D17" i="84" s="1"/>
  <c r="D49" i="80"/>
  <c r="G49" i="80" s="1"/>
  <c r="C17" i="84" s="1"/>
  <c r="D53" i="80"/>
  <c r="G53" i="80" s="1"/>
  <c r="C19" i="84" s="1"/>
  <c r="D54" i="80"/>
  <c r="G54" i="80" s="1"/>
  <c r="D19" i="84" s="1"/>
  <c r="K90" i="56" l="1"/>
  <c r="K91" i="56" s="1"/>
  <c r="C16" i="69"/>
  <c r="P84" i="34"/>
  <c r="G90" i="56"/>
  <c r="G91" i="56" s="1"/>
  <c r="F12" i="5"/>
  <c r="G12" i="5" l="1"/>
  <c r="F22" i="5" a="1"/>
  <c r="F22" i="5" s="1"/>
  <c r="C24" i="69"/>
  <c r="C27" i="69"/>
  <c r="C21" i="69"/>
  <c r="G22" i="5" l="1"/>
  <c r="E47" i="59" l="1"/>
  <c r="G16" i="59"/>
  <c r="G47" i="5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B15" authorId="0" shapeId="0" xr:uid="{DCCF768F-B9AC-4581-95EC-4FD3C918BFE3}">
      <text>
        <r>
          <rPr>
            <sz val="10"/>
            <color indexed="81"/>
            <rFont val="Tahoma"/>
            <family val="2"/>
          </rPr>
          <t>These cells will display if "Scheme pipeline" is chosen in Cover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C23" authorId="0" shapeId="0" xr:uid="{7384D1C8-ADCA-4EF3-A9A9-E4AA9E925E67}">
      <text>
        <r>
          <rPr>
            <sz val="9"/>
            <color indexed="81"/>
            <rFont val="Tahoma"/>
            <family val="2"/>
          </rPr>
          <t>The sum of percentages should not be greater than 100%. If above 100%, the cell will be shaded red. If less than 100%, it will be shaded in light red.</t>
        </r>
      </text>
    </comment>
    <comment ref="C35" authorId="0" shapeId="0" xr:uid="{164EB292-06AC-44FE-BEA6-EFDEECCCE0AB}">
      <text>
        <r>
          <rPr>
            <sz val="9"/>
            <color indexed="81"/>
            <rFont val="Tahoma"/>
            <family val="2"/>
          </rPr>
          <t>The sum of percentages should not be greater than 100%. If above 100%, the cell will be shaded red. If less than 100%, it will be shaded in light red.</t>
        </r>
      </text>
    </comment>
    <comment ref="C47" authorId="0" shapeId="0" xr:uid="{4D67B928-C106-4DC4-BF5A-9D72B7F6B58A}">
      <text>
        <r>
          <rPr>
            <sz val="9"/>
            <color indexed="81"/>
            <rFont val="Tahoma"/>
            <family val="2"/>
          </rPr>
          <t>The sum of percentages should not be greater than 100%. If above 100%, the cell will be shaded red. If less than 100%, it will be shaded in light red.</t>
        </r>
      </text>
    </comment>
    <comment ref="C66" authorId="0" shapeId="0" xr:uid="{2254BD0B-22DC-4453-A697-0FA819E11948}">
      <text>
        <r>
          <rPr>
            <sz val="9"/>
            <color indexed="81"/>
            <rFont val="Tahoma"/>
            <family val="2"/>
          </rPr>
          <t>The sum of percentages should not be greater than 100%. If above 100%, the cell will be shaded red. If less than 100%, it will be shaded in light red.</t>
        </r>
      </text>
    </comment>
    <comment ref="C78" authorId="0" shapeId="0" xr:uid="{2795F8D1-8447-4AEC-8F15-4183DFCF0564}">
      <text>
        <r>
          <rPr>
            <sz val="9"/>
            <color indexed="81"/>
            <rFont val="Tahoma"/>
            <family val="2"/>
          </rPr>
          <t>The sum of percentages should not be greater than 100%. If above 100%, the cell will be shaded red. If less than 100%, it will be shaded in light red.</t>
        </r>
      </text>
    </comment>
    <comment ref="C90" authorId="0" shapeId="0" xr:uid="{5940A63A-A19B-43B9-9AD6-62AFE2246289}">
      <text>
        <r>
          <rPr>
            <sz val="9"/>
            <color indexed="81"/>
            <rFont val="Tahoma"/>
            <family val="2"/>
          </rPr>
          <t>The sum of percentages should not be greater than 100%. If above 100%, the cell will be shaded red. If less than 100%, it will be shaded in light red.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Zhang, Cathy</author>
  </authors>
  <commentList>
    <comment ref="D19" authorId="0" shapeId="0" xr:uid="{30EF2E99-0323-4CCF-8756-9B8B15207157}">
      <text>
        <r>
          <rPr>
            <sz val="9"/>
            <color indexed="81"/>
            <rFont val="Tahoma"/>
            <family val="2"/>
          </rPr>
          <t>This item only to be used for periods from the implementation of the revised accounting standard on leases AASB16</t>
        </r>
      </text>
    </comment>
    <comment ref="D27" authorId="0" shapeId="0" xr:uid="{D18C68CB-4CBD-4038-A4DD-3295871AC954}">
      <text>
        <r>
          <rPr>
            <sz val="9"/>
            <color indexed="81"/>
            <rFont val="Tahoma"/>
            <family val="2"/>
          </rPr>
          <t>This item only to be used for periods from the implementation of the revised accounting standard on leases AASB16</t>
        </r>
      </text>
    </comment>
    <comment ref="D34" authorId="0" shapeId="0" xr:uid="{853D57E0-9C41-4092-82A8-C656F9D77AB7}">
      <text>
        <r>
          <rPr>
            <sz val="9"/>
            <color indexed="81"/>
            <rFont val="Tahoma"/>
            <family val="2"/>
          </rPr>
          <t>This item only to be used for periods from the implementation of the revised accounting standard on leases AASB16</t>
        </r>
      </text>
    </comment>
    <comment ref="D35" authorId="1" shapeId="0" xr:uid="{2F458A63-1A3E-45C6-ACB5-0E726183A923}">
      <text>
        <r>
          <rPr>
            <sz val="9"/>
            <color indexed="81"/>
            <rFont val="Tahoma"/>
            <family val="2"/>
          </rPr>
          <t xml:space="preserve">This item should not be greater than </t>
        </r>
        <r>
          <rPr>
            <i/>
            <sz val="9"/>
            <color indexed="81"/>
            <rFont val="Tahoma"/>
            <family val="2"/>
          </rPr>
          <t xml:space="preserve">Revenue </t>
        </r>
        <r>
          <rPr>
            <sz val="9"/>
            <color indexed="81"/>
            <rFont val="Tahoma"/>
            <family val="2"/>
          </rPr>
          <t>within the year. If incorrect figure is recorded, the cell will be shaded red.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B31" authorId="0" shapeId="0" xr:uid="{D1154A86-DFA1-4BE8-8931-0427B9C9C41C}">
      <text>
        <r>
          <rPr>
            <sz val="9"/>
            <color indexed="81"/>
            <rFont val="Tahoma"/>
            <family val="2"/>
          </rPr>
          <t>This item should not be greater than 100%. If above 100%, the cell will be shaded red. If less than 100%, it will be shaded in light red.</t>
        </r>
      </text>
    </comment>
  </commentList>
</comments>
</file>

<file path=xl/sharedStrings.xml><?xml version="1.0" encoding="utf-8"?>
<sst xmlns="http://schemas.openxmlformats.org/spreadsheetml/2006/main" count="16999" uniqueCount="917">
  <si>
    <t>Gas Pipeline Operator</t>
  </si>
  <si>
    <t>Part 10 Financial Reporting Template</t>
  </si>
  <si>
    <t xml:space="preserve">This template is to be uploaded by a Gas Pipeline Operator to its website to fulfil its annual reporting obligations. </t>
  </si>
  <si>
    <t>Basis of preparation document is to be uploaded alongside this financial template, providing assumptions, methodologies, and other relevant information.</t>
  </si>
  <si>
    <t>Colour coding of input sheets:</t>
  </si>
  <si>
    <t>Light Blue / Dark Blue = AER instructions / headings</t>
  </si>
  <si>
    <t>Orange = Input cells</t>
  </si>
  <si>
    <t>Grey = Not applicable/No inputs required</t>
  </si>
  <si>
    <t>Leave coloured cells blank if no information exists - PLEASE DO NOT ENTER TEXT unless specifically requested to do so.</t>
  </si>
  <si>
    <t>All dollar amounts are to be unrounded, and in nominal terms.</t>
  </si>
  <si>
    <t>Service provider:</t>
  </si>
  <si>
    <t xml:space="preserve">Australian business number: </t>
  </si>
  <si>
    <t>Pipeline name:</t>
  </si>
  <si>
    <t>Type of regulated pipeline:</t>
  </si>
  <si>
    <t>Reporting period start date:</t>
  </si>
  <si>
    <t>Reporting period end date:</t>
  </si>
  <si>
    <t xml:space="preserve">Publication date of this financial report: </t>
  </si>
  <si>
    <t>Reported information is current as at:</t>
  </si>
  <si>
    <t>Has any information in this template been amended since last published within this current reporting period?</t>
  </si>
  <si>
    <t>Basis of preparation ID</t>
  </si>
  <si>
    <t>Business address</t>
  </si>
  <si>
    <t>Address</t>
  </si>
  <si>
    <t>Suburb</t>
  </si>
  <si>
    <t>State</t>
  </si>
  <si>
    <t>Postcode</t>
  </si>
  <si>
    <t>Postal address</t>
  </si>
  <si>
    <t>Contact name/s</t>
  </si>
  <si>
    <t>Contact phone/s</t>
  </si>
  <si>
    <t>Contact email address/s</t>
  </si>
  <si>
    <t xml:space="preserve">Year ending </t>
  </si>
  <si>
    <t>CONTENTS</t>
  </si>
  <si>
    <t>SUMMARY</t>
  </si>
  <si>
    <t>Financial summary</t>
  </si>
  <si>
    <t>Data visualisation</t>
  </si>
  <si>
    <t>Pricing benchmarks summary</t>
  </si>
  <si>
    <t>1. PIPELINE INFORMATION</t>
  </si>
  <si>
    <t>2. REVENUE AND EXPENSES</t>
  </si>
  <si>
    <t>2.1 Profit &amp; Loss by component</t>
  </si>
  <si>
    <t>2.2 Allocation to pipeline services</t>
  </si>
  <si>
    <t xml:space="preserve">2.3 Revenue contributions </t>
  </si>
  <si>
    <t>2.4 Indirect revenue</t>
  </si>
  <si>
    <t>2.5 Shared expenses</t>
  </si>
  <si>
    <t>3.1 ASSET VALUE - DEPRICIATED BOOK VALUE METHOD (DBVM)</t>
  </si>
  <si>
    <t>3.3 Asset useful life</t>
  </si>
  <si>
    <t>3.2 ASSET VALUE - REGULATORY ASSET BASE (RAB)</t>
  </si>
  <si>
    <t>3.4 Asset impairment</t>
  </si>
  <si>
    <t>3.5 Depreciation amortisation</t>
  </si>
  <si>
    <t>3.6 Shared supporting assets</t>
  </si>
  <si>
    <t>4. ASSET VALUE - RECOVERED CAPITAL METHOD (RCM)</t>
  </si>
  <si>
    <t>4.1 Pipelines capex</t>
  </si>
  <si>
    <t>5. HISTORICAL DEMAND</t>
  </si>
  <si>
    <t>6. PRICING TEMPLATE</t>
  </si>
  <si>
    <t>Part 10 Financial Reporting</t>
  </si>
  <si>
    <t>All numbers are expressed in $nominal.</t>
  </si>
  <si>
    <t>Profit and loss (Table 2.1.1)</t>
  </si>
  <si>
    <t>Total</t>
  </si>
  <si>
    <t>Direct revenue</t>
  </si>
  <si>
    <t>Indirect revenue allocated</t>
  </si>
  <si>
    <t>Total revenue</t>
  </si>
  <si>
    <t>Direct expenses</t>
  </si>
  <si>
    <t>Shared expenses allocated</t>
  </si>
  <si>
    <t>Total expenses</t>
  </si>
  <si>
    <t>Earnings before interest and tax (EBIT)</t>
  </si>
  <si>
    <t xml:space="preserve">Depreciated book value method (Table 3.1.1 for Non-scheme pipelines) </t>
  </si>
  <si>
    <t>Value as at current reporting period</t>
  </si>
  <si>
    <t xml:space="preserve">Total assets </t>
  </si>
  <si>
    <t>Return on assets</t>
  </si>
  <si>
    <t xml:space="preserve">Regulatory Asset Base (Table 3.2.1 for Scheme pipelines) </t>
  </si>
  <si>
    <t>Recovered capital method  (Table 4.1)</t>
  </si>
  <si>
    <t>Total assets</t>
  </si>
  <si>
    <t>Revenue &amp; Expense allocation to pipeline services</t>
  </si>
  <si>
    <t>Historical demand</t>
  </si>
  <si>
    <t>Price benchmarks</t>
  </si>
  <si>
    <t>Total cost per unit</t>
  </si>
  <si>
    <t>Measurement unit</t>
  </si>
  <si>
    <t>Low</t>
  </si>
  <si>
    <t>High</t>
  </si>
  <si>
    <t>Firm forward haul transportation service</t>
  </si>
  <si>
    <t>$/GJ/day of Pipeline MDQ</t>
  </si>
  <si>
    <t>Backhaul service</t>
  </si>
  <si>
    <t>Interruptible or as available transportation service</t>
  </si>
  <si>
    <t>Firm stand-alone compression service</t>
  </si>
  <si>
    <t>Interruptible or as available stand-alone compression service</t>
  </si>
  <si>
    <t>Park service</t>
  </si>
  <si>
    <t>Park and loan services</t>
  </si>
  <si>
    <t>Capacity trading service</t>
  </si>
  <si>
    <t>$/GJ of MDQ traded</t>
  </si>
  <si>
    <t>In pipe trading service</t>
  </si>
  <si>
    <t>$/GJ traded</t>
  </si>
  <si>
    <t>Other</t>
  </si>
  <si>
    <t>Pipeline information</t>
  </si>
  <si>
    <t>Table 1.1: Pipeline details</t>
  </si>
  <si>
    <t>Pipeline location</t>
  </si>
  <si>
    <t>Pipeline length (kilometres)</t>
  </si>
  <si>
    <t>Number of customers</t>
  </si>
  <si>
    <t>Service type</t>
  </si>
  <si>
    <t>Pipeline nameplate capacity</t>
  </si>
  <si>
    <t>Construction date</t>
  </si>
  <si>
    <t>Table 1.2: Pipeline services provided</t>
  </si>
  <si>
    <t>Service description</t>
  </si>
  <si>
    <t>Provided to non related parties</t>
  </si>
  <si>
    <t>Provided to related parties</t>
  </si>
  <si>
    <t>Transportation services</t>
  </si>
  <si>
    <t>Backhaul services</t>
  </si>
  <si>
    <t>Stand-alone compression services</t>
  </si>
  <si>
    <t>Storage services</t>
  </si>
  <si>
    <t>Park services</t>
  </si>
  <si>
    <t>Trading services</t>
  </si>
  <si>
    <t>Other (please specify)</t>
  </si>
  <si>
    <t>other service (insert description)</t>
  </si>
  <si>
    <t>Revenue and expenses</t>
  </si>
  <si>
    <t>Table 2.1:  Statement of pipeline revenue and expenses by service</t>
  </si>
  <si>
    <t>Basis of Preparation ID</t>
  </si>
  <si>
    <t>Description</t>
  </si>
  <si>
    <t>Earnings before interest and tax (EBIT) by service</t>
  </si>
  <si>
    <t>$ nominal</t>
  </si>
  <si>
    <t>Revenue</t>
  </si>
  <si>
    <t>Expenses</t>
  </si>
  <si>
    <t>Total net revenue</t>
  </si>
  <si>
    <t>Total Expenses</t>
  </si>
  <si>
    <t>Profit &amp; Loss statement by component</t>
  </si>
  <si>
    <t>Table 2.1.1:  Statement of pipeline revenue and expenses by component</t>
  </si>
  <si>
    <t>Current reporting period</t>
  </si>
  <si>
    <t>Previous reporting period</t>
  </si>
  <si>
    <t>Amounts excluding related party transactions</t>
  </si>
  <si>
    <t>Related party transactions</t>
  </si>
  <si>
    <t>Direct revenue by pipeline</t>
  </si>
  <si>
    <t>Total service revenue</t>
  </si>
  <si>
    <t>Customer contribution revenue</t>
  </si>
  <si>
    <t>Government contribution revenue</t>
  </si>
  <si>
    <t>Profit from sale of fixed assets</t>
  </si>
  <si>
    <t>Other direct revenue</t>
  </si>
  <si>
    <t>Total direct revenue by pipeline</t>
  </si>
  <si>
    <t>Indirect revenue allocated to pipeline</t>
  </si>
  <si>
    <t>Other indirect revenue</t>
  </si>
  <si>
    <t>Total indirect revenue by pipeline</t>
  </si>
  <si>
    <t>Total revenue by pipeline</t>
  </si>
  <si>
    <t>Direct expenses by pipeline</t>
  </si>
  <si>
    <t>Repairs and maintenance</t>
  </si>
  <si>
    <t>Wages</t>
  </si>
  <si>
    <t xml:space="preserve">Depreciation </t>
  </si>
  <si>
    <t>Insurance</t>
  </si>
  <si>
    <t>Licence and regulatory costs</t>
  </si>
  <si>
    <t>Directly attributable finance charges</t>
  </si>
  <si>
    <t>Leasing and rental costs</t>
  </si>
  <si>
    <t>Other direct expenses</t>
  </si>
  <si>
    <t>Total direct expenses by pipeline</t>
  </si>
  <si>
    <t>Shared expenses by pipeline</t>
  </si>
  <si>
    <t>Employee expenses</t>
  </si>
  <si>
    <t>Information technology and communication costs</t>
  </si>
  <si>
    <t>Indirect operating expenses</t>
  </si>
  <si>
    <t xml:space="preserve">Shared asset depreciation </t>
  </si>
  <si>
    <t>Rental and leasing costs</t>
  </si>
  <si>
    <t>Borrowing costs</t>
  </si>
  <si>
    <t>Loss from sale of shared fixed assets</t>
  </si>
  <si>
    <t>Impairment losses (nature of the impairment loss)</t>
  </si>
  <si>
    <t>Other shared expenses</t>
  </si>
  <si>
    <t>Total shared expenses allocated to pipeline</t>
  </si>
  <si>
    <t>Total expenses by pipeline</t>
  </si>
  <si>
    <t>Allocation to pipeline services</t>
  </si>
  <si>
    <t>Table 2.2.1:  Revenue by service</t>
  </si>
  <si>
    <t>Reporting period</t>
  </si>
  <si>
    <t>Allocation to pipeline service</t>
  </si>
  <si>
    <t>%</t>
  </si>
  <si>
    <t>Direct revenue (excl. capital contributions)</t>
  </si>
  <si>
    <t>Total direct revenue (excl. capital contributions)</t>
  </si>
  <si>
    <t>Capital contributions</t>
  </si>
  <si>
    <t>Total capital contributions</t>
  </si>
  <si>
    <t>Total indirect revenue</t>
  </si>
  <si>
    <t>Table 2.2.2:  Expenses by service</t>
  </si>
  <si>
    <t>Direct expenses (excl. depreciation)</t>
  </si>
  <si>
    <t>Total direct expenses (excl. depreciation)</t>
  </si>
  <si>
    <t>Depreciation</t>
  </si>
  <si>
    <t>Total depreciation</t>
  </si>
  <si>
    <t>Shared expenses allocated (excl. depreciation)</t>
  </si>
  <si>
    <t>Total shared expenses (excl. depreciation)</t>
  </si>
  <si>
    <t>Revenue contributions</t>
  </si>
  <si>
    <t>Table 2.3.1: Customer contributions received</t>
  </si>
  <si>
    <t>Table 2.3.2: Government contributions received</t>
  </si>
  <si>
    <t>Source</t>
  </si>
  <si>
    <t xml:space="preserve">Total </t>
  </si>
  <si>
    <t>Indirect revenue</t>
  </si>
  <si>
    <t>Please ensure allocation methodologies are explained in sufficient detail in the Basis of Preparation as required under the Guideline.</t>
  </si>
  <si>
    <t>Table 2.4.1: Indirect revenue allocation</t>
  </si>
  <si>
    <t xml:space="preserve">Description </t>
  </si>
  <si>
    <t>Indirect revenue excluding related parties</t>
  </si>
  <si>
    <t>Indirect revenue from related parties</t>
  </si>
  <si>
    <t>% allocated to pipeline</t>
  </si>
  <si>
    <t>Total allocated to pipeline excluding related parties</t>
  </si>
  <si>
    <t>Total related party amounts allocated to pipeline</t>
  </si>
  <si>
    <t>Total amounts allocated to pipeline</t>
  </si>
  <si>
    <t>(list each individual revenue item)</t>
  </si>
  <si>
    <t>Shared expenses</t>
  </si>
  <si>
    <t>Table 2.5.1: Shared expense allocation</t>
  </si>
  <si>
    <t>Income statement account applied to</t>
  </si>
  <si>
    <t>Shared expenses excluding related parties</t>
  </si>
  <si>
    <t>Shared expenses paid to related parties</t>
  </si>
  <si>
    <t xml:space="preserve"> (list each individual cost)</t>
  </si>
  <si>
    <t>Asset value - Depreciated Book Value Method (DBVM) (For Non-scheme pipeline only)</t>
  </si>
  <si>
    <t xml:space="preserve">This template is for a non-indexed asset value based on the Australian Accounting Standards, featuring allowances for acquisition costs and asset impairments, for non-scheme pipelines.
</t>
  </si>
  <si>
    <t>Table 3.1.1: Pipeline assets (DBVM)</t>
  </si>
  <si>
    <t>Pipeline assets</t>
  </si>
  <si>
    <t xml:space="preserve">Pipelines </t>
  </si>
  <si>
    <t>Opening Cost Base</t>
  </si>
  <si>
    <t>Additions</t>
  </si>
  <si>
    <t>Capitalised maintenance or improvements</t>
  </si>
  <si>
    <t>Total capitalised pipeline construction costs</t>
  </si>
  <si>
    <t>Depreciation (excl. impairment)</t>
  </si>
  <si>
    <t>Impairment losses</t>
  </si>
  <si>
    <t>Disposals or early termination (at cost)</t>
  </si>
  <si>
    <t>Closing pipelines carrying value</t>
  </si>
  <si>
    <t xml:space="preserve">Compressors </t>
  </si>
  <si>
    <t>Closing compressors carrying value</t>
  </si>
  <si>
    <t xml:space="preserve">City Gates, supply regulators and valve stations </t>
  </si>
  <si>
    <t>Closing city gates, supply regulators and valve stations carrying value</t>
  </si>
  <si>
    <t xml:space="preserve">Metering </t>
  </si>
  <si>
    <t xml:space="preserve">Additions </t>
  </si>
  <si>
    <t>Closing metering carrying value</t>
  </si>
  <si>
    <t xml:space="preserve">Odorant plants </t>
  </si>
  <si>
    <t>Closing odorant plants carrying value</t>
  </si>
  <si>
    <t xml:space="preserve">SCADA (Communications) </t>
  </si>
  <si>
    <t>Closing SCADA carrying value</t>
  </si>
  <si>
    <t xml:space="preserve">Buildings </t>
  </si>
  <si>
    <t>Closing buildings carrying value</t>
  </si>
  <si>
    <t>Land and easements</t>
  </si>
  <si>
    <t>Closing land and easements carrying value</t>
  </si>
  <si>
    <t>Other depreciable pipeline assets</t>
  </si>
  <si>
    <t>Closing other depreciable pipeline assets carrying value</t>
  </si>
  <si>
    <t xml:space="preserve">Leased assets </t>
  </si>
  <si>
    <t>Depreciation (Amortisation) (excl. impairment)</t>
  </si>
  <si>
    <t>Closing leased asset carrying value</t>
  </si>
  <si>
    <t>Other non-depreciable pipeline assets</t>
  </si>
  <si>
    <t>Closing other non-depreciable pipeline assets carrying value</t>
  </si>
  <si>
    <t>Total pipeline assets</t>
  </si>
  <si>
    <t>Shared supporting assets allocated</t>
  </si>
  <si>
    <t>Shared property, plant and equipment</t>
  </si>
  <si>
    <t>Closing shared property, plant and equipment carrying value</t>
  </si>
  <si>
    <t>Shared leased assets</t>
  </si>
  <si>
    <t>Closing leased assets carrying value</t>
  </si>
  <si>
    <t xml:space="preserve">Inventories </t>
  </si>
  <si>
    <t>Deferred tax assets</t>
  </si>
  <si>
    <r>
      <t>Other</t>
    </r>
    <r>
      <rPr>
        <b/>
        <sz val="10"/>
        <color indexed="10"/>
        <rFont val="Arial"/>
        <family val="2"/>
      </rPr>
      <t xml:space="preserve"> </t>
    </r>
    <r>
      <rPr>
        <b/>
        <sz val="10"/>
        <color indexed="51"/>
        <rFont val="Arial"/>
        <family val="2"/>
      </rPr>
      <t>assets</t>
    </r>
  </si>
  <si>
    <t xml:space="preserve">Total shared supporting assets allocated </t>
  </si>
  <si>
    <t>TOTAL ASSETS</t>
  </si>
  <si>
    <t>Table 3.1.2:  Initial costs of pipeline assets (DBVM)</t>
  </si>
  <si>
    <t>Date RAB estabilished</t>
  </si>
  <si>
    <t>Asset value - Regulatory Asset Base (RAB) (For Scheme pipeline only)</t>
  </si>
  <si>
    <t>This template is for a non-indexed asset value derived from a regulator-determined initial regulatory asset base and capital expenditure with straight-line depreciation, for scheme pipelines.</t>
  </si>
  <si>
    <t>Table 3.2.1: Pipeline assets (RAB)</t>
  </si>
  <si>
    <t>Year</t>
  </si>
  <si>
    <t xml:space="preserve"> Pipelines </t>
  </si>
  <si>
    <t>$</t>
  </si>
  <si>
    <t xml:space="preserve"> Nominal Opening Regulatory Asset Base  </t>
  </si>
  <si>
    <t xml:space="preserve"> Nominal Capex </t>
  </si>
  <si>
    <t xml:space="preserve"> Total capitalised pipeline construction costs </t>
  </si>
  <si>
    <t xml:space="preserve"> Less Asset disposal (at cost) </t>
  </si>
  <si>
    <t xml:space="preserve"> Less Nominal Actual Regulatory Depreciation  </t>
  </si>
  <si>
    <t xml:space="preserve"> Closing pipeline carrying value </t>
  </si>
  <si>
    <t xml:space="preserve"> Compressors </t>
  </si>
  <si>
    <t xml:space="preserve"> Additions and improvements capitalised </t>
  </si>
  <si>
    <t xml:space="preserve"> Less Depreciation of compressors </t>
  </si>
  <si>
    <t xml:space="preserve"> Less Disposal (at cost) </t>
  </si>
  <si>
    <t xml:space="preserve"> Closing compressors carrying value </t>
  </si>
  <si>
    <t xml:space="preserve"> City Gates, supply regulators and valve stations </t>
  </si>
  <si>
    <t xml:space="preserve"> Improvements capitalised </t>
  </si>
  <si>
    <t xml:space="preserve"> Less Depreciation of city gates, supply regulators and valve stations </t>
  </si>
  <si>
    <t xml:space="preserve"> Closing city gates, supply regulators and valve stations carrying value </t>
  </si>
  <si>
    <t xml:space="preserve"> Metering </t>
  </si>
  <si>
    <t xml:space="preserve"> Less Depreciation of metering </t>
  </si>
  <si>
    <t xml:space="preserve"> Closing Metering </t>
  </si>
  <si>
    <t xml:space="preserve"> Odorant plants </t>
  </si>
  <si>
    <t xml:space="preserve"> Less Depreciation of odourant plants </t>
  </si>
  <si>
    <t xml:space="preserve"> Closing odourant plants carrying value </t>
  </si>
  <si>
    <t xml:space="preserve"> SCADA (Communications) </t>
  </si>
  <si>
    <t xml:space="preserve"> Less Depreciation of SCADA </t>
  </si>
  <si>
    <t xml:space="preserve"> Closing SCADA carrying value </t>
  </si>
  <si>
    <t xml:space="preserve"> Buildings </t>
  </si>
  <si>
    <t xml:space="preserve"> Less Depreciation of buildings </t>
  </si>
  <si>
    <t xml:space="preserve"> Closing buildings carrying value </t>
  </si>
  <si>
    <t xml:space="preserve"> Land and easements </t>
  </si>
  <si>
    <t xml:space="preserve"> Less Depreciation of land and easement </t>
  </si>
  <si>
    <t xml:space="preserve"> Closing land and easements carrying value </t>
  </si>
  <si>
    <t xml:space="preserve"> Other depreciable pipeline assets </t>
  </si>
  <si>
    <t xml:space="preserve"> Less Depreciation/amortisation </t>
  </si>
  <si>
    <t xml:space="preserve"> Closing other depreciable pipeline assets carrying value </t>
  </si>
  <si>
    <t xml:space="preserve"> Leased pipeline assets </t>
  </si>
  <si>
    <t xml:space="preserve"> Closing leased pipeline assets carrying value </t>
  </si>
  <si>
    <t xml:space="preserve"> Total pipeline assets </t>
  </si>
  <si>
    <t xml:space="preserve"> Shared supporting assets (RAB)</t>
  </si>
  <si>
    <t xml:space="preserve"> Less Shared property, plant and equipment depreciation </t>
  </si>
  <si>
    <t xml:space="preserve"> Less disposals of shared supporting assets </t>
  </si>
  <si>
    <t xml:space="preserve"> Closing shared property, plant and equipment </t>
  </si>
  <si>
    <t xml:space="preserve"> Shared leased assets </t>
  </si>
  <si>
    <t xml:space="preserve"> Closing shared leased assets carrying value </t>
  </si>
  <si>
    <t xml:space="preserve"> Opening other assets </t>
  </si>
  <si>
    <t xml:space="preserve"> Change in other assets </t>
  </si>
  <si>
    <t xml:space="preserve"> Closing other assets </t>
  </si>
  <si>
    <t xml:space="preserve"> Total shared supporting assets allocated </t>
  </si>
  <si>
    <t xml:space="preserve"> TOTAL ASSETS </t>
  </si>
  <si>
    <t>Asset useful life</t>
  </si>
  <si>
    <t>Table 3.3.1: Asset useful life</t>
  </si>
  <si>
    <t>Description (list each individual  balance sheet item)</t>
  </si>
  <si>
    <t>Commission date (provide a range)</t>
  </si>
  <si>
    <t xml:space="preserve">Useful life </t>
  </si>
  <si>
    <t>Reason for choosing this useful life</t>
  </si>
  <si>
    <t>years</t>
  </si>
  <si>
    <t xml:space="preserve">insert asset description </t>
  </si>
  <si>
    <t>Asset impairment</t>
  </si>
  <si>
    <t>Table 3.4.1: Assets impaired</t>
  </si>
  <si>
    <t>Asset description</t>
  </si>
  <si>
    <t>Category</t>
  </si>
  <si>
    <t>Impairment amount $ nominal</t>
  </si>
  <si>
    <t>Impairment date</t>
  </si>
  <si>
    <t>Basis for impairment</t>
  </si>
  <si>
    <t>Table 3.4.2: Asset impairment reversals</t>
  </si>
  <si>
    <t>Prior Impairment amount 
$ nominal</t>
  </si>
  <si>
    <t>Reversal amount
$nominal</t>
  </si>
  <si>
    <t>Reversal date</t>
  </si>
  <si>
    <t>Basis for Reversal</t>
  </si>
  <si>
    <t>Depreciation amortisation</t>
  </si>
  <si>
    <t>Modify cost adjustment column if accelerated depreciation is applicable.</t>
  </si>
  <si>
    <t>Table 3.5.1: Pipeline assets at cost</t>
  </si>
  <si>
    <t>Acquisition date (provide a range)</t>
  </si>
  <si>
    <t>Useful life</t>
  </si>
  <si>
    <t>Estimated residual value</t>
  </si>
  <si>
    <t>Current year additions</t>
  </si>
  <si>
    <t>Current year capitalised maintenance or improvements</t>
  </si>
  <si>
    <t>Current year disposals or Early termination</t>
  </si>
  <si>
    <t>Cost base</t>
  </si>
  <si>
    <t>% Cost adjustment for accelerated depreciation (if applicable)</t>
  </si>
  <si>
    <t>Adjusted cost base</t>
  </si>
  <si>
    <t>Prior years' accumulated depreciation</t>
  </si>
  <si>
    <r>
      <t xml:space="preserve">Current year </t>
    </r>
    <r>
      <rPr>
        <b/>
        <sz val="10"/>
        <color indexed="9"/>
        <rFont val="Arial"/>
        <family val="2"/>
      </rPr>
      <t>depreciation</t>
    </r>
  </si>
  <si>
    <t>Written down value</t>
  </si>
  <si>
    <t>Years</t>
  </si>
  <si>
    <t>Table 3.5.2: Shared assets at cost</t>
  </si>
  <si>
    <t>Acquisition date</t>
  </si>
  <si>
    <t>Current year depreciation</t>
  </si>
  <si>
    <t>Total fixed assets</t>
  </si>
  <si>
    <t>Shared supporting assets</t>
  </si>
  <si>
    <t>Please ensure allocation methodologies are explained in sufficient detail within the Basis of Preparation as required under the Guideline.</t>
  </si>
  <si>
    <t>Table 3.6.1: Shared supporting asset allocation</t>
  </si>
  <si>
    <t>Description (list each individual shared asset category greater than 5%)</t>
  </si>
  <si>
    <t>Category of shared assets</t>
  </si>
  <si>
    <t>Total amount</t>
  </si>
  <si>
    <t>Total allocated to pipeline</t>
  </si>
  <si>
    <t>Asset value - Recovered Capital Method (RCM)</t>
  </si>
  <si>
    <t>This template is for a non-indexed asset value based on original construction costs and “depreciation” based on a notional cash-flow based “return of capital” approach, for non-scheme pipelines.</t>
  </si>
  <si>
    <t>Table 4.1: Pipeline assets (RCM)</t>
  </si>
  <si>
    <t>Drag and drop columns if required</t>
  </si>
  <si>
    <t>Construction cost</t>
  </si>
  <si>
    <t>Residual Value</t>
  </si>
  <si>
    <t>Maintenance capitalised</t>
  </si>
  <si>
    <t>Disposal (at cost)</t>
  </si>
  <si>
    <t>Leased Asset</t>
  </si>
  <si>
    <t>Pipeline assets cost base</t>
  </si>
  <si>
    <t>Shared assets</t>
  </si>
  <si>
    <t>Construction cost or acquisition cost (where allowed) apportioned</t>
  </si>
  <si>
    <t>Shared assets cost base</t>
  </si>
  <si>
    <t>Return of capital</t>
  </si>
  <si>
    <t>Operating expenses</t>
  </si>
  <si>
    <t>Net tax liabilities</t>
  </si>
  <si>
    <t>Leased Asset Interest/Financing Charge</t>
  </si>
  <si>
    <t>Return on capital</t>
  </si>
  <si>
    <t>Total Return of Capital</t>
  </si>
  <si>
    <t>Recovered capital method total asset value</t>
  </si>
  <si>
    <t>For information</t>
  </si>
  <si>
    <t>Opening asset value</t>
  </si>
  <si>
    <t>Rate of return (WACC)</t>
  </si>
  <si>
    <t>Table 4.2: Pipeline details</t>
  </si>
  <si>
    <t>Pipeline capital expenditure</t>
  </si>
  <si>
    <t>Please report all historical expansions/extensions in table 4.1.2, regardless of value.
Please ensure all extensions/expansions in the next 12 months that have advanced to the "Final Investment Decision" stage are comprehensively reported in table 4.1.3.</t>
  </si>
  <si>
    <t>Table 4.1.1: Capital expenditure greater than 5% of construction cost</t>
  </si>
  <si>
    <t>Description of works</t>
  </si>
  <si>
    <t>Date recognised</t>
  </si>
  <si>
    <t>Expenditure ($ nominal)</t>
  </si>
  <si>
    <t>Total expenditure</t>
  </si>
  <si>
    <t>Table 4.1.2: Historical expansions and extensions</t>
  </si>
  <si>
    <t>Table 4.1.3: Planned expansions and extensions of capacity</t>
  </si>
  <si>
    <t>Description of the matter</t>
  </si>
  <si>
    <t>Proposed commissioning date, or a range of dates</t>
  </si>
  <si>
    <t>Expected end date, or a range of dates</t>
  </si>
  <si>
    <t>Facility's proposed nameplate rating, or the estimated likely range during affected period</t>
  </si>
  <si>
    <t>Proposed expenditure (if available, required for publicly announced expansions)</t>
  </si>
  <si>
    <t>GJ/day</t>
  </si>
  <si>
    <t>Total proposed expenditure</t>
  </si>
  <si>
    <t>For information required to be published on the Gas Bulletin Board, please provide a publicly available link on their website to the relevant part of the Gas Bulletin Board.</t>
  </si>
  <si>
    <t>Table 5.1: Historical demand information</t>
  </si>
  <si>
    <t>Description of the information</t>
  </si>
  <si>
    <t>Publicly available link on Gas Bulletin Board</t>
  </si>
  <si>
    <t>Table 5.2: Demand by pipeline service</t>
  </si>
  <si>
    <t>Contracted MDQ</t>
  </si>
  <si>
    <t>TJ/day</t>
  </si>
  <si>
    <t>Table 5.3: Daily demand</t>
  </si>
  <si>
    <t>Contracted firm capacity-transportation</t>
  </si>
  <si>
    <t>Contracted firm capacity-storage</t>
  </si>
  <si>
    <t>Utilised capacity</t>
  </si>
  <si>
    <t>Available capacity-total</t>
  </si>
  <si>
    <t>Available capacity-firm</t>
  </si>
  <si>
    <t>Available contracted capacity</t>
  </si>
  <si>
    <t xml:space="preserve"> -</t>
  </si>
  <si>
    <t>Pricing template</t>
  </si>
  <si>
    <t>All numbers are expressed in $nominal</t>
  </si>
  <si>
    <t>Please input the percentages of asset value allocated to each services, and the indexes provided by AER. Please ensure to include any necessary explanation in the Basis of Preparation of the allocation methodologies, or if alternative index is used.
The cost-based pricing benchmarks is calculated based on three elements. The basic logics of the methodology would be explained in the handbook.</t>
  </si>
  <si>
    <t>6.1 Inputs</t>
  </si>
  <si>
    <t>Service provider inputs</t>
  </si>
  <si>
    <t>AER inputs</t>
  </si>
  <si>
    <t>Asset allocation to pipeline service</t>
  </si>
  <si>
    <t>Average regulatory return on debt</t>
  </si>
  <si>
    <t>Gearing</t>
  </si>
  <si>
    <t>Statutory tax rate</t>
  </si>
  <si>
    <t>Gamma</t>
  </si>
  <si>
    <t>Average regulatory rate of return</t>
  </si>
  <si>
    <t>6.2 Pricing benchmarks</t>
  </si>
  <si>
    <t>Fixed operating costs per unit</t>
  </si>
  <si>
    <t>Return of capital per unit</t>
  </si>
  <si>
    <t>Return on capital &amp; Tax per unit</t>
  </si>
  <si>
    <t>6.3 Elements calculated</t>
  </si>
  <si>
    <t>Summary</t>
  </si>
  <si>
    <t>2 Fixed operating costs</t>
  </si>
  <si>
    <t>3 Return of capital</t>
  </si>
  <si>
    <t>3 Return on capital &amp; Tax</t>
  </si>
  <si>
    <t>Total costs less depreciation in Table 2.1.1 per capacity denominator</t>
  </si>
  <si>
    <t>Direct costs less depreciation in Table 2.1.1 per capacity denominator</t>
  </si>
  <si>
    <t>Total asset depreciation per capacity denominator</t>
  </si>
  <si>
    <t>Direct asset depreciation per capacity denominator</t>
  </si>
  <si>
    <t>Depreciation of RCM asset value per capacity denominator</t>
  </si>
  <si>
    <t>Based on the inferred rates of return under Depreciated book value method</t>
  </si>
  <si>
    <t>Based on the average regulatory rate of return</t>
  </si>
  <si>
    <t>Return on capital per capacity denominator</t>
  </si>
  <si>
    <t>Tax estimate per capacity denominator</t>
  </si>
  <si>
    <t>6.4 Calculation process</t>
  </si>
  <si>
    <t>Fixed operating costs</t>
  </si>
  <si>
    <t>29. Three estimates of opex per unit of capacity</t>
  </si>
  <si>
    <t>Total costs less depreciation in Table 2.1.1</t>
  </si>
  <si>
    <t>Direct costs less depreciation in Table 2.1.1</t>
  </si>
  <si>
    <t>Capacity denominator (report period) TJ</t>
  </si>
  <si>
    <t>28. Estimated remaining direct asset lives</t>
  </si>
  <si>
    <t>Depreciable direct assets in Table 3.1.1 or 3.2.1</t>
  </si>
  <si>
    <t>Estimated one-year direct asset depreciation</t>
  </si>
  <si>
    <t>Estimated remaining asset life</t>
  </si>
  <si>
    <t>30-31. Depreciation on (total: direct and shared/direct) assets per unit of capacity</t>
  </si>
  <si>
    <t>Total asset depreciation in Table 2.1.1</t>
  </si>
  <si>
    <t>Direct asset depreciation in Table 2.1.1</t>
  </si>
  <si>
    <t>32. Estimated RCM depreciation per unit of capacity</t>
  </si>
  <si>
    <t>Closing asset value based on Table 4.1</t>
  </si>
  <si>
    <t>Estimated yearly depreciation</t>
  </si>
  <si>
    <t>Return on capital &amp; Tax</t>
  </si>
  <si>
    <t>34. Estimation of taxes</t>
  </si>
  <si>
    <t>Pipeline rate of return</t>
  </si>
  <si>
    <t>Post-tax return on equity</t>
  </si>
  <si>
    <t>Estimated pretax return on equity</t>
  </si>
  <si>
    <t>Tax as a % of equity</t>
  </si>
  <si>
    <t>Tax as a % of assets</t>
  </si>
  <si>
    <t>Pre-tax rate of return</t>
  </si>
  <si>
    <t>35. Based on the inferred rates of return under Depreciated book value method</t>
  </si>
  <si>
    <t>Depreciable direct assets in Table 3.1.1 or 3.2.1 (Including Land and easements)</t>
  </si>
  <si>
    <t>Tax estimate</t>
  </si>
  <si>
    <t>36. Based on the average regulatory rate of return</t>
  </si>
  <si>
    <t>Date</t>
  </si>
  <si>
    <t>AER amendment#</t>
  </si>
  <si>
    <t>Worksheet</t>
  </si>
  <si>
    <t>Table</t>
  </si>
  <si>
    <t>Cell</t>
  </si>
  <si>
    <t>Change</t>
  </si>
  <si>
    <t>Reason</t>
  </si>
  <si>
    <t>Cover</t>
  </si>
  <si>
    <t>Column C, D, E, F, I, J, K</t>
  </si>
  <si>
    <t>adjust column width to allow more characters</t>
  </si>
  <si>
    <t>the restricted cell space precludes the complete display of service provider name</t>
  </si>
  <si>
    <t>1. Pipeline information</t>
  </si>
  <si>
    <t>C16</t>
  </si>
  <si>
    <t>change the format of cell C16 from “date” to “number”</t>
  </si>
  <si>
    <t>this cell currently displays # symbols instead of a number</t>
  </si>
  <si>
    <t>2. Revenue and expenses</t>
  </si>
  <si>
    <t>Table 2.1: Statement of pipeline revenue and expenses by service</t>
  </si>
  <si>
    <t>D12-D21, F12-F21</t>
  </si>
  <si>
    <t>update the formula</t>
  </si>
  <si>
    <t xml:space="preserve">#N/A in the cells cause the sum formula in cells D22/F22 to return an error </t>
  </si>
  <si>
    <t>Data validation lists</t>
  </si>
  <si>
    <t>Data validation lists_1</t>
  </si>
  <si>
    <t>Initial acquisition costs</t>
  </si>
  <si>
    <t>Acquisition year</t>
  </si>
  <si>
    <t xml:space="preserve">Initial construction costs </t>
  </si>
  <si>
    <t>Construction year</t>
  </si>
  <si>
    <t>Closing Regulatory Asset Base value</t>
  </si>
  <si>
    <t>Year of closing RAB set</t>
  </si>
  <si>
    <t>Inventories</t>
  </si>
  <si>
    <t>Other assets</t>
  </si>
  <si>
    <t>Amendment record</t>
  </si>
  <si>
    <t>New worksheet inserted</t>
  </si>
  <si>
    <t>AER advised of errors in the published file - the amendment record allows for errors to be corrected in a transparent manner</t>
  </si>
  <si>
    <t>F13</t>
  </si>
  <si>
    <t>Formula corrected</t>
  </si>
  <si>
    <t>Formula amended to sum both elements of 'Direct revenue' to get 'Total direct revenue'.</t>
  </si>
  <si>
    <t>3 Statement of pipeline assets</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</si>
  <si>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</si>
  <si>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</si>
  <si>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</si>
  <si>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</si>
  <si>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</si>
  <si>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</si>
  <si>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</si>
  <si>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</si>
  <si>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</si>
  <si>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</si>
  <si>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</si>
  <si>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</si>
  <si>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</si>
  <si>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</si>
  <si>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Column O</t>
  </si>
  <si>
    <t>Formula updated</t>
  </si>
  <si>
    <t>Formula updated to avoid double counting of prior years' data.</t>
  </si>
  <si>
    <t>Rows 63-67 and 74-78</t>
  </si>
  <si>
    <t>rows inserted</t>
  </si>
  <si>
    <t>New items inserted to record Leased Assets as per AASB16.</t>
  </si>
  <si>
    <t>D68:E68 and D82:E82</t>
  </si>
  <si>
    <t>Formulae updated to include leased assets</t>
  </si>
  <si>
    <t xml:space="preserve">D14, D19, D25, D31, D37, D43, D49, D59 </t>
  </si>
  <si>
    <t>Formulae corrected</t>
  </si>
  <si>
    <t>Formulae ammended to include prior year accumulated depreciation plus current year depreciation.  It was only picking up current year depreciation.</t>
  </si>
  <si>
    <t>3.1 Pipeline asset useful life</t>
  </si>
  <si>
    <t>3.1.1</t>
  </si>
  <si>
    <t>B21:F25 and B32:F37</t>
  </si>
  <si>
    <t>Allow for lease asset information</t>
  </si>
  <si>
    <t>Reporting template</t>
  </si>
  <si>
    <t>D31:F32</t>
  </si>
  <si>
    <t>Formatting - font changed from white to black colour</t>
  </si>
  <si>
    <t>To be visible.</t>
  </si>
  <si>
    <t>1.1 Financial performance</t>
  </si>
  <si>
    <t>1.1.1</t>
  </si>
  <si>
    <t>C10</t>
  </si>
  <si>
    <t>Formatting - changed from Accounting Comma to Percentage Percent</t>
  </si>
  <si>
    <t>To disclose percentage with appropriate signage</t>
  </si>
  <si>
    <t>tab renamed 3.3 Depreciation amortisation</t>
  </si>
  <si>
    <t>3.3 Depreciation amortisation</t>
  </si>
  <si>
    <t>3.3.2</t>
  </si>
  <si>
    <t>L58:L78</t>
  </si>
  <si>
    <t>Insert column</t>
  </si>
  <si>
    <t>To explicitly allow for prior period depreciation</t>
  </si>
  <si>
    <t>Row 59</t>
  </si>
  <si>
    <t>to record additions and improvements capitalised</t>
  </si>
  <si>
    <t>D58</t>
  </si>
  <si>
    <t>to only pick up initial acquisition costs</t>
  </si>
  <si>
    <t>D9:D52</t>
  </si>
  <si>
    <t>List updated</t>
  </si>
  <si>
    <t>added Leased assets to drop list</t>
  </si>
  <si>
    <t>D60:D67</t>
  </si>
  <si>
    <t>added Shared leased assets to drop list</t>
  </si>
  <si>
    <t>4 Recovered Capital</t>
  </si>
  <si>
    <t>Rows 15, 22, 29</t>
  </si>
  <si>
    <t>New items inserted to record Leased Assets</t>
  </si>
  <si>
    <t>E15, E22 and E29</t>
  </si>
  <si>
    <t>Formula added</t>
  </si>
  <si>
    <t>to sum columns F to BH for respective items</t>
  </si>
  <si>
    <t>F16:BH16 and F23:BH23</t>
  </si>
  <si>
    <t>to include Leased Assets in total</t>
  </si>
  <si>
    <t>3.3.1 and 3.3.2</t>
  </si>
  <si>
    <t>B5, B56, K7, G58, J58 and M58</t>
  </si>
  <si>
    <t>Headings updated for clarity</t>
  </si>
  <si>
    <t>A7</t>
  </si>
  <si>
    <t xml:space="preserve">Heading amended </t>
  </si>
  <si>
    <t>Spelling correction - "insructions" changed to "instructions"</t>
  </si>
  <si>
    <t xml:space="preserve">Cover </t>
  </si>
  <si>
    <t>A25:E25</t>
  </si>
  <si>
    <t>Row inserted</t>
  </si>
  <si>
    <t xml:space="preserve">To record the publication date of the reporting template </t>
  </si>
  <si>
    <t>A27:E27</t>
  </si>
  <si>
    <t xml:space="preserve">To record the date to which the reported information is current </t>
  </si>
  <si>
    <t>A29:K29</t>
  </si>
  <si>
    <t>To record whether there has been any change in the template and disclose the basis of preparation reference, if relevant</t>
  </si>
  <si>
    <t xml:space="preserve">Contents </t>
  </si>
  <si>
    <t>Hyperlink added</t>
  </si>
  <si>
    <t xml:space="preserve">Hyperlink to 'Summary' worksheet inserted. </t>
  </si>
  <si>
    <t>Worksheet inserted</t>
  </si>
  <si>
    <t xml:space="preserve">To enhance accessibility and transparency of the reported information by providing 'a quick glance' view of the key information reported in the template. </t>
  </si>
  <si>
    <t>B16, B20, B21</t>
  </si>
  <si>
    <t>To make the labelling of pipeline service categories consistent with those listed in Table 2.1.1.</t>
  </si>
  <si>
    <t>2. Revenues and expenses</t>
  </si>
  <si>
    <t>Row 12 to Row 14 /
 C12: C14</t>
  </si>
  <si>
    <t>Rows inserted</t>
  </si>
  <si>
    <t>To improve the clarity of revenue categories, ‘Customer contribution revenue’ and ‘profit from sale of fixed assets’ are removed from the ‘Total service revenue’ category under Table 2.1.1. They are now reflected in Table 2.1 instead, where ‘Direct revenue’ category is reported. 
‘Government contribution revenue’ is added as a category, consistent with the treatment for ‘Customer contribution revenue’ under the ‘Direct revenue’ category.</t>
  </si>
  <si>
    <t xml:space="preserve">F11 and I11 </t>
  </si>
  <si>
    <t xml:space="preserve">To amend the formula to sum up D11 and E11 ; and G11 and H11 respectively. </t>
  </si>
  <si>
    <t>D32:D40 and E32:E40</t>
  </si>
  <si>
    <t>To amend the formula to sum up the relevant rows in Table 2.4.1 (rows 9-35 instead of rows 9-36).</t>
  </si>
  <si>
    <t>J24</t>
  </si>
  <si>
    <t>Comment removed</t>
  </si>
  <si>
    <t>To remove a comment made inadvertantly.</t>
  </si>
  <si>
    <t>C34 and C39</t>
  </si>
  <si>
    <t>To remove uppercase in some words.</t>
  </si>
  <si>
    <t>I16</t>
  </si>
  <si>
    <t>To correctly sum up revenue categories to derive 'total direct revenue'.</t>
  </si>
  <si>
    <t>2.1 Revenue by service</t>
  </si>
  <si>
    <t>2.1.1</t>
  </si>
  <si>
    <t xml:space="preserve">C10, C21 </t>
  </si>
  <si>
    <t xml:space="preserve">To clarify that Table 2.1.1 only captures service revenue, rather than all direct revenue. </t>
  </si>
  <si>
    <t>Rows removed</t>
  </si>
  <si>
    <t xml:space="preserve">The removed categories have been moved to Table 2.1, as discussed at amendment record number 31. </t>
  </si>
  <si>
    <t>Rows 16 and 17</t>
  </si>
  <si>
    <t>Rows amended and inserted</t>
  </si>
  <si>
    <t>To split “Park and park and loan services” into two rows: “Park services” and “Park and loan services” , consistent with how service categories are presented in Table 1.2.</t>
  </si>
  <si>
    <t>Row 20</t>
  </si>
  <si>
    <t xml:space="preserve">To replace 'Distribution/transmission revenue' with 'Other pipeline services (if relevant)', consistent with how service categories are presented in Table 1.2. </t>
  </si>
  <si>
    <t>I21</t>
  </si>
  <si>
    <t>To correctly calculate the 'total service revenue'.</t>
  </si>
  <si>
    <t xml:space="preserve">2.2 Revenue contributions </t>
  </si>
  <si>
    <t>2.2.1</t>
  </si>
  <si>
    <t>E9:E14</t>
  </si>
  <si>
    <t>Formula added and formatting changed</t>
  </si>
  <si>
    <t xml:space="preserve">Added sum formula. </t>
  </si>
  <si>
    <t>2.3 Indirect revenue</t>
  </si>
  <si>
    <t>2.3.1</t>
  </si>
  <si>
    <t>E2:G4</t>
  </si>
  <si>
    <t xml:space="preserve">A prompt has been added to the worksheet to highlight the need for pipeline operators to include sufficient information in their basis of preparation to explain its allocation methodologies and the basis of its allocators. </t>
  </si>
  <si>
    <t xml:space="preserve">2.4 Shared costs </t>
  </si>
  <si>
    <t>2.4.1</t>
  </si>
  <si>
    <t>As above.</t>
  </si>
  <si>
    <t>2.4 Shared costs</t>
  </si>
  <si>
    <t xml:space="preserve">H36 &amp; I36 </t>
  </si>
  <si>
    <t>To rectify a double counting error.</t>
  </si>
  <si>
    <t>C11 and C16</t>
  </si>
  <si>
    <t>Heading renamed</t>
  </si>
  <si>
    <t>To remove upppercase in some words.</t>
  </si>
  <si>
    <t>3. Statement of pipeline assets</t>
  </si>
  <si>
    <t>C38, C44</t>
  </si>
  <si>
    <t>Spelling correction - "Odourant" changed to "Odorant"</t>
  </si>
  <si>
    <t>C8 and C81</t>
  </si>
  <si>
    <t>Heading inserted</t>
  </si>
  <si>
    <t xml:space="preserve">To improve the clarity of asset categories </t>
  </si>
  <si>
    <t>C82</t>
  </si>
  <si>
    <t xml:space="preserve">To improve the consistency of labelling between worksheets </t>
  </si>
  <si>
    <t xml:space="preserve">Column C </t>
  </si>
  <si>
    <t>Rows added and headings amended</t>
  </si>
  <si>
    <t xml:space="preserve">To improve the consistency of labelling between worksheets, each asset category other than ‘pipelines’, ‘land and easements’, ‘other non-depreciable pipeline assets’, ‘inventories’, ‘deferred tax assets’ and ‘other assets’, is amended to have the following reporting lines, consistent with the headings in Table 3.3.1 : 
- Initial construction or acquisition costs 
- Additions
- Capitalised maintenance or improvements
- Depreciation 
- Disposals or early termination (at cost)
There are also some formatting changes. </t>
  </si>
  <si>
    <t>D71 &amp; E71</t>
  </si>
  <si>
    <t>To correctly sum up the cost components that derive the carrying value of ‘other depreciable pipeline assets’.</t>
  </si>
  <si>
    <t>D88 &amp; E88</t>
  </si>
  <si>
    <t xml:space="preserve">To correctly sum up the cost components that derive the carrying value of ‘shared property, plant and equipment’ (previously labelled ‘shared supporting assets’). </t>
  </si>
  <si>
    <t>3.1 Asset useful life</t>
  </si>
  <si>
    <t>Tab renamed</t>
  </si>
  <si>
    <t xml:space="preserve">Tab is renamed  from '3.1 Pipeline asset useful life' to '3.1 Asset useful life' to be consistent with the heading of the worksheet. The worksheet does not only contain pipeline asset useful life information, but also shared assets’. </t>
  </si>
  <si>
    <t>D9:D37</t>
  </si>
  <si>
    <t xml:space="preserve">Number formatting </t>
  </si>
  <si>
    <t>To disclose numbers as short dates.</t>
  </si>
  <si>
    <t>D7</t>
  </si>
  <si>
    <t>To correct spelling mistake: "Acqusition" changed to "Acquisition"</t>
  </si>
  <si>
    <t>3.2 Asset impairment</t>
  </si>
  <si>
    <t xml:space="preserve">Tab is renamed  from '3.2 Pipeline asset impairment' to '3.2 Asset impairment' to be consistent with the heading of the worksheet. The worksheet does not only contain pipeline asset impairment information, but also shared assets’. </t>
  </si>
  <si>
    <t>3.2.1 and 3.2.2</t>
  </si>
  <si>
    <t>D8:D22, D28:D54, G28:G54,</t>
  </si>
  <si>
    <t>H7 and G58</t>
  </si>
  <si>
    <t>J7 and I58</t>
  </si>
  <si>
    <t>G53</t>
  </si>
  <si>
    <t>To rectify a missing formula.</t>
  </si>
  <si>
    <t>F9:F52 and F60:F77</t>
  </si>
  <si>
    <t xml:space="preserve">To disclose numbers to the nearest whole number. </t>
  </si>
  <si>
    <t>N7, M58</t>
  </si>
  <si>
    <t>The heading has been amended to make it clear that depreciation for the current reporting period does not include accumulated depreciation for the prior years.</t>
  </si>
  <si>
    <t>The dropdown box values have been amended to match the asset categories terms used on worksheet 3.</t>
  </si>
  <si>
    <t>D60:D77</t>
  </si>
  <si>
    <t>3.4 Shared supporting assets</t>
  </si>
  <si>
    <t>3.4.1</t>
  </si>
  <si>
    <t>D9:D40</t>
  </si>
  <si>
    <t xml:space="preserve">3.4 Shared supporting assets </t>
  </si>
  <si>
    <t>4. Recovered capital</t>
  </si>
  <si>
    <t>Minor punctuation amendment.</t>
  </si>
  <si>
    <t>Background amended</t>
  </si>
  <si>
    <t>Background amended to white, consistent with the rest of the template worksheets.</t>
  </si>
  <si>
    <t>E11</t>
  </si>
  <si>
    <t xml:space="preserve">To revise the formula to sum F11:BH11, consistent with the formula of other cost compoenents that make up the 'cost base'. </t>
  </si>
  <si>
    <t>Rows 33 and 34</t>
  </si>
  <si>
    <t>To disclose opening asset value and rate of return (WACC) of each year.</t>
  </si>
  <si>
    <t>E25</t>
  </si>
  <si>
    <t>Formula deleted</t>
  </si>
  <si>
    <t>Formula not required.</t>
  </si>
  <si>
    <t>F31:BH31</t>
  </si>
  <si>
    <t>Previous sum formula included row 25 which is not an input cell</t>
  </si>
  <si>
    <t>F8:BH8</t>
  </si>
  <si>
    <t xml:space="preserve">To adjust the formula to display year numbers that would allow for cross-referencing in the Summary tab. </t>
  </si>
  <si>
    <t>D18</t>
  </si>
  <si>
    <t>To correct spelling error - "Acqusition" changed to "Acquisition"</t>
  </si>
  <si>
    <t>5. Weighted average price</t>
  </si>
  <si>
    <t>Column B</t>
  </si>
  <si>
    <t>Column added</t>
  </si>
  <si>
    <t xml:space="preserve">To disclose the reference to the basis of preparation where pipeline operator may have explained the basis of allocation between pipelines and service types. </t>
  </si>
  <si>
    <t>Column D</t>
  </si>
  <si>
    <t>To provide clarity on whether there has been any use of estimates by the pipeline operator to allocate revenue between pipelines and service types.</t>
  </si>
  <si>
    <t>B2:E3</t>
  </si>
  <si>
    <t>To insert Heading "Year ending XX/XX/XXXX", consistent with the strucure of other worksheets in the template.</t>
  </si>
  <si>
    <t>F10: BJ10</t>
  </si>
  <si>
    <t xml:space="preserve">To clarify the unit measurement the data is supposed to be expressed in. </t>
  </si>
  <si>
    <t>G10, N10, U10, AA10, AG10, AN10, AT10, AZ10, BF10</t>
  </si>
  <si>
    <t>Comment box inserted</t>
  </si>
  <si>
    <t>To provide guidance that MDQ Total TJ shall be reported as the sum of MDQ's over the reporting period in TJs</t>
  </si>
  <si>
    <t>All worksheets</t>
  </si>
  <si>
    <t xml:space="preserve">All data points expressed in dollars terms have been formatted to remove decimal points (except for weighted average prices) and to express negative values in brackets. </t>
  </si>
  <si>
    <t>Source:</t>
  </si>
  <si>
    <t>Report</t>
  </si>
  <si>
    <t>Company</t>
  </si>
  <si>
    <t>Ledger</t>
  </si>
  <si>
    <t>ACTUALS</t>
  </si>
  <si>
    <t>Book</t>
  </si>
  <si>
    <t>Period</t>
  </si>
  <si>
    <t>Multi Company Filter</t>
  </si>
  <si>
    <t>Report last ran on</t>
  </si>
  <si>
    <t>Ledger Account</t>
  </si>
  <si>
    <t>5500:GAIN/(LOSS) ON THE FIXED ASSETS DISPOSAL</t>
  </si>
  <si>
    <t>APA FIN - WORKDAY WORKSHEET FOR JOURNAL SUMMARY - CCM AND ASSET VIEW</t>
  </si>
  <si>
    <t>Ledger accounts</t>
  </si>
  <si>
    <t>Journal Accounting Month</t>
  </si>
  <si>
    <t>Company ID</t>
  </si>
  <si>
    <t>Journal Source</t>
  </si>
  <si>
    <t>APA Asset ID</t>
  </si>
  <si>
    <t>APA Asset</t>
  </si>
  <si>
    <t>Cost Center ID</t>
  </si>
  <si>
    <t>Cost Center</t>
  </si>
  <si>
    <t>Ledger Account ID</t>
  </si>
  <si>
    <t>Spend Category ID</t>
  </si>
  <si>
    <t>Spend Category</t>
  </si>
  <si>
    <t>Revenue Category ID</t>
  </si>
  <si>
    <t>Revenue Category</t>
  </si>
  <si>
    <t>Part 10 Category</t>
  </si>
  <si>
    <t>Supplier</t>
  </si>
  <si>
    <t>Customer</t>
  </si>
  <si>
    <t>Ledger/Budget Debit minus Credit</t>
  </si>
  <si>
    <t>2024-11</t>
  </si>
  <si>
    <t>2025-06</t>
  </si>
  <si>
    <t>2024-07</t>
  </si>
  <si>
    <t>Customer Invoice</t>
  </si>
  <si>
    <t>2024-08</t>
  </si>
  <si>
    <t>2024-09</t>
  </si>
  <si>
    <t>2024-10</t>
  </si>
  <si>
    <t>2024-12</t>
  </si>
  <si>
    <t>2025-01</t>
  </si>
  <si>
    <t>2025-02</t>
  </si>
  <si>
    <t>2025-03</t>
  </si>
  <si>
    <t>2025-04</t>
  </si>
  <si>
    <t>2025-05</t>
  </si>
  <si>
    <t>Manual Journal</t>
  </si>
  <si>
    <t>N/A</t>
  </si>
  <si>
    <t>Customer contribution</t>
  </si>
  <si>
    <t>Shared corporate operating expense</t>
  </si>
  <si>
    <t>Non-scheme pipeline</t>
  </si>
  <si>
    <t>No</t>
  </si>
  <si>
    <t>Sydney</t>
  </si>
  <si>
    <t>NSW</t>
  </si>
  <si>
    <t>PO Box R41</t>
  </si>
  <si>
    <t>Royal Exchange</t>
  </si>
  <si>
    <t>Andrew Nairn (General Manager Investor Relations)</t>
  </si>
  <si>
    <t>+61 (03) 8416 2887</t>
  </si>
  <si>
    <t>APARegReporting@apa.com.au</t>
  </si>
  <si>
    <t>Yes</t>
  </si>
  <si>
    <t>https://aemo.com.au/energy-systems/gas/gas-bulletin-board-gbb/data-gbb/gas-flows</t>
  </si>
  <si>
    <t>RC0015 PIPELINE - LATERAL FEE - FIXED</t>
  </si>
  <si>
    <t>RC0019 PIPELINE - FIRM CAPACITY LONG TERM</t>
  </si>
  <si>
    <t>RC0018 PIPELINE - MINIMUM BILL</t>
  </si>
  <si>
    <t>RC0069 PIPELINE - IN-PIPE TRADE CHARGE</t>
  </si>
  <si>
    <t>RC0093 PIPELINE - LOAN CHARGE - INTERRUPTIBLE</t>
  </si>
  <si>
    <t>RC0060 CAPACITY TRADING &amp; AUCTION - AUCTION PROCEEDS</t>
  </si>
  <si>
    <t>RC0056 CAPACITY TRADING - MINIMUM BILL PARTICIPANT FEE</t>
  </si>
  <si>
    <t>RC0077 PIPELINE - FIRM CAPACITY DAY AHEAD/WITHIN DAY</t>
  </si>
  <si>
    <t>RC0063 PIPELINE - OVER RUNS, UNAUTHORISED</t>
  </si>
  <si>
    <t>RC0066 PIPELINE - IMBALANCE</t>
  </si>
  <si>
    <t>RC0075 PIPELINE - COMMODITY - THROUGHPUT</t>
  </si>
  <si>
    <t>4000:OPERATING REVENUE</t>
  </si>
  <si>
    <t>4004:INTER-ENTITY SALES</t>
  </si>
  <si>
    <t>4000</t>
  </si>
  <si>
    <t>4000: OPERATING REVENUE</t>
  </si>
  <si>
    <t>RC0021</t>
  </si>
  <si>
    <t>RC0021 PIPELINE - STANDING CHARGE</t>
  </si>
  <si>
    <t>A404 Carpentaria Gas Pipeline</t>
  </si>
  <si>
    <t>A405 Mica Creek Meter Station</t>
  </si>
  <si>
    <t>A406 Cannington Lateral</t>
  </si>
  <si>
    <t>A407 Mount Isa Mines Town Lateral</t>
  </si>
  <si>
    <t>Transmission</t>
  </si>
  <si>
    <t>Auction Service</t>
  </si>
  <si>
    <t>Shared lease asset depreciation</t>
  </si>
  <si>
    <t>Shared lease asset interest expense</t>
  </si>
  <si>
    <t>RC0020 PIPELINE - FIRM CAPACITY SHORT TERM</t>
  </si>
  <si>
    <t>RC0076 PIPELINE - THROUGHPUT</t>
  </si>
  <si>
    <t>RC0092 PIPELINE - PARKING CHARGE - INTERRUPTIBLE</t>
  </si>
  <si>
    <t>Queensland</t>
  </si>
  <si>
    <t>Information Technology</t>
  </si>
  <si>
    <t>RC0019</t>
  </si>
  <si>
    <t>Various</t>
  </si>
  <si>
    <t>49 080 382 387</t>
  </si>
  <si>
    <t>APT Pipelines (QLD) Pty Limited</t>
  </si>
  <si>
    <t>Carpentaria Gas Pipeline (CGP)</t>
  </si>
  <si>
    <t>C021</t>
  </si>
  <si>
    <t>A404</t>
  </si>
  <si>
    <t>A407</t>
  </si>
  <si>
    <t>A405</t>
  </si>
  <si>
    <t>C011</t>
  </si>
  <si>
    <t>A406</t>
  </si>
  <si>
    <t>C011 APT PIPELINES (QLD) PTY LIMITED</t>
  </si>
  <si>
    <t>C021 ROVERTON PTY. LTD.</t>
  </si>
  <si>
    <t>CGP AER Part 10 Workings.xlsx</t>
  </si>
  <si>
    <t>Allocation</t>
  </si>
  <si>
    <t>800407</t>
  </si>
  <si>
    <t>800407 CARPENTARIA GAS PIPELINE (CGP)_GENERAL (C011)</t>
  </si>
  <si>
    <t>RC0018</t>
  </si>
  <si>
    <t>RC0020</t>
  </si>
  <si>
    <t>RC0024</t>
  </si>
  <si>
    <t>RC0024 PIPELINE - REDIRECTION - FIRM</t>
  </si>
  <si>
    <t>RC0030</t>
  </si>
  <si>
    <t>RC0030 PIPELINE - FIRM COMPRESSION LONG TERM</t>
  </si>
  <si>
    <t>RC0056</t>
  </si>
  <si>
    <t>RC0057</t>
  </si>
  <si>
    <t>RC0057 CAPACITY TRADING - OTHER CHARGES</t>
  </si>
  <si>
    <t>RC0058</t>
  </si>
  <si>
    <t>RC0058 CAPACITY TRADING &amp; AUCTION - AUCTION CAPACITY CHARGE</t>
  </si>
  <si>
    <t>RC0060</t>
  </si>
  <si>
    <t>RC0062</t>
  </si>
  <si>
    <t>RC0062 PIPELINE - OVER RUNS, AUTHORISED</t>
  </si>
  <si>
    <t>RC0063</t>
  </si>
  <si>
    <t>RC0065</t>
  </si>
  <si>
    <t>RC0065 PIPELINE - MINIMUM BILL BALANCE</t>
  </si>
  <si>
    <t>RC0066</t>
  </si>
  <si>
    <t>RC0068</t>
  </si>
  <si>
    <t>RC0068 PIPELINE - OTHER</t>
  </si>
  <si>
    <t>RC0069</t>
  </si>
  <si>
    <t>RC0075</t>
  </si>
  <si>
    <t>RC0076</t>
  </si>
  <si>
    <t>RC0077</t>
  </si>
  <si>
    <t>RC0092</t>
  </si>
  <si>
    <t>RC0093</t>
  </si>
  <si>
    <t>RC0094</t>
  </si>
  <si>
    <t>RC0094 PIPELINE - PRESSURE SERVICES - INTERRUPTIBLE</t>
  </si>
  <si>
    <t>RC0095</t>
  </si>
  <si>
    <t>RC0095 PIPELINE - REDIRECTION - INTERRUPTIBLE</t>
  </si>
  <si>
    <t>4004</t>
  </si>
  <si>
    <t>RC0117</t>
  </si>
  <si>
    <t>RC0117 MANAGEMENT FEE CHARGE</t>
  </si>
  <si>
    <t>C-0066705 MAS - Shell Energy Australia - QLD</t>
  </si>
  <si>
    <t>C-0069045 Power &amp; Water Corp MAS GTA</t>
  </si>
  <si>
    <t>C-0112172 SWQP Southern Oil Refining GTA</t>
  </si>
  <si>
    <t>C-0221288 MAS Jinburra Trading Pty Ltd GTA</t>
  </si>
  <si>
    <t>C-0084565 AEMO CT&amp;A</t>
  </si>
  <si>
    <t>C-0086725 Chinova Resources Osbourne Pty Ltd</t>
  </si>
  <si>
    <t>C-0086726 South32 Cannington Pty Ltd</t>
  </si>
  <si>
    <t>C-0093465 Gas Transportation Agreement (Senex - Multi-Asset Service)</t>
  </si>
  <si>
    <t>C-0192287 MAS Incitec Pivot GTA</t>
  </si>
  <si>
    <t>C-0053385 MAS Strategic Gas Market Trading Pty Ltd</t>
  </si>
  <si>
    <t>C-0090205 Alinta Energy Retail Sales 85465 GTA</t>
  </si>
  <si>
    <t>C-0114218 CGP MAS Mount Isa Mines GTA</t>
  </si>
  <si>
    <t>C-0217287 MAS Agora Retail Pty Limited GTA</t>
  </si>
  <si>
    <t>C-0067065 Macquarie Multi-Asset Service</t>
  </si>
  <si>
    <t>C-3000175 DPS Operations Agreement</t>
  </si>
  <si>
    <t>800102</t>
  </si>
  <si>
    <t>800102 CANNINGTON LATERAL (CL)_GENERAL (C011)</t>
  </si>
  <si>
    <t>C-3001108 Gas Transportation Agreement (Chinova - Multi-Asset Services)</t>
  </si>
  <si>
    <t>800098</t>
  </si>
  <si>
    <t>800098 CARPENTARIA GAS PIPELINE (CGP)_GENERAL (C021)</t>
  </si>
  <si>
    <t>C-0001593 MSP Santos Direct 1593 GTA</t>
  </si>
  <si>
    <t>C-3001173 SGMT - MAS GTA</t>
  </si>
  <si>
    <t>C-0109990 Origin GTA 2023</t>
  </si>
  <si>
    <t>C-0055465 MAS QENOS</t>
  </si>
  <si>
    <t>C-3000729 MSP QENOS 55465 GTA</t>
  </si>
  <si>
    <t>C-3000401 Power &amp; Water Corporation - Multi-Asset GTA</t>
  </si>
  <si>
    <t>800100</t>
  </si>
  <si>
    <t>800100 MICA CREEK METER STATION (MCMS)_GENERAL (C021)</t>
  </si>
  <si>
    <t>800104</t>
  </si>
  <si>
    <t>800104 MOUNT ISA MINES TOWN LATERAL (MIMT)_GENERAL (C021)</t>
  </si>
  <si>
    <t>RC0015</t>
  </si>
  <si>
    <t>C-0001662 MITL - Mt Isa Town Lateral GTA</t>
  </si>
  <si>
    <t>5500</t>
  </si>
  <si>
    <t>SC95501</t>
  </si>
  <si>
    <t>Motor Vehicles</t>
  </si>
  <si>
    <t>Asset Disposal</t>
  </si>
  <si>
    <t>CGP Pipeline</t>
  </si>
  <si>
    <t>Indefinite</t>
  </si>
  <si>
    <t>1/7/1997 to 30/6/2024</t>
  </si>
  <si>
    <t>1/7/2001 to 30/6/2016</t>
  </si>
  <si>
    <t>1/7/1997 to 30/6/2023</t>
  </si>
  <si>
    <t>1/7/2006 to 30/6/2014</t>
  </si>
  <si>
    <t>1/7/1999 to 30/6/2020</t>
  </si>
  <si>
    <t>1/7/1997 to 30/6/2021</t>
  </si>
  <si>
    <t>1/7/2002 to 30/6/2025</t>
  </si>
  <si>
    <t>1/7/1996 to 30/6/2025</t>
  </si>
  <si>
    <t>1/7/1997 to 30/6/2025</t>
  </si>
  <si>
    <t>Nameplate capacity</t>
  </si>
  <si>
    <t>FY03</t>
  </si>
  <si>
    <t>FY08</t>
  </si>
  <si>
    <t>Buyout Contract - Pipeline Maintenance Agreement with Agility and Stay in Business Capital Expenditure</t>
  </si>
  <si>
    <t>FY09</t>
  </si>
  <si>
    <t>Morney Tank Compressor Station</t>
  </si>
  <si>
    <t>Davenport Downs Compressor Station</t>
  </si>
  <si>
    <t>Compressor station at Davenport Downs and Stay in Business Capital Expenditure</t>
  </si>
  <si>
    <t>Compressor station at Morney Tank and Stay in Business Capital Expenditure</t>
  </si>
  <si>
    <t>Part10 book value exceeds the Recoverable value</t>
  </si>
  <si>
    <t>Section 12</t>
  </si>
  <si>
    <t xml:space="preserve">Section 13 </t>
  </si>
  <si>
    <t>Section 17</t>
  </si>
  <si>
    <t>Section 19</t>
  </si>
  <si>
    <t>Section 21</t>
  </si>
  <si>
    <t>Section 22</t>
  </si>
  <si>
    <t>Section 24</t>
  </si>
  <si>
    <t>Section 25</t>
  </si>
  <si>
    <t>Level 10, 121 Castleraegh Street</t>
  </si>
  <si>
    <t>Section 11</t>
  </si>
  <si>
    <t>Section 16</t>
  </si>
  <si>
    <t xml:space="preserve">  </t>
  </si>
  <si>
    <t>Weighted Average Statutory Accounting Useful life</t>
  </si>
  <si>
    <t>Section 21 &amp; Section 22</t>
  </si>
  <si>
    <t>Section 15</t>
  </si>
  <si>
    <t>Section 18</t>
  </si>
  <si>
    <t>See section 24 of the Basis of Preparation document.</t>
  </si>
  <si>
    <t>119 TJ/d Northern-haul
65 TJ/d Southern-haul</t>
  </si>
  <si>
    <t>Please refer to the Basis of Preparation Addendum</t>
  </si>
  <si>
    <t>This FY25 Part 10 template is published without an assurance report. Assurance over the "Historical Demand" will be provided as part of the FY26 assurance process and will be published within this reporting template on the APA website by 30 November 2026.</t>
  </si>
  <si>
    <t>C011 APT PIPELINES (QLD) PTY LIMITED
C021 ROVERTON PTY. LTD.
C305 (J) ROVERTON CONS</t>
  </si>
  <si>
    <t>COMMON</t>
  </si>
  <si>
    <t>2025 - P12 JUN</t>
  </si>
  <si>
    <t>APA INFRA CONSOLIDATION HIERARCHY</t>
  </si>
  <si>
    <t>13/6/2000 to 30/6/2025</t>
  </si>
  <si>
    <t>1/7/2019 to 30/6/2025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</si>
</sst>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0.0"/>
    <numFmt numFmtId="167" formatCode="0.0000"/>
    <numFmt numFmtId="168" formatCode="#,##0.0"/>
    <numFmt numFmtId="169" formatCode="d/mm/yyyy;@"/>
    <numFmt numFmtId="170" formatCode="_(* #,##0.0_);_(* \(#,##0.0\);_(* &quot;-&quot;_);_(@_)"/>
    <numFmt numFmtId="171" formatCode="_(* #,##0.00_);_(* \(#,##0.00\);_(* &quot;-&quot;_);_(@_)"/>
    <numFmt numFmtId="172" formatCode="_(* #,##0.000_);_(* \(#,##0.000\);_(* &quot;-&quot;_);_(@_)"/>
    <numFmt numFmtId="173" formatCode="_(* #,##0.0000_);_(* \(#,##0.0000\);_(* &quot;-&quot;_);_(@_)"/>
    <numFmt numFmtId="174" formatCode="_(* #,##0_);_(* \(#,##0\);_(* &quot;&quot;_);_(@_)"/>
    <numFmt numFmtId="175" formatCode="d/m/yy"/>
    <numFmt numFmtId="176" formatCode="#,##0.00;\(#,##0.00\)"/>
  </numFmts>
  <fonts count="8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b/>
      <sz val="10"/>
      <color indexed="51"/>
      <name val="Arial"/>
      <family val="2"/>
    </font>
    <font>
      <sz val="10"/>
      <name val="Arial"/>
      <family val="2"/>
    </font>
    <font>
      <sz val="8"/>
      <name val="Arial"/>
      <family val="2"/>
    </font>
    <font>
      <sz val="10"/>
      <color indexed="9"/>
      <name val="Arial"/>
      <family val="2"/>
    </font>
    <font>
      <sz val="18"/>
      <name val="Arial"/>
      <family val="2"/>
    </font>
    <font>
      <sz val="18"/>
      <color indexed="62"/>
      <name val="Arial"/>
      <family val="2"/>
    </font>
    <font>
      <u/>
      <sz val="10"/>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0"/>
      <name val="Cambria"/>
      <family val="2"/>
    </font>
    <font>
      <sz val="10"/>
      <name val="Arial"/>
      <family val="2"/>
    </font>
    <font>
      <sz val="11"/>
      <name val="Arial"/>
      <family val="2"/>
    </font>
    <font>
      <b/>
      <i/>
      <sz val="10"/>
      <color indexed="9"/>
      <name val="Arial"/>
      <family val="2"/>
    </font>
    <font>
      <b/>
      <sz val="12"/>
      <color indexed="9"/>
      <name val="Arial"/>
      <family val="2"/>
    </font>
    <font>
      <sz val="9"/>
      <color indexed="81"/>
      <name val="Tahoma"/>
      <family val="2"/>
    </font>
    <font>
      <sz val="10"/>
      <name val="Arial"/>
      <family val="2"/>
    </font>
    <font>
      <b/>
      <sz val="10"/>
      <color indexed="10"/>
      <name val="Arial"/>
      <family val="2"/>
    </font>
    <font>
      <sz val="20"/>
      <name val="Arial"/>
      <family val="2"/>
    </font>
    <font>
      <sz val="20"/>
      <color indexed="18"/>
      <name val="Arial"/>
      <family val="2"/>
    </font>
    <font>
      <sz val="12"/>
      <name val="Arial"/>
      <family val="2"/>
    </font>
    <font>
      <sz val="12"/>
      <color indexed="9"/>
      <name val="Arial"/>
      <family val="2"/>
    </font>
    <font>
      <sz val="8"/>
      <name val="Malgun Gothic"/>
      <family val="2"/>
    </font>
    <font>
      <i/>
      <sz val="9"/>
      <color indexed="81"/>
      <name val="Tahoma"/>
      <family val="2"/>
    </font>
    <font>
      <sz val="10"/>
      <color indexed="81"/>
      <name val="Tahoma"/>
      <family val="2"/>
    </font>
    <font>
      <sz val="10"/>
      <color theme="1"/>
      <name val="Arial"/>
      <family val="2"/>
    </font>
    <font>
      <b/>
      <sz val="16"/>
      <color theme="0"/>
      <name val="Arial"/>
      <family val="2"/>
    </font>
    <font>
      <sz val="10"/>
      <name val="Cambria"/>
      <family val="2"/>
      <scheme val="major"/>
    </font>
    <font>
      <sz val="11"/>
      <color theme="1"/>
      <name val="Calibri"/>
      <family val="2"/>
      <scheme val="minor"/>
    </font>
    <font>
      <sz val="11"/>
      <color theme="1"/>
      <name val="Calibri"/>
      <family val="2"/>
    </font>
    <font>
      <sz val="10"/>
      <color theme="0"/>
      <name val="Arial"/>
      <family val="2"/>
    </font>
    <font>
      <b/>
      <i/>
      <sz val="10"/>
      <color theme="0"/>
      <name val="Arial"/>
      <family val="2"/>
    </font>
    <font>
      <b/>
      <sz val="10"/>
      <color theme="0"/>
      <name val="Arial"/>
      <family val="2"/>
    </font>
    <font>
      <sz val="10"/>
      <color rgb="FFFFFFFF"/>
      <name val="Arial"/>
      <family val="2"/>
    </font>
    <font>
      <b/>
      <sz val="20"/>
      <color theme="0"/>
      <name val="Arial"/>
      <family val="2"/>
    </font>
    <font>
      <sz val="20"/>
      <color theme="0"/>
      <name val="Arial"/>
      <family val="2"/>
    </font>
    <font>
      <sz val="20"/>
      <color rgb="FF17415D"/>
      <name val="Arial"/>
      <family val="2"/>
    </font>
    <font>
      <sz val="8"/>
      <color rgb="FF000000"/>
      <name val="Malgun Gothic"/>
      <family val="2"/>
    </font>
    <font>
      <sz val="11"/>
      <color rgb="FF1D1D1D"/>
      <name val="Arial"/>
      <family val="2"/>
    </font>
    <font>
      <b/>
      <sz val="10"/>
      <color theme="9"/>
      <name val="Arial"/>
      <family val="2"/>
    </font>
    <font>
      <sz val="10"/>
      <color rgb="FFFF0000"/>
      <name val="Arial"/>
      <family val="2"/>
    </font>
    <font>
      <i/>
      <sz val="12"/>
      <color theme="0"/>
      <name val="Arial"/>
      <family val="2"/>
    </font>
    <font>
      <b/>
      <sz val="12"/>
      <color theme="0"/>
      <name val="Arial"/>
      <family val="2"/>
    </font>
    <font>
      <b/>
      <sz val="12"/>
      <color rgb="FFFFFFFF"/>
      <name val="Arial"/>
      <family val="2"/>
    </font>
    <font>
      <sz val="28"/>
      <color rgb="FFFF0000"/>
      <name val="Arial"/>
      <family val="2"/>
    </font>
    <font>
      <sz val="10"/>
      <color rgb="FF000000"/>
      <name val="Arial"/>
      <family val="2"/>
    </font>
    <font>
      <sz val="12"/>
      <color rgb="FFFFFFFF"/>
      <name val="Arial"/>
      <family val="2"/>
    </font>
    <font>
      <b/>
      <sz val="20"/>
      <color rgb="FF17415D"/>
      <name val="Arial"/>
      <family val="2"/>
    </font>
    <font>
      <b/>
      <sz val="10"/>
      <color rgb="FFFFFFFF"/>
      <name val="Arial"/>
      <family val="2"/>
    </font>
    <font>
      <b/>
      <sz val="10"/>
      <color rgb="FFFF0000"/>
      <name val="Arial"/>
      <family val="2"/>
    </font>
    <font>
      <u/>
      <sz val="11"/>
      <color theme="10"/>
      <name val="Calibri"/>
      <family val="2"/>
      <scheme val="minor"/>
    </font>
    <font>
      <sz val="10"/>
      <name val="Arial"/>
      <family val="2"/>
    </font>
    <font>
      <b/>
      <sz val="10"/>
      <name val="Arial"/>
      <family val="2"/>
    </font>
    <font>
      <sz val="9"/>
      <name val="Calibri"/>
      <family val="2"/>
    </font>
    <font>
      <sz val="10"/>
      <name val="Arial"/>
      <family val="2"/>
    </font>
    <font>
      <b/>
      <sz val="10"/>
      <name val="Arial"/>
      <family val="2"/>
    </font>
    <font>
      <b/>
      <sz val="10"/>
      <color rgb="FFFFFFFF"/>
      <name val="Arial"/>
      <family val="2"/>
    </font>
    <font>
      <sz val="10"/>
      <name val="Arial"/>
      <family val="2"/>
    </font>
  </fonts>
  <fills count="46">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8"/>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theme="0" tint="-0.499984740745262"/>
        <bgColor indexed="64"/>
      </patternFill>
    </fill>
    <fill>
      <patternFill patternType="solid">
        <fgColor theme="1"/>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rgb="FF2B7AAF"/>
        <bgColor indexed="64"/>
      </patternFill>
    </fill>
    <fill>
      <patternFill patternType="solid">
        <fgColor rgb="FFFFECC9"/>
        <bgColor indexed="64"/>
      </patternFill>
    </fill>
    <fill>
      <patternFill patternType="solid">
        <fgColor rgb="FF17415D"/>
        <bgColor indexed="64"/>
      </patternFill>
    </fill>
    <fill>
      <patternFill patternType="solid">
        <fgColor rgb="FFC0C0C0"/>
        <bgColor indexed="64"/>
      </patternFill>
    </fill>
    <fill>
      <patternFill patternType="solid">
        <fgColor theme="0" tint="-0.249977111117893"/>
        <bgColor indexed="64"/>
      </patternFill>
    </fill>
    <fill>
      <patternFill patternType="solid">
        <fgColor rgb="FFFFFFFF"/>
        <bgColor indexed="64"/>
      </patternFill>
    </fill>
    <fill>
      <patternFill patternType="solid">
        <fgColor theme="0"/>
        <bgColor indexed="64"/>
      </patternFill>
    </fill>
    <fill>
      <patternFill patternType="solid">
        <fgColor rgb="FF3166AB"/>
      </patternFill>
    </fill>
    <fill>
      <patternFill patternType="solid">
        <fgColor rgb="FF0C7A5B"/>
      </patternFill>
    </fill>
    <fill>
      <patternFill patternType="solid">
        <fgColor rgb="FFFFF9E6"/>
        <bgColor indexed="64"/>
      </patternFill>
    </fill>
  </fills>
  <borders count="5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theme="4"/>
      </left>
      <right/>
      <top/>
      <bottom/>
      <diagonal/>
    </border>
    <border>
      <left/>
      <right style="thin">
        <color theme="4"/>
      </right>
      <top/>
      <bottom/>
      <diagonal/>
    </border>
    <border>
      <left style="mediumDashed">
        <color rgb="FF0875E1"/>
      </left>
      <right/>
      <top style="mediumDashed">
        <color rgb="FF0875E1"/>
      </top>
      <bottom/>
      <diagonal/>
    </border>
    <border>
      <left/>
      <right/>
      <top style="mediumDashed">
        <color rgb="FF0875E1"/>
      </top>
      <bottom/>
      <diagonal/>
    </border>
    <border>
      <left/>
      <right style="mediumDashed">
        <color rgb="FF0875E1"/>
      </right>
      <top style="mediumDashed">
        <color rgb="FF0875E1"/>
      </top>
      <bottom/>
      <diagonal/>
    </border>
    <border>
      <left style="mediumDashed">
        <color rgb="FF0875E1"/>
      </left>
      <right/>
      <top/>
      <bottom/>
      <diagonal/>
    </border>
    <border>
      <left/>
      <right style="mediumDashed">
        <color rgb="FF0875E1"/>
      </right>
      <top/>
      <bottom/>
      <diagonal/>
    </border>
    <border>
      <left style="mediumDashed">
        <color rgb="FF0875E1"/>
      </left>
      <right/>
      <top/>
      <bottom style="mediumDashed">
        <color rgb="FF0875E1"/>
      </bottom>
      <diagonal/>
    </border>
    <border>
      <left/>
      <right/>
      <top/>
      <bottom style="mediumDashed">
        <color rgb="FF0875E1"/>
      </bottom>
      <diagonal/>
    </border>
    <border>
      <left/>
      <right style="mediumDashed">
        <color rgb="FF0875E1"/>
      </right>
      <top/>
      <bottom style="mediumDashed">
        <color rgb="FF0875E1"/>
      </bottom>
      <diagonal/>
    </border>
  </borders>
  <cellStyleXfs count="286">
    <xf numFmtId="0" fontId="0" fillId="0" borderId="0"/>
    <xf numFmtId="0" fontId="10" fillId="0" borderId="0" applyNumberFormat="0" applyFill="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164" fontId="10" fillId="13" borderId="0" applyNumberFormat="0" applyFont="0" applyBorder="0" applyAlignment="0">
      <alignment horizontal="right"/>
    </xf>
    <xf numFmtId="41" fontId="10" fillId="13" borderId="0" applyNumberFormat="0" applyFont="0" applyBorder="0" applyAlignment="0">
      <alignment horizontal="right"/>
    </xf>
    <xf numFmtId="41" fontId="39"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39"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0" fontId="19" fillId="8" borderId="1" applyNumberFormat="0" applyAlignment="0" applyProtection="0"/>
    <xf numFmtId="0" fontId="19" fillId="9" borderId="1" applyNumberFormat="0" applyAlignment="0" applyProtection="0"/>
    <xf numFmtId="0" fontId="20" fillId="26" borderId="2" applyNumberFormat="0" applyAlignment="0" applyProtection="0"/>
    <xf numFmtId="0" fontId="20" fillId="27" borderId="2" applyNumberFormat="0" applyAlignment="0" applyProtection="0"/>
    <xf numFmtId="43" fontId="5" fillId="0" borderId="0" applyFont="0" applyFill="0" applyBorder="0" applyAlignment="0" applyProtection="0"/>
    <xf numFmtId="43" fontId="44" fillId="0" borderId="0" applyFont="0" applyFill="0" applyBorder="0" applyAlignment="0" applyProtection="0"/>
    <xf numFmtId="43" fontId="10" fillId="0" borderId="0" applyFont="0" applyFill="0" applyBorder="0" applyAlignment="0" applyProtection="0"/>
    <xf numFmtId="43" fontId="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4" fillId="0" borderId="0" applyFont="0" applyFill="0" applyBorder="0" applyAlignment="0" applyProtection="0"/>
    <xf numFmtId="43" fontId="10" fillId="0" borderId="0" applyFont="0" applyFill="0" applyBorder="0" applyAlignment="0" applyProtection="0"/>
    <xf numFmtId="44" fontId="44"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54" fillId="32" borderId="0">
      <alignment vertical="center"/>
    </xf>
    <xf numFmtId="49" fontId="54" fillId="33" borderId="0">
      <alignment vertical="center"/>
    </xf>
    <xf numFmtId="0" fontId="21" fillId="0" borderId="0" applyNumberFormat="0" applyFill="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3" fillId="0" borderId="3" applyNumberFormat="0" applyFill="0" applyAlignment="0" applyProtection="0"/>
    <xf numFmtId="0" fontId="24" fillId="0" borderId="4" applyNumberFormat="0" applyFill="0" applyAlignment="0" applyProtection="0"/>
    <xf numFmtId="0" fontId="25" fillId="0" borderId="5" applyNumberFormat="0" applyFill="0" applyAlignment="0" applyProtection="0"/>
    <xf numFmtId="0" fontId="25" fillId="0" borderId="0" applyNumberFormat="0" applyFill="0" applyBorder="0" applyAlignment="0" applyProtection="0"/>
    <xf numFmtId="0" fontId="15" fillId="0" borderId="0" applyNumberFormat="0" applyFill="0" applyBorder="0" applyAlignment="0" applyProtection="0">
      <alignment vertical="top"/>
      <protection locked="0"/>
    </xf>
    <xf numFmtId="0" fontId="26" fillId="4" borderId="1" applyNumberFormat="0" applyAlignment="0" applyProtection="0"/>
    <xf numFmtId="0" fontId="26" fillId="5" borderId="1" applyNumberFormat="0" applyAlignment="0" applyProtection="0"/>
    <xf numFmtId="164" fontId="5" fillId="31" borderId="0" applyFont="0" applyBorder="0" applyAlignment="0">
      <alignment horizontal="right"/>
      <protection locked="0"/>
    </xf>
    <xf numFmtId="41" fontId="10" fillId="31" borderId="0" applyFont="0" applyBorder="0" applyAlignment="0">
      <alignment horizontal="right"/>
      <protection locked="0"/>
    </xf>
    <xf numFmtId="41" fontId="39"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39"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44" fillId="31" borderId="0" applyFont="0" applyBorder="0" applyAlignment="0">
      <alignment horizontal="right"/>
      <protection locked="0"/>
    </xf>
    <xf numFmtId="41" fontId="10" fillId="31" borderId="0" applyFont="0" applyBorder="0" applyAlignment="0">
      <alignment horizontal="right"/>
      <protection locked="0"/>
    </xf>
    <xf numFmtId="165" fontId="10" fillId="30" borderId="0" applyFont="0" applyBorder="0">
      <alignment horizontal="right"/>
      <protection locked="0"/>
    </xf>
    <xf numFmtId="165" fontId="39" fillId="30" borderId="0" applyFont="0" applyBorder="0">
      <alignment horizontal="right"/>
      <protection locked="0"/>
    </xf>
    <xf numFmtId="165" fontId="10" fillId="30" borderId="0" applyFont="0" applyBorder="0">
      <alignment horizontal="right"/>
      <protection locked="0"/>
    </xf>
    <xf numFmtId="164" fontId="10" fillId="7" borderId="0" applyFont="0" applyBorder="0">
      <alignment horizontal="right"/>
      <protection locked="0"/>
    </xf>
    <xf numFmtId="41" fontId="10" fillId="7" borderId="0" applyFont="0" applyBorder="0">
      <alignment horizontal="right"/>
      <protection locked="0"/>
    </xf>
    <xf numFmtId="41" fontId="39"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39"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0" fontId="27" fillId="0" borderId="6" applyNumberFormat="0" applyFill="0" applyAlignment="0" applyProtection="0"/>
    <xf numFmtId="0" fontId="28" fillId="10" borderId="0" applyNumberFormat="0" applyBorder="0" applyAlignment="0" applyProtection="0"/>
    <xf numFmtId="0" fontId="28" fillId="11" borderId="0" applyNumberFormat="0" applyBorder="0" applyAlignment="0" applyProtection="0"/>
    <xf numFmtId="0" fontId="55" fillId="0" borderId="0"/>
    <xf numFmtId="0" fontId="38" fillId="0" borderId="0"/>
    <xf numFmtId="0" fontId="56" fillId="0" borderId="0"/>
    <xf numFmtId="0" fontId="10" fillId="0" borderId="0"/>
    <xf numFmtId="0" fontId="39" fillId="0" borderId="0"/>
    <xf numFmtId="0" fontId="10" fillId="0" borderId="0"/>
    <xf numFmtId="0" fontId="10" fillId="0" borderId="0" applyNumberFormat="0" applyFill="0" applyBorder="0" applyAlignment="0" applyProtection="0"/>
    <xf numFmtId="0" fontId="57" fillId="0" borderId="0"/>
    <xf numFmtId="0" fontId="56" fillId="0" borderId="0"/>
    <xf numFmtId="0" fontId="5" fillId="9" borderId="0"/>
    <xf numFmtId="0" fontId="5" fillId="9" borderId="0"/>
    <xf numFmtId="0" fontId="5" fillId="9" borderId="0"/>
    <xf numFmtId="0" fontId="5" fillId="0" borderId="0"/>
    <xf numFmtId="0" fontId="5" fillId="9" borderId="0"/>
    <xf numFmtId="0" fontId="10" fillId="9" borderId="0"/>
    <xf numFmtId="0" fontId="5" fillId="9" borderId="0"/>
    <xf numFmtId="0" fontId="5" fillId="9" borderId="0"/>
    <xf numFmtId="0" fontId="39" fillId="9" borderId="0"/>
    <xf numFmtId="0" fontId="5" fillId="9" borderId="0"/>
    <xf numFmtId="0" fontId="44" fillId="9" borderId="0"/>
    <xf numFmtId="0" fontId="10" fillId="6" borderId="7" applyNumberFormat="0" applyFont="0" applyAlignment="0" applyProtection="0"/>
    <xf numFmtId="0" fontId="39" fillId="7" borderId="7" applyNumberFormat="0" applyFont="0" applyAlignment="0" applyProtection="0"/>
    <xf numFmtId="0" fontId="10" fillId="7" borderId="7" applyNumberFormat="0" applyFont="0" applyAlignment="0" applyProtection="0"/>
    <xf numFmtId="0" fontId="29" fillId="8" borderId="8" applyNumberFormat="0" applyAlignment="0" applyProtection="0"/>
    <xf numFmtId="0" fontId="29" fillId="9" borderId="8" applyNumberFormat="0" applyAlignment="0" applyProtection="0"/>
    <xf numFmtId="9" fontId="5" fillId="0" borderId="0" applyFont="0" applyFill="0" applyBorder="0" applyAlignment="0" applyProtection="0"/>
    <xf numFmtId="9" fontId="4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5" fillId="0" borderId="0"/>
    <xf numFmtId="0" fontId="10" fillId="0" borderId="0"/>
    <xf numFmtId="0" fontId="39" fillId="0" borderId="0"/>
    <xf numFmtId="0" fontId="10" fillId="0" borderId="0"/>
    <xf numFmtId="0" fontId="39" fillId="0" borderId="0"/>
    <xf numFmtId="0" fontId="10" fillId="0" borderId="0"/>
    <xf numFmtId="0" fontId="44" fillId="0" borderId="0"/>
    <xf numFmtId="0" fontId="10" fillId="0" borderId="0"/>
    <xf numFmtId="0" fontId="30" fillId="0" borderId="0" applyNumberFormat="0" applyFill="0" applyBorder="0" applyAlignment="0" applyProtection="0"/>
    <xf numFmtId="0" fontId="31" fillId="0" borderId="9" applyNumberFormat="0" applyFill="0" applyAlignment="0" applyProtection="0"/>
    <xf numFmtId="0" fontId="32" fillId="0" borderId="0" applyNumberFormat="0" applyFill="0" applyBorder="0" applyAlignment="0" applyProtection="0"/>
    <xf numFmtId="0" fontId="10" fillId="0" borderId="0"/>
    <xf numFmtId="0" fontId="53" fillId="0" borderId="0"/>
    <xf numFmtId="0" fontId="4" fillId="0" borderId="0"/>
    <xf numFmtId="0" fontId="37" fillId="0" borderId="0"/>
    <xf numFmtId="0" fontId="5" fillId="0" borderId="0"/>
    <xf numFmtId="0" fontId="3" fillId="0" borderId="0"/>
    <xf numFmtId="0" fontId="78" fillId="0" borderId="0" applyNumberFormat="0" applyFill="0" applyBorder="0" applyAlignment="0" applyProtection="0"/>
    <xf numFmtId="43" fontId="79" fillId="0" borderId="0" applyFont="0" applyFill="0" applyBorder="0" applyAlignment="0" applyProtection="0"/>
    <xf numFmtId="9" fontId="79"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81" fillId="0" borderId="0"/>
    <xf numFmtId="43" fontId="81" fillId="0" borderId="0" applyFont="0" applyFill="0" applyBorder="0" applyAlignment="0" applyProtection="0"/>
    <xf numFmtId="43" fontId="5" fillId="0" borderId="0" applyFont="0" applyFill="0" applyBorder="0" applyAlignment="0" applyProtection="0"/>
    <xf numFmtId="0" fontId="5" fillId="0" borderId="0"/>
    <xf numFmtId="0" fontId="2" fillId="0" borderId="0"/>
    <xf numFmtId="0" fontId="78" fillId="0" borderId="0" applyNumberForma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3" fillId="0" borderId="0"/>
    <xf numFmtId="43" fontId="5" fillId="0" borderId="0" applyFont="0" applyFill="0" applyBorder="0" applyAlignment="0" applyProtection="0"/>
    <xf numFmtId="43" fontId="53" fillId="0" borderId="0" applyFont="0" applyFill="0" applyBorder="0" applyAlignment="0" applyProtection="0"/>
    <xf numFmtId="44" fontId="53" fillId="0" borderId="0" applyFont="0" applyFill="0" applyBorder="0" applyAlignment="0" applyProtection="0"/>
    <xf numFmtId="43" fontId="1" fillId="0" borderId="0" applyFont="0" applyFill="0" applyBorder="0" applyAlignment="0" applyProtection="0"/>
    <xf numFmtId="9" fontId="5" fillId="0" borderId="0" applyFont="0" applyFill="0" applyBorder="0" applyAlignment="0" applyProtection="0"/>
    <xf numFmtId="0" fontId="5" fillId="0" borderId="0"/>
    <xf numFmtId="43" fontId="85" fillId="0" borderId="0" applyFont="0" applyFill="0" applyBorder="0" applyAlignment="0" applyProtection="0"/>
    <xf numFmtId="9" fontId="85" fillId="0" borderId="0" applyFont="0" applyFill="0" applyBorder="0" applyAlignment="0" applyProtection="0"/>
  </cellStyleXfs>
  <cellXfs count="487">
    <xf numFmtId="0" fontId="0" fillId="0" borderId="0" xfId="0"/>
    <xf numFmtId="0" fontId="13" fillId="9" borderId="0" xfId="224" applyFont="1"/>
    <xf numFmtId="0" fontId="14" fillId="9" borderId="0" xfId="224" applyFont="1" applyAlignment="1">
      <alignment vertical="center"/>
    </xf>
    <xf numFmtId="0" fontId="13" fillId="9" borderId="0" xfId="224" applyFont="1" applyAlignment="1">
      <alignment vertical="center"/>
    </xf>
    <xf numFmtId="0" fontId="5" fillId="9" borderId="0" xfId="228"/>
    <xf numFmtId="0" fontId="0" fillId="0" borderId="0" xfId="0" applyAlignment="1">
      <alignment horizontal="center"/>
    </xf>
    <xf numFmtId="0" fontId="0" fillId="34" borderId="0" xfId="0" applyFill="1"/>
    <xf numFmtId="0" fontId="0" fillId="34" borderId="0" xfId="0" applyFill="1" applyAlignment="1">
      <alignment horizontal="center"/>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10" fillId="0" borderId="0" xfId="0" applyFont="1" applyAlignment="1">
      <alignment horizontal="center" vertical="center"/>
    </xf>
    <xf numFmtId="0" fontId="10" fillId="0" borderId="0" xfId="0" applyFont="1" applyAlignment="1">
      <alignment vertical="center"/>
    </xf>
    <xf numFmtId="0" fontId="10" fillId="0" borderId="0" xfId="0" applyFont="1" applyAlignment="1">
      <alignment vertical="center" wrapText="1"/>
    </xf>
    <xf numFmtId="0" fontId="10" fillId="0" borderId="0" xfId="0" applyFont="1"/>
    <xf numFmtId="14" fontId="10" fillId="0" borderId="0" xfId="0" applyNumberFormat="1" applyFont="1" applyAlignment="1">
      <alignment vertical="center"/>
    </xf>
    <xf numFmtId="43" fontId="0" fillId="0" borderId="0" xfId="0" applyNumberFormat="1"/>
    <xf numFmtId="164" fontId="37" fillId="13" borderId="10" xfId="78" applyNumberFormat="1" applyFont="1" applyFill="1" applyBorder="1" applyAlignment="1"/>
    <xf numFmtId="0" fontId="10" fillId="0" borderId="0" xfId="0" applyFont="1" applyAlignment="1">
      <alignment wrapText="1"/>
    </xf>
    <xf numFmtId="0" fontId="5" fillId="9" borderId="0" xfId="228" applyProtection="1">
      <protection locked="0"/>
    </xf>
    <xf numFmtId="164" fontId="10" fillId="13" borderId="10" xfId="78" applyNumberFormat="1" applyFont="1" applyFill="1" applyBorder="1" applyAlignment="1" applyProtection="1">
      <alignment horizontal="right"/>
    </xf>
    <xf numFmtId="164" fontId="7" fillId="13" borderId="10" xfId="78" applyNumberFormat="1" applyFont="1" applyFill="1" applyBorder="1" applyAlignment="1" applyProtection="1">
      <alignment horizontal="right"/>
    </xf>
    <xf numFmtId="10" fontId="7" fillId="13" borderId="10" xfId="231" applyNumberFormat="1" applyFont="1" applyFill="1" applyBorder="1" applyAlignment="1">
      <alignment horizontal="right"/>
    </xf>
    <xf numFmtId="168" fontId="10" fillId="35" borderId="10" xfId="231" applyNumberFormat="1" applyFont="1" applyFill="1" applyBorder="1"/>
    <xf numFmtId="164" fontId="10" fillId="35" borderId="10" xfId="78" applyNumberFormat="1" applyFont="1" applyFill="1" applyBorder="1" applyAlignment="1" applyProtection="1">
      <alignment horizontal="right"/>
    </xf>
    <xf numFmtId="167" fontId="12" fillId="28" borderId="0" xfId="0" applyNumberFormat="1" applyFont="1" applyFill="1" applyAlignment="1">
      <alignment horizontal="left" vertical="center" wrapText="1"/>
    </xf>
    <xf numFmtId="169" fontId="7" fillId="13" borderId="10" xfId="233" applyNumberFormat="1" applyFont="1" applyFill="1" applyBorder="1" applyAlignment="1">
      <alignment horizontal="right"/>
    </xf>
    <xf numFmtId="166" fontId="7" fillId="13" borderId="10" xfId="233" applyNumberFormat="1" applyFont="1" applyFill="1" applyBorder="1" applyAlignment="1">
      <alignment horizontal="right"/>
    </xf>
    <xf numFmtId="43" fontId="7" fillId="13" borderId="10" xfId="78" applyFont="1" applyFill="1" applyBorder="1" applyAlignment="1" applyProtection="1">
      <alignment horizontal="right"/>
    </xf>
    <xf numFmtId="49" fontId="12" fillId="36" borderId="10" xfId="228" applyNumberFormat="1" applyFont="1" applyFill="1" applyBorder="1" applyAlignment="1">
      <alignment horizontal="left"/>
    </xf>
    <xf numFmtId="49" fontId="58" fillId="36" borderId="10" xfId="228" applyNumberFormat="1" applyFont="1" applyFill="1" applyBorder="1" applyAlignment="1">
      <alignment horizontal="left"/>
    </xf>
    <xf numFmtId="2" fontId="35" fillId="36" borderId="11" xfId="229" applyNumberFormat="1" applyFont="1" applyFill="1" applyBorder="1" applyAlignment="1">
      <alignment horizontal="left" vertical="center" wrapText="1"/>
    </xf>
    <xf numFmtId="167" fontId="12" fillId="36" borderId="10" xfId="228" quotePrefix="1" applyNumberFormat="1" applyFont="1" applyFill="1" applyBorder="1" applyAlignment="1">
      <alignment vertical="center" wrapText="1"/>
    </xf>
    <xf numFmtId="49" fontId="35" fillId="36" borderId="10" xfId="228" applyNumberFormat="1" applyFont="1" applyFill="1" applyBorder="1" applyAlignment="1">
      <alignment horizontal="center" vertical="center" wrapText="1"/>
    </xf>
    <xf numFmtId="167" fontId="41" fillId="36" borderId="10" xfId="228" quotePrefix="1" applyNumberFormat="1" applyFont="1" applyFill="1" applyBorder="1" applyAlignment="1">
      <alignment horizontal="left" vertical="center" wrapText="1"/>
    </xf>
    <xf numFmtId="167" fontId="58" fillId="36" borderId="10" xfId="228" quotePrefix="1" applyNumberFormat="1" applyFont="1" applyFill="1" applyBorder="1" applyAlignment="1">
      <alignment horizontal="left" vertical="center" wrapText="1" indent="1"/>
    </xf>
    <xf numFmtId="167" fontId="59" fillId="36" borderId="10" xfId="228" quotePrefix="1" applyNumberFormat="1" applyFont="1" applyFill="1" applyBorder="1" applyAlignment="1">
      <alignment horizontal="left" vertical="center" wrapText="1"/>
    </xf>
    <xf numFmtId="49" fontId="58" fillId="36" borderId="10" xfId="228" applyNumberFormat="1" applyFont="1" applyFill="1" applyBorder="1" applyAlignment="1">
      <alignment horizontal="left" indent="1"/>
    </xf>
    <xf numFmtId="49" fontId="58" fillId="36" borderId="10" xfId="232" applyNumberFormat="1" applyFont="1" applyFill="1" applyBorder="1" applyAlignment="1">
      <alignment horizontal="left" vertical="center" wrapText="1" indent="1"/>
    </xf>
    <xf numFmtId="167" fontId="35" fillId="36" borderId="10" xfId="228" quotePrefix="1" applyNumberFormat="1" applyFont="1" applyFill="1" applyBorder="1" applyAlignment="1">
      <alignment horizontal="center" vertical="center" wrapText="1"/>
    </xf>
    <xf numFmtId="2" fontId="35" fillId="36" borderId="10" xfId="228" applyNumberFormat="1" applyFont="1" applyFill="1" applyBorder="1" applyAlignment="1">
      <alignment horizontal="center" vertical="center" wrapText="1"/>
    </xf>
    <xf numFmtId="2" fontId="12" fillId="36" borderId="10" xfId="78" applyNumberFormat="1" applyFont="1" applyFill="1" applyBorder="1" applyAlignment="1" applyProtection="1">
      <alignment horizontal="center"/>
    </xf>
    <xf numFmtId="49" fontId="12" fillId="36" borderId="10" xfId="228" applyNumberFormat="1" applyFont="1" applyFill="1" applyBorder="1"/>
    <xf numFmtId="49" fontId="35" fillId="36" borderId="10" xfId="228" applyNumberFormat="1" applyFont="1" applyFill="1" applyBorder="1" applyAlignment="1">
      <alignment horizontal="left"/>
    </xf>
    <xf numFmtId="49" fontId="12" fillId="36" borderId="10" xfId="228" applyNumberFormat="1" applyFont="1" applyFill="1" applyBorder="1" applyAlignment="1">
      <alignment horizontal="left" wrapText="1"/>
    </xf>
    <xf numFmtId="49" fontId="35" fillId="36" borderId="12" xfId="228" applyNumberFormat="1" applyFont="1" applyFill="1" applyBorder="1" applyAlignment="1">
      <alignment horizontal="center" vertical="center" wrapText="1"/>
    </xf>
    <xf numFmtId="49" fontId="35" fillId="36" borderId="13" xfId="228" applyNumberFormat="1" applyFont="1" applyFill="1" applyBorder="1" applyAlignment="1">
      <alignment horizontal="center" vertical="center" wrapText="1"/>
    </xf>
    <xf numFmtId="49" fontId="35" fillId="36" borderId="10" xfId="231" applyNumberFormat="1" applyFont="1" applyFill="1" applyBorder="1" applyAlignment="1">
      <alignment horizontal="center" vertical="center" wrapText="1"/>
    </xf>
    <xf numFmtId="164" fontId="35" fillId="36" borderId="10" xfId="231" applyNumberFormat="1" applyFont="1" applyFill="1" applyBorder="1" applyAlignment="1">
      <alignment horizontal="right" vertical="center" wrapText="1"/>
    </xf>
    <xf numFmtId="49" fontId="35" fillId="36" borderId="10" xfId="231" applyNumberFormat="1" applyFont="1" applyFill="1" applyBorder="1" applyAlignment="1">
      <alignment horizontal="center"/>
    </xf>
    <xf numFmtId="166" fontId="12" fillId="36" borderId="14" xfId="78" applyNumberFormat="1" applyFont="1" applyFill="1" applyBorder="1" applyAlignment="1" applyProtection="1">
      <alignment horizontal="right" vertical="center"/>
    </xf>
    <xf numFmtId="49" fontId="35" fillId="36" borderId="10" xfId="231" applyNumberFormat="1" applyFont="1" applyFill="1" applyBorder="1" applyAlignment="1">
      <alignment horizontal="right" vertical="center" wrapText="1"/>
    </xf>
    <xf numFmtId="49" fontId="35" fillId="36" borderId="14" xfId="231" applyNumberFormat="1" applyFont="1" applyFill="1" applyBorder="1" applyAlignment="1">
      <alignment horizontal="center"/>
    </xf>
    <xf numFmtId="49" fontId="12" fillId="36" borderId="10" xfId="228" applyNumberFormat="1" applyFont="1" applyFill="1" applyBorder="1" applyAlignment="1">
      <alignment wrapText="1"/>
    </xf>
    <xf numFmtId="167" fontId="35" fillId="36" borderId="10" xfId="229" quotePrefix="1" applyNumberFormat="1" applyFont="1" applyFill="1" applyBorder="1" applyAlignment="1">
      <alignment horizontal="center" vertical="center" wrapText="1"/>
    </xf>
    <xf numFmtId="2" fontId="35" fillId="36" borderId="11" xfId="229" applyNumberFormat="1" applyFont="1" applyFill="1" applyBorder="1" applyAlignment="1">
      <alignment horizontal="center" vertical="center" wrapText="1"/>
    </xf>
    <xf numFmtId="2" fontId="60" fillId="36" borderId="11" xfId="229" applyNumberFormat="1" applyFont="1" applyFill="1" applyBorder="1" applyAlignment="1">
      <alignment horizontal="left" vertical="center" wrapText="1"/>
    </xf>
    <xf numFmtId="41" fontId="12" fillId="36" borderId="15" xfId="229" applyNumberFormat="1" applyFont="1" applyFill="1" applyBorder="1" applyAlignment="1">
      <alignment horizontal="left" indent="1"/>
    </xf>
    <xf numFmtId="41" fontId="9" fillId="36" borderId="15" xfId="229" applyNumberFormat="1" applyFont="1" applyFill="1" applyBorder="1"/>
    <xf numFmtId="164" fontId="35" fillId="36" borderId="10" xfId="231" applyNumberFormat="1" applyFont="1" applyFill="1" applyBorder="1" applyAlignment="1">
      <alignment horizontal="center" vertical="center" wrapText="1"/>
    </xf>
    <xf numFmtId="167" fontId="35" fillId="36" borderId="10" xfId="233" applyNumberFormat="1" applyFont="1" applyFill="1" applyBorder="1" applyAlignment="1">
      <alignment horizontal="center" vertical="center" wrapText="1"/>
    </xf>
    <xf numFmtId="49" fontId="35" fillId="36" borderId="10" xfId="233" applyNumberFormat="1" applyFont="1" applyFill="1" applyBorder="1" applyAlignment="1">
      <alignment horizontal="center" vertical="center" wrapText="1"/>
    </xf>
    <xf numFmtId="49" fontId="60" fillId="36" borderId="10" xfId="233" applyNumberFormat="1" applyFont="1" applyFill="1" applyBorder="1" applyAlignment="1">
      <alignment horizontal="center" vertical="center" wrapText="1"/>
    </xf>
    <xf numFmtId="166" fontId="12" fillId="36" borderId="14" xfId="78" applyNumberFormat="1" applyFont="1" applyFill="1" applyBorder="1" applyAlignment="1" applyProtection="1">
      <alignment horizontal="center" vertical="center"/>
    </xf>
    <xf numFmtId="166" fontId="58" fillId="36" borderId="14" xfId="78" applyNumberFormat="1" applyFont="1" applyFill="1" applyBorder="1" applyAlignment="1" applyProtection="1">
      <alignment horizontal="center" vertical="center"/>
    </xf>
    <xf numFmtId="2" fontId="58" fillId="36" borderId="14" xfId="78" applyNumberFormat="1" applyFont="1" applyFill="1" applyBorder="1" applyAlignment="1" applyProtection="1">
      <alignment horizontal="center" vertical="center"/>
    </xf>
    <xf numFmtId="1" fontId="12" fillId="36" borderId="14" xfId="78" applyNumberFormat="1" applyFont="1" applyFill="1" applyBorder="1" applyAlignment="1" applyProtection="1">
      <alignment horizontal="center" vertical="center"/>
    </xf>
    <xf numFmtId="49" fontId="35" fillId="36" borderId="10" xfId="233" applyNumberFormat="1" applyFont="1" applyFill="1" applyBorder="1" applyAlignment="1">
      <alignment horizontal="left" vertical="center" wrapText="1"/>
    </xf>
    <xf numFmtId="167" fontId="12" fillId="36" borderId="10" xfId="0" applyNumberFormat="1" applyFont="1" applyFill="1" applyBorder="1" applyAlignment="1">
      <alignment horizontal="left" vertical="center" wrapText="1"/>
    </xf>
    <xf numFmtId="49" fontId="12" fillId="36" borderId="10" xfId="233" applyNumberFormat="1" applyFont="1" applyFill="1" applyBorder="1" applyAlignment="1">
      <alignment horizontal="left" vertical="center" wrapText="1"/>
    </xf>
    <xf numFmtId="49" fontId="58" fillId="36" borderId="10" xfId="233" applyNumberFormat="1" applyFont="1" applyFill="1" applyBorder="1" applyAlignment="1">
      <alignment horizontal="left" vertical="center" wrapText="1"/>
    </xf>
    <xf numFmtId="166" fontId="61" fillId="36" borderId="10" xfId="233" applyNumberFormat="1" applyFont="1" applyFill="1" applyBorder="1" applyAlignment="1">
      <alignment horizontal="left"/>
    </xf>
    <xf numFmtId="0" fontId="10" fillId="37" borderId="16" xfId="228" applyFont="1" applyFill="1" applyBorder="1" applyAlignment="1" applyProtection="1">
      <alignment horizontal="center"/>
      <protection locked="0"/>
    </xf>
    <xf numFmtId="166" fontId="10" fillId="37" borderId="16" xfId="228" applyNumberFormat="1" applyFont="1" applyFill="1" applyBorder="1" applyAlignment="1" applyProtection="1">
      <alignment horizontal="center"/>
      <protection locked="0"/>
    </xf>
    <xf numFmtId="166" fontId="10" fillId="37" borderId="10" xfId="228" applyNumberFormat="1" applyFont="1" applyFill="1" applyBorder="1" applyAlignment="1" applyProtection="1">
      <alignment horizontal="center"/>
      <protection locked="0"/>
    </xf>
    <xf numFmtId="166" fontId="10" fillId="37" borderId="10" xfId="228" applyNumberFormat="1" applyFont="1" applyFill="1" applyBorder="1" applyAlignment="1" applyProtection="1">
      <alignment horizontal="left" indent="1"/>
      <protection locked="0"/>
    </xf>
    <xf numFmtId="164" fontId="10" fillId="37" borderId="10" xfId="78" applyNumberFormat="1" applyFont="1" applyFill="1" applyBorder="1" applyAlignment="1" applyProtection="1">
      <alignment horizontal="right"/>
      <protection locked="0"/>
    </xf>
    <xf numFmtId="166" fontId="10" fillId="37" borderId="10" xfId="228" applyNumberFormat="1" applyFont="1" applyFill="1" applyBorder="1" applyAlignment="1" applyProtection="1">
      <alignment horizontal="right"/>
      <protection locked="0"/>
    </xf>
    <xf numFmtId="164" fontId="10" fillId="37" borderId="16" xfId="228" applyNumberFormat="1" applyFont="1" applyFill="1" applyBorder="1" applyAlignment="1" applyProtection="1">
      <alignment horizontal="right"/>
      <protection locked="0"/>
    </xf>
    <xf numFmtId="166" fontId="10" fillId="37" borderId="16" xfId="228" applyNumberFormat="1" applyFont="1" applyFill="1" applyBorder="1" applyAlignment="1" applyProtection="1">
      <alignment horizontal="right"/>
      <protection locked="0"/>
    </xf>
    <xf numFmtId="0" fontId="10" fillId="37" borderId="10" xfId="231" applyFont="1" applyFill="1" applyBorder="1" applyProtection="1">
      <protection locked="0"/>
    </xf>
    <xf numFmtId="164" fontId="10" fillId="37" borderId="10" xfId="231" applyNumberFormat="1" applyFont="1" applyFill="1" applyBorder="1" applyAlignment="1" applyProtection="1">
      <alignment horizontal="right"/>
      <protection locked="0"/>
    </xf>
    <xf numFmtId="10" fontId="10" fillId="37" borderId="10" xfId="231" applyNumberFormat="1" applyFont="1" applyFill="1" applyBorder="1" applyAlignment="1" applyProtection="1">
      <alignment horizontal="right"/>
      <protection locked="0"/>
    </xf>
    <xf numFmtId="168" fontId="10" fillId="37" borderId="10" xfId="231" applyNumberFormat="1" applyFont="1" applyFill="1" applyBorder="1" applyProtection="1">
      <protection locked="0"/>
    </xf>
    <xf numFmtId="14" fontId="10" fillId="37" borderId="10" xfId="231" applyNumberFormat="1" applyFont="1" applyFill="1" applyBorder="1" applyAlignment="1" applyProtection="1">
      <alignment horizontal="center"/>
      <protection locked="0"/>
    </xf>
    <xf numFmtId="169" fontId="10" fillId="37" borderId="16" xfId="228" applyNumberFormat="1" applyFont="1" applyFill="1" applyBorder="1" applyAlignment="1" applyProtection="1">
      <alignment horizontal="right"/>
      <protection locked="0"/>
    </xf>
    <xf numFmtId="166" fontId="10" fillId="37" borderId="10" xfId="233" applyNumberFormat="1" applyFont="1" applyFill="1" applyBorder="1" applyAlignment="1" applyProtection="1">
      <alignment horizontal="right"/>
      <protection locked="0"/>
    </xf>
    <xf numFmtId="169" fontId="10" fillId="37" borderId="10" xfId="233" applyNumberFormat="1" applyFont="1" applyFill="1" applyBorder="1" applyAlignment="1" applyProtection="1">
      <alignment horizontal="right"/>
      <protection locked="0"/>
    </xf>
    <xf numFmtId="1" fontId="10" fillId="37" borderId="10" xfId="233" applyNumberFormat="1" applyFont="1" applyFill="1" applyBorder="1" applyAlignment="1" applyProtection="1">
      <alignment horizontal="right"/>
      <protection locked="0"/>
    </xf>
    <xf numFmtId="164" fontId="10" fillId="37" borderId="10" xfId="233" applyNumberFormat="1" applyFont="1" applyFill="1" applyBorder="1" applyAlignment="1" applyProtection="1">
      <alignment horizontal="right"/>
      <protection locked="0"/>
    </xf>
    <xf numFmtId="14" fontId="10" fillId="37" borderId="10" xfId="231" applyNumberFormat="1" applyFont="1" applyFill="1" applyBorder="1" applyProtection="1">
      <protection locked="0"/>
    </xf>
    <xf numFmtId="164" fontId="10" fillId="37" borderId="10" xfId="231" applyNumberFormat="1" applyFont="1" applyFill="1" applyBorder="1" applyProtection="1">
      <protection locked="0"/>
    </xf>
    <xf numFmtId="167" fontId="42" fillId="38" borderId="0" xfId="0" applyNumberFormat="1" applyFont="1" applyFill="1" applyAlignment="1">
      <alignment horizontal="left" vertical="center" wrapText="1"/>
    </xf>
    <xf numFmtId="10" fontId="37" fillId="13" borderId="10" xfId="240" applyNumberFormat="1" applyFont="1" applyFill="1" applyBorder="1" applyAlignment="1">
      <alignment horizontal="right"/>
    </xf>
    <xf numFmtId="41" fontId="12" fillId="38" borderId="10" xfId="229" applyNumberFormat="1" applyFont="1" applyFill="1" applyBorder="1"/>
    <xf numFmtId="41" fontId="60" fillId="38" borderId="10" xfId="229" applyNumberFormat="1" applyFont="1" applyFill="1" applyBorder="1" applyAlignment="1">
      <alignment horizontal="left"/>
    </xf>
    <xf numFmtId="41" fontId="35" fillId="38" borderId="10" xfId="229" applyNumberFormat="1" applyFont="1" applyFill="1" applyBorder="1"/>
    <xf numFmtId="49" fontId="12" fillId="38" borderId="10" xfId="228" applyNumberFormat="1" applyFont="1" applyFill="1" applyBorder="1"/>
    <xf numFmtId="167" fontId="12" fillId="38" borderId="0" xfId="0" applyNumberFormat="1" applyFont="1" applyFill="1" applyAlignment="1">
      <alignment horizontal="left" vertical="center" wrapText="1"/>
    </xf>
    <xf numFmtId="49" fontId="35" fillId="36" borderId="10" xfId="231" applyNumberFormat="1" applyFont="1" applyFill="1" applyBorder="1" applyAlignment="1">
      <alignment horizontal="center" vertical="center"/>
    </xf>
    <xf numFmtId="164" fontId="10" fillId="39" borderId="10" xfId="78" applyNumberFormat="1" applyFont="1" applyFill="1" applyBorder="1" applyAlignment="1" applyProtection="1">
      <alignment horizontal="right"/>
    </xf>
    <xf numFmtId="0" fontId="54" fillId="32" borderId="0" xfId="151">
      <alignment vertical="center"/>
    </xf>
    <xf numFmtId="0" fontId="46" fillId="0" borderId="0" xfId="0" applyFont="1" applyAlignment="1">
      <alignment horizontal="right" indent="2"/>
    </xf>
    <xf numFmtId="0" fontId="46" fillId="0" borderId="0" xfId="0" applyFont="1"/>
    <xf numFmtId="0" fontId="46" fillId="0" borderId="17" xfId="0" applyFont="1" applyBorder="1"/>
    <xf numFmtId="0" fontId="46" fillId="0" borderId="18" xfId="0" applyFont="1" applyBorder="1"/>
    <xf numFmtId="49" fontId="62" fillId="38" borderId="0" xfId="152" applyFont="1" applyFill="1">
      <alignment vertical="center"/>
    </xf>
    <xf numFmtId="14" fontId="62" fillId="38" borderId="0" xfId="228" applyNumberFormat="1" applyFont="1" applyFill="1" applyAlignment="1">
      <alignment horizontal="left"/>
    </xf>
    <xf numFmtId="14" fontId="62" fillId="38" borderId="0" xfId="228" applyNumberFormat="1" applyFont="1" applyFill="1" applyAlignment="1">
      <alignment horizontal="right"/>
    </xf>
    <xf numFmtId="14" fontId="54" fillId="38" borderId="0" xfId="228" applyNumberFormat="1" applyFont="1" applyFill="1" applyAlignment="1">
      <alignment horizontal="right"/>
    </xf>
    <xf numFmtId="0" fontId="0" fillId="9" borderId="0" xfId="228" applyFont="1"/>
    <xf numFmtId="167" fontId="12" fillId="36" borderId="10" xfId="0" applyNumberFormat="1" applyFont="1" applyFill="1" applyBorder="1" applyAlignment="1">
      <alignment horizontal="center" vertical="center" wrapText="1"/>
    </xf>
    <xf numFmtId="167" fontId="35" fillId="36" borderId="10" xfId="0" applyNumberFormat="1" applyFont="1" applyFill="1" applyBorder="1" applyAlignment="1">
      <alignment horizontal="center" vertical="center" wrapText="1"/>
    </xf>
    <xf numFmtId="167" fontId="61" fillId="36" borderId="10" xfId="0" applyNumberFormat="1" applyFont="1" applyFill="1" applyBorder="1" applyAlignment="1">
      <alignment horizontal="center" vertical="center" wrapText="1"/>
    </xf>
    <xf numFmtId="0" fontId="10" fillId="37" borderId="10" xfId="228" applyFont="1" applyFill="1" applyBorder="1" applyAlignment="1" applyProtection="1">
      <alignment horizontal="center"/>
      <protection locked="0"/>
    </xf>
    <xf numFmtId="0" fontId="0" fillId="40" borderId="0" xfId="0" applyFill="1"/>
    <xf numFmtId="0" fontId="8" fillId="40" borderId="0" xfId="0" applyFont="1" applyFill="1"/>
    <xf numFmtId="49" fontId="35" fillId="36" borderId="10" xfId="228" applyNumberFormat="1" applyFont="1" applyFill="1" applyBorder="1" applyAlignment="1">
      <alignment horizontal="left" vertical="center" wrapText="1"/>
    </xf>
    <xf numFmtId="2" fontId="12" fillId="36" borderId="0" xfId="78" applyNumberFormat="1" applyFont="1" applyFill="1" applyBorder="1" applyAlignment="1" applyProtection="1">
      <alignment horizontal="center"/>
    </xf>
    <xf numFmtId="49" fontId="12" fillId="36" borderId="10" xfId="229" applyNumberFormat="1" applyFont="1" applyFill="1" applyBorder="1" applyAlignment="1">
      <alignment horizontal="center" vertical="center"/>
    </xf>
    <xf numFmtId="170" fontId="10" fillId="13" borderId="10" xfId="80" applyNumberFormat="1" applyFont="1" applyFill="1" applyBorder="1" applyAlignment="1" applyProtection="1">
      <alignment horizontal="right"/>
    </xf>
    <xf numFmtId="2" fontId="12" fillId="36" borderId="10" xfId="80" applyNumberFormat="1" applyFont="1" applyFill="1" applyBorder="1" applyAlignment="1" applyProtection="1">
      <alignment horizontal="center"/>
    </xf>
    <xf numFmtId="49" fontId="58" fillId="36" borderId="10" xfId="229" applyNumberFormat="1" applyFont="1" applyFill="1" applyBorder="1"/>
    <xf numFmtId="164" fontId="10" fillId="13" borderId="10" xfId="80" applyNumberFormat="1" applyFont="1" applyFill="1" applyBorder="1" applyAlignment="1" applyProtection="1">
      <alignment horizontal="right"/>
    </xf>
    <xf numFmtId="164" fontId="7" fillId="13" borderId="10" xfId="80" applyNumberFormat="1" applyFont="1" applyFill="1" applyBorder="1" applyAlignment="1" applyProtection="1">
      <alignment horizontal="right"/>
    </xf>
    <xf numFmtId="164" fontId="7" fillId="39" borderId="10" xfId="80" applyNumberFormat="1" applyFont="1" applyFill="1" applyBorder="1" applyAlignment="1" applyProtection="1">
      <alignment horizontal="right"/>
    </xf>
    <xf numFmtId="49" fontId="12" fillId="36" borderId="10" xfId="228" applyNumberFormat="1" applyFont="1" applyFill="1" applyBorder="1" applyAlignment="1">
      <alignment horizontal="left" vertical="center" wrapText="1"/>
    </xf>
    <xf numFmtId="49" fontId="12" fillId="38" borderId="10" xfId="228" applyNumberFormat="1" applyFont="1" applyFill="1" applyBorder="1" applyAlignment="1">
      <alignment horizontal="left" vertical="center" wrapText="1"/>
    </xf>
    <xf numFmtId="10" fontId="7" fillId="13" borderId="10" xfId="80" applyNumberFormat="1" applyFont="1" applyFill="1" applyBorder="1" applyAlignment="1" applyProtection="1">
      <alignment horizontal="right"/>
    </xf>
    <xf numFmtId="0" fontId="12" fillId="36" borderId="10" xfId="228" applyFont="1" applyFill="1" applyBorder="1" applyAlignment="1">
      <alignment horizontal="left"/>
    </xf>
    <xf numFmtId="49" fontId="35" fillId="38" borderId="10" xfId="228" applyNumberFormat="1" applyFont="1" applyFill="1" applyBorder="1" applyAlignment="1">
      <alignment horizontal="left"/>
    </xf>
    <xf numFmtId="164" fontId="37" fillId="13" borderId="10" xfId="78" applyNumberFormat="1" applyFont="1" applyFill="1" applyBorder="1" applyAlignment="1">
      <alignment horizontal="right"/>
    </xf>
    <xf numFmtId="0" fontId="10" fillId="37" borderId="16" xfId="228" applyFont="1" applyFill="1" applyBorder="1" applyAlignment="1" applyProtection="1">
      <alignment horizontal="right"/>
      <protection locked="0"/>
    </xf>
    <xf numFmtId="2" fontId="10" fillId="37" borderId="16" xfId="228" applyNumberFormat="1" applyFont="1" applyFill="1" applyBorder="1" applyAlignment="1" applyProtection="1">
      <alignment horizontal="right"/>
      <protection locked="0"/>
    </xf>
    <xf numFmtId="167" fontId="12" fillId="36" borderId="10" xfId="228" quotePrefix="1" applyNumberFormat="1" applyFont="1" applyFill="1" applyBorder="1" applyAlignment="1">
      <alignment horizontal="left" vertical="center" wrapText="1"/>
    </xf>
    <xf numFmtId="0" fontId="10" fillId="37" borderId="10" xfId="231" applyFont="1" applyFill="1" applyBorder="1" applyAlignment="1" applyProtection="1">
      <alignment horizontal="left" vertical="center"/>
      <protection locked="0"/>
    </xf>
    <xf numFmtId="164" fontId="10" fillId="40" borderId="10" xfId="231" applyNumberFormat="1" applyFont="1" applyFill="1" applyBorder="1" applyAlignment="1">
      <alignment horizontal="right"/>
    </xf>
    <xf numFmtId="10" fontId="10" fillId="40" borderId="10" xfId="231" applyNumberFormat="1" applyFont="1" applyFill="1" applyBorder="1" applyAlignment="1">
      <alignment horizontal="right"/>
    </xf>
    <xf numFmtId="10" fontId="10" fillId="13" borderId="10" xfId="78" applyNumberFormat="1" applyFont="1" applyFill="1" applyBorder="1" applyAlignment="1" applyProtection="1">
      <alignment horizontal="right"/>
    </xf>
    <xf numFmtId="164" fontId="37" fillId="13" borderId="10" xfId="78" applyNumberFormat="1" applyFont="1" applyFill="1" applyBorder="1" applyAlignment="1" applyProtection="1">
      <alignment horizontal="right"/>
    </xf>
    <xf numFmtId="164" fontId="10" fillId="36" borderId="10" xfId="78" applyNumberFormat="1" applyFont="1" applyFill="1" applyBorder="1" applyAlignment="1" applyProtection="1">
      <alignment horizontal="right"/>
    </xf>
    <xf numFmtId="164" fontId="10" fillId="37" borderId="10" xfId="78" applyNumberFormat="1" applyFont="1" applyFill="1" applyBorder="1" applyAlignment="1" applyProtection="1">
      <alignment horizontal="right" indent="1"/>
      <protection locked="0"/>
    </xf>
    <xf numFmtId="164" fontId="36" fillId="13" borderId="10" xfId="78" applyNumberFormat="1" applyFont="1" applyFill="1" applyBorder="1" applyAlignment="1" applyProtection="1">
      <alignment horizontal="right"/>
    </xf>
    <xf numFmtId="168" fontId="10" fillId="37" borderId="10" xfId="231" applyNumberFormat="1" applyFont="1" applyFill="1" applyBorder="1" applyAlignment="1" applyProtection="1">
      <alignment horizontal="center" vertical="center"/>
      <protection locked="0"/>
    </xf>
    <xf numFmtId="168" fontId="10" fillId="37" borderId="10" xfId="231" applyNumberFormat="1" applyFont="1" applyFill="1" applyBorder="1" applyAlignment="1" applyProtection="1">
      <alignment horizontal="center" vertical="center" wrapText="1"/>
      <protection locked="0"/>
    </xf>
    <xf numFmtId="49" fontId="54" fillId="38" borderId="0" xfId="152" applyFill="1">
      <alignment vertical="center"/>
    </xf>
    <xf numFmtId="167" fontId="35" fillId="36" borderId="10" xfId="228" quotePrefix="1" applyNumberFormat="1" applyFont="1" applyFill="1" applyBorder="1" applyAlignment="1">
      <alignment horizontal="left" vertical="center" wrapText="1"/>
    </xf>
    <xf numFmtId="49" fontId="35" fillId="38" borderId="10" xfId="228" applyNumberFormat="1" applyFont="1" applyFill="1" applyBorder="1"/>
    <xf numFmtId="173" fontId="37" fillId="13" borderId="10" xfId="80" applyNumberFormat="1" applyFont="1" applyFill="1" applyBorder="1" applyAlignment="1">
      <alignment horizontal="right"/>
    </xf>
    <xf numFmtId="173" fontId="37" fillId="13" borderId="10" xfId="80" applyNumberFormat="1" applyFont="1" applyFill="1" applyBorder="1" applyAlignment="1">
      <alignment horizontal="center" vertical="center"/>
    </xf>
    <xf numFmtId="14" fontId="10" fillId="37" borderId="16" xfId="228" applyNumberFormat="1" applyFont="1" applyFill="1" applyBorder="1" applyAlignment="1" applyProtection="1">
      <alignment horizontal="right"/>
      <protection locked="0"/>
    </xf>
    <xf numFmtId="164" fontId="7" fillId="39" borderId="10" xfId="78" applyNumberFormat="1" applyFont="1" applyFill="1" applyBorder="1" applyAlignment="1" applyProtection="1">
      <alignment horizontal="right"/>
    </xf>
    <xf numFmtId="0" fontId="47" fillId="0" borderId="19" xfId="0" applyFont="1" applyBorder="1"/>
    <xf numFmtId="0" fontId="47" fillId="0" borderId="20" xfId="0" applyFont="1" applyBorder="1"/>
    <xf numFmtId="0" fontId="47" fillId="0" borderId="21" xfId="0" applyFont="1" applyBorder="1"/>
    <xf numFmtId="0" fontId="47" fillId="0" borderId="17" xfId="0" applyFont="1" applyBorder="1"/>
    <xf numFmtId="0" fontId="47" fillId="0" borderId="18" xfId="0" applyFont="1" applyBorder="1"/>
    <xf numFmtId="0" fontId="47" fillId="0" borderId="0" xfId="0" applyFont="1"/>
    <xf numFmtId="0" fontId="47" fillId="0" borderId="22" xfId="0" applyFont="1" applyBorder="1"/>
    <xf numFmtId="0" fontId="47" fillId="0" borderId="23" xfId="0" applyFont="1" applyBorder="1" applyAlignment="1">
      <alignment horizontal="right" indent="2"/>
    </xf>
    <xf numFmtId="0" fontId="47" fillId="0" borderId="23" xfId="0" applyFont="1" applyBorder="1"/>
    <xf numFmtId="0" fontId="47" fillId="0" borderId="24" xfId="0" applyFont="1" applyBorder="1"/>
    <xf numFmtId="0" fontId="62" fillId="38" borderId="0" xfId="0" applyFont="1" applyFill="1" applyAlignment="1">
      <alignment horizontal="right" indent="2"/>
    </xf>
    <xf numFmtId="0" fontId="63" fillId="38" borderId="0" xfId="160" quotePrefix="1" applyFont="1" applyFill="1" applyBorder="1" applyAlignment="1" applyProtection="1"/>
    <xf numFmtId="0" fontId="63" fillId="38" borderId="0" xfId="0" quotePrefix="1" applyFont="1" applyFill="1" applyAlignment="1">
      <alignment horizontal="left"/>
    </xf>
    <xf numFmtId="0" fontId="64" fillId="40" borderId="0" xfId="160" quotePrefix="1" applyFont="1" applyFill="1" applyBorder="1" applyAlignment="1" applyProtection="1"/>
    <xf numFmtId="0" fontId="64" fillId="40" borderId="0" xfId="0" quotePrefix="1" applyFont="1" applyFill="1" applyAlignment="1">
      <alignment horizontal="left"/>
    </xf>
    <xf numFmtId="0" fontId="48" fillId="37" borderId="12" xfId="229" applyFont="1" applyFill="1" applyBorder="1" applyAlignment="1" applyProtection="1">
      <alignment horizontal="right" vertical="center"/>
      <protection locked="0"/>
    </xf>
    <xf numFmtId="0" fontId="50" fillId="41" borderId="0" xfId="0" applyFont="1" applyFill="1"/>
    <xf numFmtId="0" fontId="65" fillId="41" borderId="0" xfId="0" applyFont="1" applyFill="1"/>
    <xf numFmtId="0" fontId="10" fillId="37" borderId="10" xfId="233" applyFont="1" applyFill="1" applyBorder="1" applyAlignment="1" applyProtection="1">
      <alignment horizontal="right"/>
      <protection locked="0"/>
    </xf>
    <xf numFmtId="2" fontId="12" fillId="36" borderId="10" xfId="229" applyNumberFormat="1" applyFont="1" applyFill="1" applyBorder="1" applyAlignment="1">
      <alignment horizontal="center" vertical="center" wrapText="1"/>
    </xf>
    <xf numFmtId="41" fontId="12" fillId="36" borderId="10" xfId="229" applyNumberFormat="1" applyFont="1" applyFill="1" applyBorder="1" applyAlignment="1">
      <alignment horizontal="left" indent="1"/>
    </xf>
    <xf numFmtId="49" fontId="60" fillId="36" borderId="10" xfId="229" applyNumberFormat="1" applyFont="1" applyFill="1" applyBorder="1" applyAlignment="1">
      <alignment horizontal="left" vertical="center" wrapText="1"/>
    </xf>
    <xf numFmtId="10" fontId="10" fillId="0" borderId="0" xfId="218" applyNumberFormat="1"/>
    <xf numFmtId="166" fontId="37" fillId="39" borderId="10" xfId="80" applyNumberFormat="1" applyFont="1" applyFill="1" applyBorder="1" applyAlignment="1" applyProtection="1">
      <alignment horizontal="right"/>
    </xf>
    <xf numFmtId="49" fontId="60" fillId="36" borderId="10" xfId="229" applyNumberFormat="1" applyFont="1" applyFill="1" applyBorder="1"/>
    <xf numFmtId="171" fontId="37" fillId="13" borderId="10" xfId="80" applyNumberFormat="1" applyFont="1" applyFill="1" applyBorder="1" applyAlignment="1" applyProtection="1">
      <alignment horizontal="right"/>
    </xf>
    <xf numFmtId="164" fontId="37" fillId="13" borderId="10" xfId="80" applyNumberFormat="1" applyFont="1" applyFill="1" applyBorder="1" applyAlignment="1" applyProtection="1"/>
    <xf numFmtId="170" fontId="37" fillId="13" borderId="10" xfId="80" applyNumberFormat="1" applyFont="1" applyFill="1" applyBorder="1" applyAlignment="1" applyProtection="1"/>
    <xf numFmtId="0" fontId="10" fillId="0" borderId="0" xfId="218" applyAlignment="1">
      <alignment horizontal="left" vertical="center" wrapText="1"/>
    </xf>
    <xf numFmtId="49" fontId="12" fillId="36" borderId="10" xfId="229" applyNumberFormat="1" applyFont="1" applyFill="1" applyBorder="1" applyAlignment="1">
      <alignment horizontal="left" vertical="center" wrapText="1"/>
    </xf>
    <xf numFmtId="49" fontId="35" fillId="36" borderId="10" xfId="229" applyNumberFormat="1" applyFont="1" applyFill="1" applyBorder="1" applyAlignment="1">
      <alignment horizontal="left" vertical="center" wrapText="1"/>
    </xf>
    <xf numFmtId="172" fontId="37" fillId="13" borderId="25" xfId="80" applyNumberFormat="1" applyFont="1" applyFill="1" applyBorder="1" applyAlignment="1" applyProtection="1">
      <alignment horizontal="right"/>
    </xf>
    <xf numFmtId="172" fontId="37" fillId="13" borderId="26" xfId="80" applyNumberFormat="1" applyFont="1" applyFill="1" applyBorder="1" applyAlignment="1" applyProtection="1">
      <alignment horizontal="right"/>
    </xf>
    <xf numFmtId="172" fontId="37" fillId="13" borderId="27" xfId="80" applyNumberFormat="1" applyFont="1" applyFill="1" applyBorder="1" applyAlignment="1" applyProtection="1">
      <alignment horizontal="right"/>
    </xf>
    <xf numFmtId="172" fontId="37" fillId="13" borderId="10" xfId="80" applyNumberFormat="1" applyFont="1" applyFill="1" applyBorder="1" applyAlignment="1" applyProtection="1">
      <alignment horizontal="right"/>
    </xf>
    <xf numFmtId="172" fontId="37" fillId="13" borderId="28" xfId="80" applyNumberFormat="1" applyFont="1" applyFill="1" applyBorder="1" applyAlignment="1" applyProtection="1">
      <alignment horizontal="right"/>
    </xf>
    <xf numFmtId="172" fontId="37" fillId="13" borderId="29" xfId="80" applyNumberFormat="1" applyFont="1" applyFill="1" applyBorder="1" applyAlignment="1" applyProtection="1">
      <alignment horizontal="right"/>
    </xf>
    <xf numFmtId="49" fontId="12" fillId="36" borderId="29" xfId="229" applyNumberFormat="1" applyFont="1" applyFill="1" applyBorder="1" applyAlignment="1">
      <alignment horizontal="center" vertical="center" wrapText="1"/>
    </xf>
    <xf numFmtId="0" fontId="10" fillId="0" borderId="0" xfId="218" applyAlignment="1">
      <alignment horizontal="center" vertical="center"/>
    </xf>
    <xf numFmtId="49" fontId="35" fillId="36" borderId="15" xfId="229" applyNumberFormat="1" applyFont="1" applyFill="1" applyBorder="1" applyAlignment="1">
      <alignment horizontal="center" vertical="center"/>
    </xf>
    <xf numFmtId="0" fontId="8" fillId="40" borderId="0" xfId="229" applyFont="1" applyFill="1"/>
    <xf numFmtId="173" fontId="37" fillId="13" borderId="10" xfId="80" applyNumberFormat="1" applyFont="1" applyFill="1" applyBorder="1" applyAlignment="1" applyProtection="1">
      <alignment horizontal="right"/>
    </xf>
    <xf numFmtId="49" fontId="58" fillId="36" borderId="10" xfId="229" applyNumberFormat="1" applyFont="1" applyFill="1" applyBorder="1" applyAlignment="1">
      <alignment horizontal="center" vertical="center"/>
    </xf>
    <xf numFmtId="49" fontId="58" fillId="38" borderId="10" xfId="229" applyNumberFormat="1" applyFont="1" applyFill="1" applyBorder="1"/>
    <xf numFmtId="49" fontId="12" fillId="36" borderId="0" xfId="229" applyNumberFormat="1" applyFont="1" applyFill="1" applyAlignment="1">
      <alignment horizontal="left"/>
    </xf>
    <xf numFmtId="49" fontId="12" fillId="36" borderId="10" xfId="229" applyNumberFormat="1" applyFont="1" applyFill="1" applyBorder="1" applyAlignment="1">
      <alignment horizontal="left"/>
    </xf>
    <xf numFmtId="0" fontId="8" fillId="9" borderId="0" xfId="229" applyFont="1"/>
    <xf numFmtId="0" fontId="10" fillId="0" borderId="0" xfId="218"/>
    <xf numFmtId="0" fontId="10" fillId="9" borderId="0" xfId="229"/>
    <xf numFmtId="14" fontId="58" fillId="36" borderId="10" xfId="228" applyNumberFormat="1" applyFont="1" applyFill="1" applyBorder="1" applyAlignment="1">
      <alignment horizontal="right"/>
    </xf>
    <xf numFmtId="14" fontId="60" fillId="36" borderId="10" xfId="228" applyNumberFormat="1" applyFont="1" applyFill="1" applyBorder="1" applyAlignment="1">
      <alignment horizontal="right"/>
    </xf>
    <xf numFmtId="49" fontId="58" fillId="36" borderId="10" xfId="232" applyNumberFormat="1" applyFont="1" applyFill="1" applyBorder="1" applyAlignment="1">
      <alignment horizontal="left" vertical="center" wrapText="1"/>
    </xf>
    <xf numFmtId="0" fontId="66" fillId="0" borderId="0" xfId="0" applyFont="1"/>
    <xf numFmtId="0" fontId="0" fillId="0" borderId="0" xfId="0" applyAlignment="1">
      <alignment horizontal="left" vertical="center"/>
    </xf>
    <xf numFmtId="0" fontId="8" fillId="0" borderId="0" xfId="0" applyFont="1"/>
    <xf numFmtId="9" fontId="37" fillId="37" borderId="10" xfId="242" applyFont="1" applyFill="1" applyBorder="1" applyAlignment="1" applyProtection="1">
      <alignment horizontal="right"/>
      <protection locked="0"/>
    </xf>
    <xf numFmtId="10" fontId="37" fillId="37" borderId="10" xfId="242" applyNumberFormat="1" applyFont="1" applyFill="1" applyBorder="1" applyAlignment="1" applyProtection="1">
      <alignment horizontal="right"/>
      <protection locked="0"/>
    </xf>
    <xf numFmtId="49" fontId="35" fillId="36" borderId="0" xfId="229" applyNumberFormat="1" applyFont="1" applyFill="1" applyAlignment="1">
      <alignment horizontal="left" vertical="center" wrapText="1"/>
    </xf>
    <xf numFmtId="2" fontId="37" fillId="13" borderId="10" xfId="80" applyNumberFormat="1" applyFont="1" applyFill="1" applyBorder="1" applyAlignment="1" applyProtection="1">
      <alignment horizontal="right"/>
    </xf>
    <xf numFmtId="49" fontId="12" fillId="36" borderId="0" xfId="229" applyNumberFormat="1" applyFont="1" applyFill="1" applyAlignment="1">
      <alignment horizontal="left" vertical="center" wrapText="1"/>
    </xf>
    <xf numFmtId="10" fontId="10" fillId="39" borderId="10" xfId="80" applyNumberFormat="1" applyFont="1" applyFill="1" applyBorder="1" applyAlignment="1" applyProtection="1">
      <alignment horizontal="right"/>
    </xf>
    <xf numFmtId="0" fontId="34" fillId="9" borderId="0" xfId="227" applyFont="1" applyFill="1"/>
    <xf numFmtId="0" fontId="5" fillId="9" borderId="0" xfId="231"/>
    <xf numFmtId="0" fontId="6" fillId="9" borderId="0" xfId="231" applyFont="1"/>
    <xf numFmtId="166" fontId="8" fillId="9" borderId="0" xfId="231" applyNumberFormat="1" applyFont="1" applyAlignment="1">
      <alignment horizontal="left"/>
    </xf>
    <xf numFmtId="49" fontId="10" fillId="9" borderId="0" xfId="231" applyNumberFormat="1" applyFont="1"/>
    <xf numFmtId="164" fontId="10" fillId="39" borderId="10" xfId="231" applyNumberFormat="1" applyFont="1" applyFill="1" applyBorder="1" applyAlignment="1">
      <alignment horizontal="right"/>
    </xf>
    <xf numFmtId="166" fontId="8" fillId="0" borderId="0" xfId="231" applyNumberFormat="1" applyFont="1" applyFill="1" applyAlignment="1">
      <alignment horizontal="left"/>
    </xf>
    <xf numFmtId="164" fontId="10" fillId="9" borderId="0" xfId="231" applyNumberFormat="1" applyFont="1"/>
    <xf numFmtId="49" fontId="35" fillId="36" borderId="10" xfId="234" applyNumberFormat="1" applyFont="1" applyFill="1" applyBorder="1" applyAlignment="1">
      <alignment horizontal="left" vertical="center" wrapText="1"/>
    </xf>
    <xf numFmtId="0" fontId="67" fillId="0" borderId="0" xfId="0" applyFont="1" applyAlignment="1">
      <alignment vertical="center"/>
    </xf>
    <xf numFmtId="0" fontId="8" fillId="9" borderId="0" xfId="228" applyFont="1"/>
    <xf numFmtId="166" fontId="7" fillId="9" borderId="0" xfId="228" applyNumberFormat="1" applyFont="1" applyAlignment="1">
      <alignment horizontal="left"/>
    </xf>
    <xf numFmtId="164" fontId="10" fillId="9" borderId="0" xfId="228" applyNumberFormat="1" applyFont="1" applyAlignment="1">
      <alignment horizontal="center"/>
    </xf>
    <xf numFmtId="14" fontId="10" fillId="39" borderId="16" xfId="228" applyNumberFormat="1" applyFont="1" applyFill="1" applyBorder="1" applyAlignment="1">
      <alignment horizontal="center"/>
    </xf>
    <xf numFmtId="0" fontId="68" fillId="0" borderId="0" xfId="0" applyFont="1"/>
    <xf numFmtId="49" fontId="12" fillId="36" borderId="28" xfId="229" applyNumberFormat="1" applyFont="1" applyFill="1" applyBorder="1" applyAlignment="1">
      <alignment horizontal="center" vertical="center" wrapText="1"/>
    </xf>
    <xf numFmtId="0" fontId="5" fillId="9" borderId="0" xfId="226"/>
    <xf numFmtId="0" fontId="54" fillId="38" borderId="0" xfId="226" applyFont="1" applyFill="1" applyAlignment="1">
      <alignment vertical="center"/>
    </xf>
    <xf numFmtId="0" fontId="5" fillId="9" borderId="0" xfId="226" applyAlignment="1">
      <alignment horizontal="left" vertical="center"/>
    </xf>
    <xf numFmtId="0" fontId="69" fillId="36" borderId="0" xfId="226" applyFont="1" applyFill="1" applyAlignment="1">
      <alignment vertical="center"/>
    </xf>
    <xf numFmtId="0" fontId="70" fillId="36" borderId="0" xfId="226" applyFont="1" applyFill="1" applyAlignment="1">
      <alignment vertical="center"/>
    </xf>
    <xf numFmtId="0" fontId="60" fillId="36" borderId="0" xfId="226" applyFont="1" applyFill="1" applyAlignment="1">
      <alignment vertical="center"/>
    </xf>
    <xf numFmtId="0" fontId="7" fillId="9" borderId="0" xfId="226" applyFont="1"/>
    <xf numFmtId="0" fontId="71" fillId="36" borderId="17" xfId="226" applyFont="1" applyFill="1" applyBorder="1" applyAlignment="1">
      <alignment vertical="center"/>
    </xf>
    <xf numFmtId="0" fontId="71" fillId="36" borderId="0" xfId="226" applyFont="1" applyFill="1" applyAlignment="1">
      <alignment vertical="center"/>
    </xf>
    <xf numFmtId="0" fontId="71" fillId="38" borderId="0" xfId="226" applyFont="1" applyFill="1" applyAlignment="1">
      <alignment vertical="center"/>
    </xf>
    <xf numFmtId="0" fontId="71" fillId="38" borderId="18" xfId="226" applyFont="1" applyFill="1" applyBorder="1" applyAlignment="1">
      <alignment vertical="center"/>
    </xf>
    <xf numFmtId="2" fontId="8" fillId="9" borderId="0" xfId="226" applyNumberFormat="1" applyFont="1" applyAlignment="1">
      <alignment horizontal="left" vertical="center"/>
    </xf>
    <xf numFmtId="0" fontId="8" fillId="9" borderId="0" xfId="226" applyFont="1" applyAlignment="1">
      <alignment horizontal="left" vertical="center"/>
    </xf>
    <xf numFmtId="0" fontId="48" fillId="9" borderId="0" xfId="226" applyFont="1"/>
    <xf numFmtId="0" fontId="49" fillId="36" borderId="0" xfId="229" applyFont="1" applyFill="1"/>
    <xf numFmtId="0" fontId="48" fillId="36" borderId="0" xfId="229" applyFont="1" applyFill="1"/>
    <xf numFmtId="0" fontId="71" fillId="36" borderId="17" xfId="229" applyFont="1" applyFill="1" applyBorder="1" applyAlignment="1">
      <alignment horizontal="left" indent="1"/>
    </xf>
    <xf numFmtId="0" fontId="72" fillId="9" borderId="0" xfId="226" applyFont="1"/>
    <xf numFmtId="0" fontId="6" fillId="9" borderId="0" xfId="228" applyFont="1"/>
    <xf numFmtId="164" fontId="10" fillId="9" borderId="0" xfId="228" applyNumberFormat="1" applyFont="1"/>
    <xf numFmtId="39" fontId="10" fillId="9" borderId="0" xfId="228" applyNumberFormat="1" applyFont="1"/>
    <xf numFmtId="0" fontId="10" fillId="9" borderId="0" xfId="228" applyFont="1"/>
    <xf numFmtId="0" fontId="40" fillId="35" borderId="10" xfId="228" applyFont="1" applyFill="1" applyBorder="1"/>
    <xf numFmtId="0" fontId="10" fillId="42" borderId="0" xfId="228" applyFont="1" applyFill="1"/>
    <xf numFmtId="0" fontId="8" fillId="0" borderId="0" xfId="230" applyFont="1" applyFill="1" applyAlignment="1">
      <alignment vertical="center"/>
    </xf>
    <xf numFmtId="166" fontId="7" fillId="9" borderId="0" xfId="229" applyNumberFormat="1" applyFont="1" applyAlignment="1">
      <alignment horizontal="left"/>
    </xf>
    <xf numFmtId="49" fontId="10" fillId="9" borderId="0" xfId="229" applyNumberFormat="1"/>
    <xf numFmtId="2" fontId="10" fillId="9" borderId="0" xfId="229" applyNumberFormat="1"/>
    <xf numFmtId="49" fontId="35" fillId="36" borderId="10" xfId="229" applyNumberFormat="1" applyFont="1" applyFill="1" applyBorder="1" applyAlignment="1">
      <alignment horizontal="center" vertical="center" wrapText="1"/>
    </xf>
    <xf numFmtId="166" fontId="12" fillId="36" borderId="10" xfId="229" applyNumberFormat="1" applyFont="1" applyFill="1" applyBorder="1" applyAlignment="1">
      <alignment horizontal="left"/>
    </xf>
    <xf numFmtId="0" fontId="12" fillId="36" borderId="10" xfId="229" applyFont="1" applyFill="1" applyBorder="1"/>
    <xf numFmtId="0" fontId="10" fillId="37" borderId="10" xfId="80" applyNumberFormat="1" applyFont="1" applyFill="1" applyBorder="1" applyAlignment="1" applyProtection="1">
      <alignment horizontal="right"/>
    </xf>
    <xf numFmtId="0" fontId="35" fillId="36" borderId="10" xfId="229" applyFont="1" applyFill="1" applyBorder="1"/>
    <xf numFmtId="49" fontId="35" fillId="38" borderId="10" xfId="229" applyNumberFormat="1" applyFont="1" applyFill="1" applyBorder="1"/>
    <xf numFmtId="49" fontId="10" fillId="9" borderId="0" xfId="228" applyNumberFormat="1" applyFont="1"/>
    <xf numFmtId="0" fontId="60" fillId="36" borderId="10" xfId="229" applyFont="1" applyFill="1" applyBorder="1"/>
    <xf numFmtId="164" fontId="10" fillId="39" borderId="10" xfId="80" applyNumberFormat="1" applyFont="1" applyFill="1" applyBorder="1" applyAlignment="1" applyProtection="1">
      <alignment horizontal="right"/>
    </xf>
    <xf numFmtId="0" fontId="0" fillId="9" borderId="0" xfId="229" applyFont="1"/>
    <xf numFmtId="0" fontId="40" fillId="35" borderId="10" xfId="229" applyFont="1" applyFill="1" applyBorder="1"/>
    <xf numFmtId="0" fontId="5" fillId="9" borderId="0" xfId="231" applyAlignment="1">
      <alignment horizontal="center" vertical="center"/>
    </xf>
    <xf numFmtId="0" fontId="68" fillId="9" borderId="0" xfId="228" applyFont="1"/>
    <xf numFmtId="0" fontId="10" fillId="42" borderId="0" xfId="230" applyFont="1" applyFill="1" applyAlignment="1">
      <alignment vertical="center"/>
    </xf>
    <xf numFmtId="0" fontId="5" fillId="9" borderId="0" xfId="228" applyAlignment="1">
      <alignment horizontal="left" indent="1"/>
    </xf>
    <xf numFmtId="0" fontId="10" fillId="9" borderId="0" xfId="228" applyFont="1" applyAlignment="1">
      <alignment horizontal="left" indent="1"/>
    </xf>
    <xf numFmtId="43" fontId="5" fillId="9" borderId="0" xfId="228" applyNumberFormat="1"/>
    <xf numFmtId="49" fontId="12" fillId="36" borderId="14" xfId="231" applyNumberFormat="1" applyFont="1" applyFill="1" applyBorder="1" applyAlignment="1">
      <alignment horizontal="center"/>
    </xf>
    <xf numFmtId="2" fontId="12" fillId="36" borderId="10" xfId="78" applyNumberFormat="1" applyFont="1" applyFill="1" applyBorder="1" applyAlignment="1" applyProtection="1">
      <alignment horizontal="center" wrapText="1"/>
    </xf>
    <xf numFmtId="0" fontId="0" fillId="9" borderId="0" xfId="231" applyFont="1"/>
    <xf numFmtId="166" fontId="10" fillId="13" borderId="10" xfId="233" applyNumberFormat="1" applyFont="1" applyFill="1" applyBorder="1" applyAlignment="1">
      <alignment horizontal="right"/>
    </xf>
    <xf numFmtId="0" fontId="73" fillId="37" borderId="10" xfId="0" applyFont="1" applyFill="1" applyBorder="1" applyAlignment="1" applyProtection="1">
      <alignment horizontal="right"/>
      <protection locked="0"/>
    </xf>
    <xf numFmtId="0" fontId="7" fillId="9" borderId="0" xfId="231" applyFont="1" applyAlignment="1">
      <alignment horizontal="right"/>
    </xf>
    <xf numFmtId="0" fontId="5" fillId="9" borderId="0" xfId="231" applyAlignment="1">
      <alignment horizontal="right"/>
    </xf>
    <xf numFmtId="0" fontId="10" fillId="9" borderId="0" xfId="231" applyFont="1"/>
    <xf numFmtId="0" fontId="35" fillId="38" borderId="15" xfId="231" applyFont="1" applyFill="1" applyBorder="1" applyAlignment="1">
      <alignment horizontal="left"/>
    </xf>
    <xf numFmtId="10" fontId="10" fillId="37" borderId="10" xfId="78" applyNumberFormat="1" applyFont="1" applyFill="1" applyBorder="1" applyAlignment="1" applyProtection="1">
      <alignment horizontal="right"/>
      <protection locked="0"/>
    </xf>
    <xf numFmtId="49" fontId="60" fillId="36" borderId="10" xfId="229" applyNumberFormat="1" applyFont="1" applyFill="1" applyBorder="1" applyAlignment="1">
      <alignment vertical="center" wrapText="1"/>
    </xf>
    <xf numFmtId="49" fontId="35" fillId="36" borderId="31" xfId="229" applyNumberFormat="1" applyFont="1" applyFill="1" applyBorder="1" applyAlignment="1">
      <alignment horizontal="left" vertical="center" wrapText="1"/>
    </xf>
    <xf numFmtId="0" fontId="10" fillId="0" borderId="0" xfId="218" applyAlignment="1">
      <alignment vertical="center" wrapText="1"/>
    </xf>
    <xf numFmtId="168" fontId="10" fillId="37" borderId="10" xfId="231" applyNumberFormat="1" applyFont="1" applyFill="1" applyBorder="1" applyAlignment="1" applyProtection="1">
      <alignment horizontal="left" wrapText="1"/>
      <protection locked="0"/>
    </xf>
    <xf numFmtId="0" fontId="10" fillId="37" borderId="10" xfId="231" applyFont="1" applyFill="1" applyBorder="1" applyAlignment="1" applyProtection="1">
      <alignment horizontal="left" wrapText="1"/>
      <protection locked="0"/>
    </xf>
    <xf numFmtId="49" fontId="10" fillId="37" borderId="10" xfId="78" applyNumberFormat="1" applyFont="1" applyFill="1" applyBorder="1" applyAlignment="1" applyProtection="1">
      <alignment horizontal="right"/>
      <protection locked="0"/>
    </xf>
    <xf numFmtId="49" fontId="10" fillId="36" borderId="10" xfId="229" applyNumberFormat="1" applyFill="1" applyBorder="1" applyAlignment="1">
      <alignment horizontal="left"/>
    </xf>
    <xf numFmtId="49" fontId="10" fillId="37" borderId="10" xfId="231" applyNumberFormat="1" applyFont="1" applyFill="1" applyBorder="1" applyProtection="1">
      <protection locked="0"/>
    </xf>
    <xf numFmtId="49" fontId="35" fillId="13" borderId="15" xfId="231" applyNumberFormat="1" applyFont="1" applyFill="1" applyBorder="1" applyAlignment="1">
      <alignment horizontal="right"/>
    </xf>
    <xf numFmtId="49" fontId="61" fillId="36" borderId="10" xfId="229" applyNumberFormat="1" applyFont="1" applyFill="1" applyBorder="1" applyAlignment="1">
      <alignment horizontal="left"/>
    </xf>
    <xf numFmtId="49" fontId="35" fillId="36" borderId="10" xfId="229" quotePrefix="1" applyNumberFormat="1" applyFont="1" applyFill="1" applyBorder="1" applyAlignment="1">
      <alignment horizontal="center" vertical="center" wrapText="1"/>
    </xf>
    <xf numFmtId="49" fontId="61" fillId="36" borderId="10" xfId="233" applyNumberFormat="1" applyFont="1" applyFill="1" applyBorder="1" applyAlignment="1">
      <alignment horizontal="left"/>
    </xf>
    <xf numFmtId="49" fontId="10" fillId="37" borderId="10" xfId="233" applyNumberFormat="1" applyFont="1" applyFill="1" applyBorder="1" applyAlignment="1" applyProtection="1">
      <alignment horizontal="right"/>
      <protection locked="0"/>
    </xf>
    <xf numFmtId="49" fontId="10" fillId="13" borderId="10" xfId="233" applyNumberFormat="1" applyFont="1" applyFill="1" applyBorder="1" applyAlignment="1">
      <alignment horizontal="right"/>
    </xf>
    <xf numFmtId="49" fontId="58" fillId="36" borderId="10" xfId="233" applyNumberFormat="1" applyFont="1" applyFill="1" applyBorder="1" applyAlignment="1">
      <alignment horizontal="left"/>
    </xf>
    <xf numFmtId="49" fontId="10" fillId="37" borderId="10" xfId="233" applyNumberFormat="1" applyFont="1" applyFill="1" applyBorder="1" applyAlignment="1" applyProtection="1">
      <alignment vertical="top"/>
      <protection locked="0"/>
    </xf>
    <xf numFmtId="49" fontId="10" fillId="37" borderId="10" xfId="228" applyNumberFormat="1" applyFont="1" applyFill="1" applyBorder="1" applyAlignment="1" applyProtection="1">
      <alignment horizontal="center"/>
      <protection locked="0"/>
    </xf>
    <xf numFmtId="41" fontId="12" fillId="36" borderId="15" xfId="229" applyNumberFormat="1" applyFont="1" applyFill="1" applyBorder="1" applyAlignment="1" applyProtection="1">
      <alignment horizontal="left" indent="1"/>
      <protection locked="0"/>
    </xf>
    <xf numFmtId="174" fontId="7" fillId="13" borderId="10" xfId="80" applyNumberFormat="1" applyFont="1" applyFill="1" applyBorder="1" applyAlignment="1" applyProtection="1">
      <alignment horizontal="right"/>
    </xf>
    <xf numFmtId="0" fontId="60" fillId="36" borderId="42" xfId="0" applyFont="1" applyFill="1" applyBorder="1"/>
    <xf numFmtId="0" fontId="60" fillId="36" borderId="0" xfId="0" applyFont="1" applyFill="1" applyAlignment="1">
      <alignment horizontal="center"/>
    </xf>
    <xf numFmtId="0" fontId="60" fillId="36" borderId="0" xfId="0" applyFont="1" applyFill="1"/>
    <xf numFmtId="0" fontId="60" fillId="36" borderId="43" xfId="0" applyFont="1" applyFill="1" applyBorder="1"/>
    <xf numFmtId="14" fontId="0" fillId="0" borderId="0" xfId="0" applyNumberFormat="1"/>
    <xf numFmtId="0" fontId="48" fillId="9" borderId="0" xfId="226" applyFont="1" applyAlignment="1">
      <alignment horizontal="left" vertical="center"/>
    </xf>
    <xf numFmtId="0" fontId="49" fillId="36" borderId="0" xfId="229" applyFont="1" applyFill="1" applyAlignment="1">
      <alignment horizontal="right" indent="1"/>
    </xf>
    <xf numFmtId="2" fontId="35" fillId="36" borderId="10" xfId="229" applyNumberFormat="1" applyFont="1" applyFill="1" applyBorder="1" applyAlignment="1">
      <alignment horizontal="center" vertical="center" wrapText="1"/>
    </xf>
    <xf numFmtId="49" fontId="35" fillId="36" borderId="30" xfId="233" applyNumberFormat="1" applyFont="1" applyFill="1" applyBorder="1" applyAlignment="1">
      <alignment horizontal="center" vertical="center" wrapText="1"/>
    </xf>
    <xf numFmtId="49" fontId="35" fillId="36" borderId="0" xfId="233" applyNumberFormat="1" applyFont="1" applyFill="1" applyAlignment="1">
      <alignment horizontal="center" vertical="center" wrapText="1"/>
    </xf>
    <xf numFmtId="0" fontId="5" fillId="0" borderId="0" xfId="0" applyFont="1"/>
    <xf numFmtId="166" fontId="5" fillId="37" borderId="10" xfId="228" applyNumberFormat="1" applyFill="1" applyBorder="1" applyAlignment="1" applyProtection="1">
      <alignment horizontal="left" indent="1"/>
      <protection locked="0"/>
    </xf>
    <xf numFmtId="166" fontId="5" fillId="37" borderId="16" xfId="228" applyNumberFormat="1" applyFill="1" applyBorder="1" applyAlignment="1" applyProtection="1">
      <alignment horizontal="center"/>
      <protection locked="0"/>
    </xf>
    <xf numFmtId="164" fontId="5" fillId="37" borderId="10" xfId="231" applyNumberFormat="1" applyFill="1" applyBorder="1" applyAlignment="1" applyProtection="1">
      <alignment horizontal="right"/>
      <protection locked="0"/>
    </xf>
    <xf numFmtId="0" fontId="5" fillId="37" borderId="16" xfId="228" applyFill="1" applyBorder="1" applyAlignment="1" applyProtection="1">
      <alignment horizontal="center"/>
      <protection locked="0"/>
    </xf>
    <xf numFmtId="168" fontId="5" fillId="37" borderId="10" xfId="231" applyNumberFormat="1" applyFill="1" applyBorder="1" applyAlignment="1" applyProtection="1">
      <alignment horizontal="center" vertical="center" wrapText="1"/>
      <protection locked="0"/>
    </xf>
    <xf numFmtId="14" fontId="5" fillId="37" borderId="10" xfId="231" applyNumberFormat="1" applyFill="1" applyBorder="1" applyAlignment="1" applyProtection="1">
      <alignment horizontal="center"/>
      <protection locked="0"/>
    </xf>
    <xf numFmtId="14" fontId="5" fillId="37" borderId="10" xfId="231" quotePrefix="1" applyNumberFormat="1" applyFill="1" applyBorder="1" applyAlignment="1" applyProtection="1">
      <alignment horizontal="center"/>
      <protection locked="0"/>
    </xf>
    <xf numFmtId="169" fontId="10" fillId="37" borderId="10" xfId="233" applyNumberFormat="1" applyFont="1" applyFill="1" applyBorder="1" applyAlignment="1" applyProtection="1">
      <alignment horizontal="center"/>
      <protection locked="0"/>
    </xf>
    <xf numFmtId="164" fontId="10" fillId="37" borderId="10" xfId="233" applyNumberFormat="1" applyFont="1" applyFill="1" applyBorder="1" applyAlignment="1" applyProtection="1">
      <alignment horizontal="right" vertical="center"/>
      <protection locked="0"/>
    </xf>
    <xf numFmtId="164" fontId="5" fillId="37" borderId="10" xfId="233" applyNumberFormat="1" applyFill="1" applyBorder="1" applyAlignment="1" applyProtection="1">
      <alignment horizontal="right" vertical="center"/>
      <protection locked="0"/>
    </xf>
    <xf numFmtId="0" fontId="79" fillId="0" borderId="0" xfId="0" applyFont="1"/>
    <xf numFmtId="0" fontId="80" fillId="0" borderId="0" xfId="0" applyFont="1"/>
    <xf numFmtId="0" fontId="77" fillId="0" borderId="0" xfId="0" applyFont="1"/>
    <xf numFmtId="175" fontId="77" fillId="0" borderId="0" xfId="0" applyNumberFormat="1" applyFont="1"/>
    <xf numFmtId="0" fontId="5" fillId="37" borderId="10" xfId="231" applyFill="1" applyBorder="1" applyProtection="1">
      <protection locked="0"/>
    </xf>
    <xf numFmtId="164" fontId="5" fillId="37" borderId="10" xfId="78" quotePrefix="1" applyNumberFormat="1" applyFont="1" applyFill="1" applyBorder="1" applyAlignment="1" applyProtection="1">
      <protection locked="0"/>
    </xf>
    <xf numFmtId="0" fontId="15" fillId="45" borderId="0" xfId="160" applyFill="1" applyAlignment="1" applyProtection="1">
      <alignment vertical="center"/>
    </xf>
    <xf numFmtId="168" fontId="5" fillId="37" borderId="10" xfId="231" applyNumberFormat="1" applyFill="1" applyBorder="1" applyAlignment="1" applyProtection="1">
      <alignment horizontal="center" vertical="center"/>
      <protection locked="0"/>
    </xf>
    <xf numFmtId="0" fontId="5" fillId="9" borderId="0" xfId="226" applyAlignment="1">
      <alignment vertical="center"/>
    </xf>
    <xf numFmtId="0" fontId="48" fillId="9" borderId="0" xfId="226" applyFont="1" applyAlignment="1">
      <alignment vertical="center"/>
    </xf>
    <xf numFmtId="0" fontId="83" fillId="0" borderId="0" xfId="0" applyFont="1"/>
    <xf numFmtId="0" fontId="82" fillId="0" borderId="0" xfId="0" applyFont="1" applyAlignment="1">
      <alignment horizontal="left"/>
    </xf>
    <xf numFmtId="0" fontId="82" fillId="0" borderId="0" xfId="0" applyFont="1"/>
    <xf numFmtId="0" fontId="84" fillId="43" borderId="44" xfId="0" applyFont="1" applyFill="1" applyBorder="1" applyAlignment="1">
      <alignment wrapText="1"/>
    </xf>
    <xf numFmtId="0" fontId="84" fillId="43" borderId="45" xfId="0" applyFont="1" applyFill="1" applyBorder="1" applyAlignment="1">
      <alignment wrapText="1"/>
    </xf>
    <xf numFmtId="0" fontId="84" fillId="44" borderId="45" xfId="0" applyFont="1" applyFill="1" applyBorder="1" applyAlignment="1">
      <alignment wrapText="1"/>
    </xf>
    <xf numFmtId="0" fontId="84" fillId="43" borderId="46" xfId="0" applyFont="1" applyFill="1" applyBorder="1" applyAlignment="1">
      <alignment wrapText="1"/>
    </xf>
    <xf numFmtId="0" fontId="82" fillId="0" borderId="47" xfId="0" applyFont="1" applyBorder="1"/>
    <xf numFmtId="176" fontId="82" fillId="0" borderId="48" xfId="0" applyNumberFormat="1" applyFont="1" applyBorder="1"/>
    <xf numFmtId="0" fontId="82" fillId="0" borderId="49" xfId="0" applyFont="1" applyBorder="1"/>
    <xf numFmtId="0" fontId="82" fillId="0" borderId="50" xfId="0" applyFont="1" applyBorder="1"/>
    <xf numFmtId="176" fontId="82" fillId="0" borderId="51" xfId="0" applyNumberFormat="1" applyFont="1" applyBorder="1"/>
    <xf numFmtId="176" fontId="79" fillId="0" borderId="0" xfId="0" applyNumberFormat="1" applyFont="1"/>
    <xf numFmtId="0" fontId="50" fillId="41" borderId="0" xfId="266" applyFont="1" applyFill="1"/>
    <xf numFmtId="0" fontId="65" fillId="41" borderId="0" xfId="266" applyFont="1" applyFill="1"/>
    <xf numFmtId="166" fontId="5" fillId="37" borderId="10" xfId="228" applyNumberFormat="1" applyFill="1" applyBorder="1" applyAlignment="1" applyProtection="1">
      <alignment horizontal="center"/>
      <protection locked="0"/>
    </xf>
    <xf numFmtId="166" fontId="10" fillId="37" borderId="10" xfId="233" applyNumberFormat="1" applyFont="1" applyFill="1" applyBorder="1" applyAlignment="1" applyProtection="1">
      <alignment horizontal="center"/>
      <protection locked="0"/>
    </xf>
    <xf numFmtId="169" fontId="10" fillId="37" borderId="16" xfId="228" applyNumberFormat="1" applyFont="1" applyFill="1" applyBorder="1" applyAlignment="1" applyProtection="1">
      <alignment horizontal="center"/>
      <protection locked="0"/>
    </xf>
    <xf numFmtId="169" fontId="5" fillId="37" borderId="16" xfId="228" applyNumberFormat="1" applyFill="1" applyBorder="1" applyAlignment="1" applyProtection="1">
      <alignment horizontal="center"/>
      <protection locked="0"/>
    </xf>
    <xf numFmtId="166" fontId="5" fillId="37" borderId="16" xfId="228" applyNumberFormat="1" applyFill="1" applyBorder="1" applyProtection="1">
      <protection locked="0"/>
    </xf>
    <xf numFmtId="164" fontId="10" fillId="37" borderId="16" xfId="228" applyNumberFormat="1" applyFont="1" applyFill="1" applyBorder="1" applyAlignment="1" applyProtection="1">
      <alignment horizontal="center"/>
      <protection locked="0"/>
    </xf>
    <xf numFmtId="0" fontId="5" fillId="37" borderId="10" xfId="80" applyNumberFormat="1" applyFont="1" applyFill="1" applyBorder="1" applyAlignment="1" applyProtection="1">
      <alignment horizontal="center"/>
    </xf>
    <xf numFmtId="49" fontId="5" fillId="37" borderId="10" xfId="228" quotePrefix="1" applyNumberFormat="1" applyFill="1" applyBorder="1" applyAlignment="1" applyProtection="1">
      <alignment horizontal="center" vertical="center" wrapText="1"/>
      <protection locked="0"/>
    </xf>
    <xf numFmtId="49" fontId="5" fillId="37" borderId="10" xfId="78" applyNumberFormat="1" applyFont="1" applyFill="1" applyBorder="1" applyAlignment="1" applyProtection="1">
      <alignment horizontal="center"/>
      <protection locked="0"/>
    </xf>
    <xf numFmtId="49" fontId="10" fillId="37" borderId="10" xfId="80" applyNumberFormat="1" applyFont="1" applyFill="1" applyBorder="1" applyAlignment="1" applyProtection="1">
      <alignment horizontal="center"/>
      <protection locked="0"/>
    </xf>
    <xf numFmtId="49" fontId="10" fillId="37" borderId="10" xfId="231" applyNumberFormat="1" applyFont="1" applyFill="1" applyBorder="1" applyAlignment="1" applyProtection="1">
      <alignment horizontal="center"/>
      <protection locked="0"/>
    </xf>
    <xf numFmtId="49" fontId="10" fillId="37" borderId="10" xfId="78" applyNumberFormat="1" applyFont="1" applyFill="1" applyBorder="1" applyAlignment="1" applyProtection="1">
      <alignment horizontal="center"/>
      <protection locked="0"/>
    </xf>
    <xf numFmtId="49" fontId="10" fillId="36" borderId="10" xfId="229" applyNumberFormat="1" applyFill="1" applyBorder="1" applyAlignment="1">
      <alignment horizontal="center"/>
    </xf>
    <xf numFmtId="0" fontId="5" fillId="9" borderId="0" xfId="228" applyAlignment="1">
      <alignment horizontal="center"/>
    </xf>
    <xf numFmtId="0" fontId="8" fillId="9" borderId="0" xfId="228" applyFont="1" applyAlignment="1">
      <alignment horizontal="center"/>
    </xf>
    <xf numFmtId="0" fontId="8" fillId="9" borderId="0" xfId="228" applyFont="1" applyAlignment="1">
      <alignment horizontal="left"/>
    </xf>
    <xf numFmtId="49" fontId="10" fillId="37" borderId="10" xfId="233" applyNumberFormat="1" applyFont="1" applyFill="1" applyBorder="1" applyAlignment="1" applyProtection="1">
      <alignment horizontal="center"/>
      <protection locked="0"/>
    </xf>
    <xf numFmtId="0" fontId="5" fillId="42" borderId="0" xfId="276" applyFill="1"/>
    <xf numFmtId="49" fontId="5" fillId="37" borderId="10" xfId="231" applyNumberFormat="1" applyFill="1" applyBorder="1" applyAlignment="1" applyProtection="1">
      <alignment horizontal="center"/>
      <protection locked="0"/>
    </xf>
    <xf numFmtId="0" fontId="10" fillId="37" borderId="10" xfId="231" applyFont="1" applyFill="1" applyBorder="1" applyAlignment="1" applyProtection="1">
      <alignment horizontal="center"/>
      <protection locked="0"/>
    </xf>
    <xf numFmtId="49" fontId="5" fillId="37" borderId="10" xfId="80" applyNumberFormat="1" applyFont="1" applyFill="1" applyBorder="1" applyAlignment="1" applyProtection="1">
      <alignment horizontal="center"/>
      <protection locked="0"/>
    </xf>
    <xf numFmtId="10" fontId="5" fillId="37" borderId="10" xfId="231" applyNumberFormat="1" applyFill="1" applyBorder="1" applyAlignment="1" applyProtection="1">
      <alignment horizontal="right"/>
      <protection locked="0"/>
    </xf>
    <xf numFmtId="0" fontId="10" fillId="37" borderId="10" xfId="233" applyFont="1" applyFill="1" applyBorder="1" applyAlignment="1" applyProtection="1">
      <alignment horizontal="center"/>
      <protection locked="0"/>
    </xf>
    <xf numFmtId="1" fontId="10" fillId="37" borderId="16" xfId="228" applyNumberFormat="1" applyFont="1" applyFill="1" applyBorder="1" applyAlignment="1" applyProtection="1">
      <alignment horizontal="right" wrapText="1"/>
      <protection locked="0"/>
    </xf>
    <xf numFmtId="0" fontId="48" fillId="37" borderId="15" xfId="229" applyFont="1" applyFill="1" applyBorder="1" applyAlignment="1" applyProtection="1">
      <alignment horizontal="right" vertical="center"/>
      <protection locked="0"/>
    </xf>
    <xf numFmtId="0" fontId="48" fillId="37" borderId="32" xfId="229" applyFont="1" applyFill="1" applyBorder="1" applyAlignment="1" applyProtection="1">
      <alignment horizontal="right" vertical="center"/>
      <protection locked="0"/>
    </xf>
    <xf numFmtId="0" fontId="48" fillId="37" borderId="16" xfId="229" applyFont="1" applyFill="1" applyBorder="1" applyAlignment="1" applyProtection="1">
      <alignment horizontal="right" vertical="center"/>
      <protection locked="0"/>
    </xf>
    <xf numFmtId="0" fontId="74" fillId="36" borderId="19" xfId="229" applyFont="1" applyFill="1" applyBorder="1" applyAlignment="1">
      <alignment horizontal="center"/>
    </xf>
    <xf numFmtId="0" fontId="74" fillId="36" borderId="20" xfId="229" applyFont="1" applyFill="1" applyBorder="1" applyAlignment="1">
      <alignment horizontal="center"/>
    </xf>
    <xf numFmtId="0" fontId="74" fillId="36" borderId="21" xfId="229" applyFont="1" applyFill="1" applyBorder="1" applyAlignment="1">
      <alignment horizontal="center"/>
    </xf>
    <xf numFmtId="0" fontId="71" fillId="36" borderId="17" xfId="229" applyFont="1" applyFill="1" applyBorder="1" applyAlignment="1">
      <alignment horizontal="left" vertical="top"/>
    </xf>
    <xf numFmtId="49" fontId="8" fillId="37" borderId="32" xfId="226" applyNumberFormat="1" applyFont="1" applyFill="1" applyBorder="1" applyAlignment="1" applyProtection="1">
      <alignment horizontal="right" vertical="center"/>
      <protection locked="0"/>
    </xf>
    <xf numFmtId="49" fontId="48" fillId="37" borderId="32" xfId="225" applyNumberFormat="1" applyFont="1" applyFill="1" applyBorder="1" applyAlignment="1" applyProtection="1">
      <alignment horizontal="right" vertical="center"/>
      <protection locked="0"/>
    </xf>
    <xf numFmtId="49" fontId="48" fillId="37" borderId="16" xfId="225" applyNumberFormat="1" applyFont="1" applyFill="1" applyBorder="1" applyAlignment="1" applyProtection="1">
      <alignment horizontal="right" vertical="center"/>
      <protection locked="0"/>
    </xf>
    <xf numFmtId="0" fontId="71" fillId="36" borderId="30" xfId="226" applyFont="1" applyFill="1" applyBorder="1" applyAlignment="1">
      <alignment horizontal="left" vertical="center" wrapText="1"/>
    </xf>
    <xf numFmtId="0" fontId="71" fillId="36" borderId="0" xfId="226" applyFont="1" applyFill="1" applyAlignment="1">
      <alignment horizontal="left" vertical="center" wrapText="1"/>
    </xf>
    <xf numFmtId="0" fontId="71" fillId="36" borderId="15" xfId="226" applyFont="1" applyFill="1" applyBorder="1" applyAlignment="1">
      <alignment horizontal="left" vertical="center"/>
    </xf>
    <xf numFmtId="0" fontId="71" fillId="36" borderId="16" xfId="226" applyFont="1" applyFill="1" applyBorder="1" applyAlignment="1">
      <alignment horizontal="left" vertical="center"/>
    </xf>
    <xf numFmtId="14" fontId="8" fillId="37" borderId="32" xfId="226" applyNumberFormat="1" applyFont="1" applyFill="1" applyBorder="1" applyAlignment="1" applyProtection="1">
      <alignment vertical="center"/>
      <protection locked="0"/>
    </xf>
    <xf numFmtId="14" fontId="48" fillId="37" borderId="32" xfId="225" applyNumberFormat="1" applyFont="1" applyFill="1" applyBorder="1" applyAlignment="1" applyProtection="1">
      <alignment vertical="center"/>
      <protection locked="0"/>
    </xf>
    <xf numFmtId="14" fontId="48" fillId="37" borderId="16" xfId="225" applyNumberFormat="1" applyFont="1" applyFill="1" applyBorder="1" applyAlignment="1" applyProtection="1">
      <alignment vertical="center"/>
      <protection locked="0"/>
    </xf>
    <xf numFmtId="0" fontId="8" fillId="37" borderId="10" xfId="226" applyFont="1" applyFill="1" applyBorder="1" applyAlignment="1" applyProtection="1">
      <alignment horizontal="right" vertical="center"/>
      <protection locked="0"/>
    </xf>
    <xf numFmtId="0" fontId="48" fillId="37" borderId="10" xfId="226" applyFont="1" applyFill="1" applyBorder="1" applyAlignment="1" applyProtection="1">
      <alignment horizontal="right" vertical="center"/>
      <protection locked="0"/>
    </xf>
    <xf numFmtId="0" fontId="71" fillId="36" borderId="32" xfId="226" applyFont="1" applyFill="1" applyBorder="1" applyAlignment="1">
      <alignment horizontal="left" vertical="center"/>
    </xf>
    <xf numFmtId="0" fontId="8" fillId="37" borderId="32" xfId="226" applyFont="1" applyFill="1" applyBorder="1" applyAlignment="1" applyProtection="1">
      <alignment horizontal="right" vertical="center"/>
      <protection locked="0"/>
    </xf>
    <xf numFmtId="0" fontId="48" fillId="37" borderId="32" xfId="225" applyFont="1" applyFill="1" applyBorder="1" applyAlignment="1" applyProtection="1">
      <alignment horizontal="right" vertical="center"/>
      <protection locked="0"/>
    </xf>
    <xf numFmtId="0" fontId="48" fillId="37" borderId="16" xfId="225" applyFont="1" applyFill="1" applyBorder="1" applyAlignment="1" applyProtection="1">
      <alignment horizontal="right" vertical="center"/>
      <protection locked="0"/>
    </xf>
    <xf numFmtId="0" fontId="71" fillId="36" borderId="0" xfId="226" applyFont="1" applyFill="1" applyAlignment="1">
      <alignment horizontal="left" vertical="center"/>
    </xf>
    <xf numFmtId="0" fontId="49" fillId="36" borderId="0" xfId="229" applyFont="1" applyFill="1" applyAlignment="1">
      <alignment horizontal="right" indent="1"/>
    </xf>
    <xf numFmtId="0" fontId="49" fillId="36" borderId="31" xfId="229" applyFont="1" applyFill="1" applyBorder="1" applyAlignment="1">
      <alignment horizontal="right" indent="1"/>
    </xf>
    <xf numFmtId="0" fontId="74" fillId="36" borderId="22" xfId="229" applyFont="1" applyFill="1" applyBorder="1" applyAlignment="1">
      <alignment horizontal="center"/>
    </xf>
    <xf numFmtId="0" fontId="74" fillId="36" borderId="23" xfId="229" applyFont="1" applyFill="1" applyBorder="1" applyAlignment="1">
      <alignment horizontal="center"/>
    </xf>
    <xf numFmtId="0" fontId="74" fillId="36" borderId="24" xfId="229" applyFont="1" applyFill="1" applyBorder="1" applyAlignment="1">
      <alignment horizontal="center"/>
    </xf>
    <xf numFmtId="0" fontId="71" fillId="36" borderId="22" xfId="229" applyFont="1" applyFill="1" applyBorder="1" applyAlignment="1">
      <alignment horizontal="left" vertical="top"/>
    </xf>
    <xf numFmtId="0" fontId="74" fillId="36" borderId="23" xfId="229" applyFont="1" applyFill="1" applyBorder="1" applyAlignment="1">
      <alignment horizontal="center" vertical="center"/>
    </xf>
    <xf numFmtId="0" fontId="74" fillId="36" borderId="24" xfId="229" applyFont="1" applyFill="1" applyBorder="1" applyAlignment="1">
      <alignment horizontal="center" vertical="center"/>
    </xf>
    <xf numFmtId="0" fontId="49" fillId="36" borderId="18" xfId="229" applyFont="1" applyFill="1" applyBorder="1" applyAlignment="1">
      <alignment horizontal="center"/>
    </xf>
    <xf numFmtId="0" fontId="49" fillId="36" borderId="0" xfId="229" applyFont="1" applyFill="1" applyAlignment="1">
      <alignment horizontal="center"/>
    </xf>
    <xf numFmtId="0" fontId="48" fillId="37" borderId="10" xfId="229" applyFont="1" applyFill="1" applyBorder="1" applyAlignment="1" applyProtection="1">
      <alignment horizontal="right" vertical="center"/>
      <protection locked="0"/>
    </xf>
    <xf numFmtId="0" fontId="48" fillId="36" borderId="30" xfId="229" applyFont="1" applyFill="1" applyBorder="1" applyAlignment="1">
      <alignment horizontal="center"/>
    </xf>
    <xf numFmtId="0" fontId="48" fillId="36" borderId="18" xfId="229" applyFont="1" applyFill="1" applyBorder="1" applyAlignment="1">
      <alignment horizontal="center"/>
    </xf>
    <xf numFmtId="0" fontId="48" fillId="9" borderId="32" xfId="229" applyFont="1" applyBorder="1" applyAlignment="1" applyProtection="1">
      <alignment horizontal="right" vertical="center"/>
      <protection locked="0"/>
    </xf>
    <xf numFmtId="0" fontId="48" fillId="9" borderId="16" xfId="229" applyFont="1" applyBorder="1" applyAlignment="1" applyProtection="1">
      <alignment horizontal="right" vertical="center"/>
      <protection locked="0"/>
    </xf>
    <xf numFmtId="0" fontId="48" fillId="37" borderId="15" xfId="229" quotePrefix="1" applyFont="1" applyFill="1" applyBorder="1" applyAlignment="1" applyProtection="1">
      <alignment horizontal="right" vertical="center"/>
      <protection locked="0"/>
    </xf>
    <xf numFmtId="0" fontId="8" fillId="9" borderId="19" xfId="226" applyFont="1" applyBorder="1" applyAlignment="1">
      <alignment horizontal="left" vertical="center"/>
    </xf>
    <xf numFmtId="0" fontId="48" fillId="9" borderId="20" xfId="226" applyFont="1" applyBorder="1" applyAlignment="1">
      <alignment horizontal="left" vertical="center"/>
    </xf>
    <xf numFmtId="0" fontId="48" fillId="9" borderId="21" xfId="226" applyFont="1" applyBorder="1" applyAlignment="1">
      <alignment horizontal="left" vertical="center"/>
    </xf>
    <xf numFmtId="164" fontId="8" fillId="13" borderId="22" xfId="52" applyFont="1" applyBorder="1" applyAlignment="1">
      <alignment horizontal="left" vertical="center"/>
    </xf>
    <xf numFmtId="0" fontId="48" fillId="9" borderId="23" xfId="226" applyFont="1" applyBorder="1" applyAlignment="1">
      <alignment horizontal="left" vertical="center"/>
    </xf>
    <xf numFmtId="0" fontId="48" fillId="9" borderId="24" xfId="226" applyFont="1" applyBorder="1" applyAlignment="1">
      <alignment horizontal="left" vertical="center"/>
    </xf>
    <xf numFmtId="164" fontId="8" fillId="37" borderId="17" xfId="163" applyFont="1" applyFill="1" applyBorder="1" applyAlignment="1" applyProtection="1">
      <alignment horizontal="left" vertical="center"/>
    </xf>
    <xf numFmtId="0" fontId="48" fillId="37" borderId="0" xfId="226" applyFont="1" applyFill="1" applyAlignment="1">
      <alignment horizontal="left" vertical="center"/>
    </xf>
    <xf numFmtId="0" fontId="48" fillId="37" borderId="18" xfId="226" applyFont="1" applyFill="1" applyBorder="1" applyAlignment="1">
      <alignment horizontal="left" vertical="center"/>
    </xf>
    <xf numFmtId="0" fontId="48" fillId="0" borderId="0" xfId="226" applyFont="1" applyFill="1" applyAlignment="1">
      <alignment horizontal="left" vertical="center"/>
    </xf>
    <xf numFmtId="0" fontId="48" fillId="9" borderId="0" xfId="226" applyFont="1" applyAlignment="1">
      <alignment horizontal="left" vertical="center"/>
    </xf>
    <xf numFmtId="0" fontId="8" fillId="0" borderId="0" xfId="226" applyFont="1" applyFill="1" applyAlignment="1">
      <alignment vertical="center"/>
    </xf>
    <xf numFmtId="0" fontId="48" fillId="0" borderId="0" xfId="225" applyFont="1" applyFill="1" applyAlignment="1">
      <alignment vertical="center"/>
    </xf>
    <xf numFmtId="0" fontId="8" fillId="37" borderId="32" xfId="226" applyFont="1" applyFill="1" applyBorder="1" applyAlignment="1" applyProtection="1">
      <alignment horizontal="right" vertical="center" wrapText="1"/>
      <protection locked="0"/>
    </xf>
    <xf numFmtId="0" fontId="48" fillId="37" borderId="32" xfId="225" applyFont="1" applyFill="1" applyBorder="1" applyAlignment="1" applyProtection="1">
      <alignment horizontal="right" vertical="center" wrapText="1"/>
      <protection locked="0"/>
    </xf>
    <xf numFmtId="0" fontId="48" fillId="37" borderId="16" xfId="225" applyFont="1" applyFill="1" applyBorder="1" applyAlignment="1" applyProtection="1">
      <alignment horizontal="right" vertical="center" wrapText="1"/>
      <protection locked="0"/>
    </xf>
    <xf numFmtId="0" fontId="8" fillId="37" borderId="10" xfId="226" applyFont="1" applyFill="1" applyBorder="1" applyAlignment="1" applyProtection="1">
      <alignment horizontal="right" wrapText="1"/>
      <protection locked="0"/>
    </xf>
    <xf numFmtId="0" fontId="48" fillId="37" borderId="10" xfId="226" applyFont="1" applyFill="1" applyBorder="1" applyAlignment="1" applyProtection="1">
      <alignment horizontal="right" wrapText="1"/>
      <protection locked="0"/>
    </xf>
    <xf numFmtId="0" fontId="75" fillId="40" borderId="0" xfId="0" applyFont="1" applyFill="1" applyAlignment="1">
      <alignment horizontal="center"/>
    </xf>
    <xf numFmtId="49" fontId="35" fillId="36" borderId="15" xfId="229" applyNumberFormat="1" applyFont="1" applyFill="1" applyBorder="1" applyAlignment="1">
      <alignment horizontal="center" vertical="center"/>
    </xf>
    <xf numFmtId="49" fontId="35" fillId="36" borderId="16" xfId="229" applyNumberFormat="1" applyFont="1" applyFill="1" applyBorder="1" applyAlignment="1">
      <alignment horizontal="center" vertical="center"/>
    </xf>
    <xf numFmtId="49" fontId="35" fillId="36" borderId="33" xfId="229" applyNumberFormat="1" applyFont="1" applyFill="1" applyBorder="1" applyAlignment="1">
      <alignment horizontal="center" vertical="center"/>
    </xf>
    <xf numFmtId="49" fontId="35" fillId="36" borderId="11" xfId="229" applyNumberFormat="1" applyFont="1" applyFill="1" applyBorder="1" applyAlignment="1">
      <alignment horizontal="center" vertical="center"/>
    </xf>
    <xf numFmtId="2" fontId="35" fillId="36" borderId="11" xfId="228" applyNumberFormat="1" applyFont="1" applyFill="1" applyBorder="1" applyAlignment="1">
      <alignment horizontal="center" vertical="center" wrapText="1"/>
    </xf>
    <xf numFmtId="2" fontId="35" fillId="36" borderId="13" xfId="228" applyNumberFormat="1" applyFont="1" applyFill="1" applyBorder="1" applyAlignment="1">
      <alignment horizontal="center" vertical="center" wrapText="1"/>
    </xf>
    <xf numFmtId="2" fontId="35" fillId="36" borderId="15" xfId="228" applyNumberFormat="1" applyFont="1" applyFill="1" applyBorder="1" applyAlignment="1">
      <alignment horizontal="center" vertical="center" wrapText="1"/>
    </xf>
    <xf numFmtId="2" fontId="35" fillId="36" borderId="32" xfId="228" applyNumberFormat="1" applyFont="1" applyFill="1" applyBorder="1" applyAlignment="1">
      <alignment horizontal="center" vertical="center" wrapText="1"/>
    </xf>
    <xf numFmtId="2" fontId="35" fillId="36" borderId="15" xfId="229" applyNumberFormat="1" applyFont="1" applyFill="1" applyBorder="1" applyAlignment="1">
      <alignment horizontal="center" vertical="center" wrapText="1"/>
    </xf>
    <xf numFmtId="2" fontId="35" fillId="36" borderId="32" xfId="229" applyNumberFormat="1" applyFont="1" applyFill="1" applyBorder="1" applyAlignment="1">
      <alignment horizontal="center" vertical="center" wrapText="1"/>
    </xf>
    <xf numFmtId="2" fontId="35" fillId="36" borderId="16" xfId="229" applyNumberFormat="1" applyFont="1" applyFill="1" applyBorder="1" applyAlignment="1">
      <alignment horizontal="center" vertical="center" wrapText="1"/>
    </xf>
    <xf numFmtId="167" fontId="35" fillId="36" borderId="15" xfId="228" quotePrefix="1" applyNumberFormat="1" applyFont="1" applyFill="1" applyBorder="1" applyAlignment="1">
      <alignment horizontal="left" vertical="center" wrapText="1"/>
    </xf>
    <xf numFmtId="167" fontId="35" fillId="36" borderId="16" xfId="228" quotePrefix="1" applyNumberFormat="1" applyFont="1" applyFill="1" applyBorder="1" applyAlignment="1">
      <alignment horizontal="left" vertical="center" wrapText="1"/>
    </xf>
    <xf numFmtId="0" fontId="8" fillId="40" borderId="0" xfId="0" applyFont="1" applyFill="1" applyAlignment="1">
      <alignment horizontal="left" vertical="top" wrapText="1"/>
    </xf>
    <xf numFmtId="49" fontId="12" fillId="36" borderId="15" xfId="228" applyNumberFormat="1" applyFont="1" applyFill="1" applyBorder="1" applyAlignment="1">
      <alignment horizontal="left" wrapText="1"/>
    </xf>
    <xf numFmtId="49" fontId="12" fillId="36" borderId="16" xfId="228" applyNumberFormat="1" applyFont="1" applyFill="1" applyBorder="1" applyAlignment="1">
      <alignment horizontal="left" wrapText="1"/>
    </xf>
    <xf numFmtId="0" fontId="8" fillId="0" borderId="0" xfId="230" applyFont="1" applyFill="1" applyAlignment="1">
      <alignment horizontal="left" vertical="center"/>
    </xf>
    <xf numFmtId="0" fontId="54" fillId="32" borderId="0" xfId="151" applyAlignment="1">
      <alignment horizontal="left" vertical="top" wrapText="1"/>
    </xf>
    <xf numFmtId="2" fontId="35" fillId="36" borderId="10" xfId="229" applyNumberFormat="1" applyFont="1" applyFill="1" applyBorder="1" applyAlignment="1">
      <alignment horizontal="center" vertical="center" wrapText="1"/>
    </xf>
    <xf numFmtId="0" fontId="8" fillId="40" borderId="0" xfId="0" applyFont="1" applyFill="1" applyAlignment="1">
      <alignment horizontal="left" vertical="center" wrapText="1"/>
    </xf>
    <xf numFmtId="0" fontId="35" fillId="38" borderId="32" xfId="231" applyFont="1" applyFill="1" applyBorder="1" applyAlignment="1">
      <alignment horizontal="left"/>
    </xf>
    <xf numFmtId="0" fontId="35" fillId="38" borderId="16" xfId="231" applyFont="1" applyFill="1" applyBorder="1" applyAlignment="1">
      <alignment horizontal="left"/>
    </xf>
    <xf numFmtId="49" fontId="35" fillId="36" borderId="30" xfId="233" applyNumberFormat="1" applyFont="1" applyFill="1" applyBorder="1" applyAlignment="1">
      <alignment horizontal="center" vertical="center" wrapText="1"/>
    </xf>
    <xf numFmtId="49" fontId="35" fillId="36" borderId="0" xfId="233" applyNumberFormat="1" applyFont="1" applyFill="1" applyAlignment="1">
      <alignment horizontal="center" vertical="center" wrapText="1"/>
    </xf>
    <xf numFmtId="49" fontId="35" fillId="36" borderId="15" xfId="233" applyNumberFormat="1" applyFont="1" applyFill="1" applyBorder="1" applyAlignment="1">
      <alignment horizontal="center" vertical="center" wrapText="1"/>
    </xf>
    <xf numFmtId="49" fontId="35" fillId="36" borderId="16" xfId="233" applyNumberFormat="1" applyFont="1" applyFill="1" applyBorder="1" applyAlignment="1">
      <alignment horizontal="center" vertical="center" wrapText="1"/>
    </xf>
    <xf numFmtId="49" fontId="58" fillId="38" borderId="33" xfId="228" applyNumberFormat="1" applyFont="1" applyFill="1" applyBorder="1" applyAlignment="1">
      <alignment horizontal="left"/>
    </xf>
    <xf numFmtId="49" fontId="58" fillId="38" borderId="34" xfId="228" applyNumberFormat="1" applyFont="1" applyFill="1" applyBorder="1" applyAlignment="1">
      <alignment horizontal="left"/>
    </xf>
    <xf numFmtId="168" fontId="58" fillId="38" borderId="15" xfId="231" applyNumberFormat="1" applyFont="1" applyFill="1" applyBorder="1" applyAlignment="1">
      <alignment horizontal="left"/>
    </xf>
    <xf numFmtId="168" fontId="58" fillId="38" borderId="32" xfId="231" applyNumberFormat="1" applyFont="1" applyFill="1" applyBorder="1" applyAlignment="1">
      <alignment horizontal="left"/>
    </xf>
    <xf numFmtId="168" fontId="58" fillId="38" borderId="16" xfId="231" applyNumberFormat="1" applyFont="1" applyFill="1" applyBorder="1" applyAlignment="1">
      <alignment horizontal="left"/>
    </xf>
    <xf numFmtId="49" fontId="12" fillId="36" borderId="38" xfId="229" applyNumberFormat="1" applyFont="1" applyFill="1" applyBorder="1" applyAlignment="1">
      <alignment horizontal="center" vertical="center" wrapText="1"/>
    </xf>
    <xf numFmtId="49" fontId="12" fillId="36" borderId="39" xfId="229" applyNumberFormat="1" applyFont="1" applyFill="1" applyBorder="1" applyAlignment="1">
      <alignment horizontal="center" vertical="center" wrapText="1"/>
    </xf>
    <xf numFmtId="49" fontId="12" fillId="36" borderId="40" xfId="229" applyNumberFormat="1" applyFont="1" applyFill="1" applyBorder="1" applyAlignment="1">
      <alignment horizontal="center" vertical="center" wrapText="1"/>
    </xf>
    <xf numFmtId="49" fontId="12" fillId="36" borderId="41" xfId="229" applyNumberFormat="1" applyFont="1" applyFill="1" applyBorder="1" applyAlignment="1">
      <alignment horizontal="center" vertical="center" wrapText="1"/>
    </xf>
    <xf numFmtId="49" fontId="60" fillId="36" borderId="14" xfId="229" applyNumberFormat="1" applyFont="1" applyFill="1" applyBorder="1" applyAlignment="1">
      <alignment horizontal="center" vertical="center"/>
    </xf>
    <xf numFmtId="49" fontId="60" fillId="36" borderId="12" xfId="229" applyNumberFormat="1" applyFont="1" applyFill="1" applyBorder="1" applyAlignment="1">
      <alignment horizontal="center" vertical="center"/>
    </xf>
    <xf numFmtId="49" fontId="35" fillId="36" borderId="35" xfId="229" applyNumberFormat="1" applyFont="1" applyFill="1" applyBorder="1" applyAlignment="1">
      <alignment horizontal="center" vertical="center" wrapText="1"/>
    </xf>
    <xf numFmtId="49" fontId="35" fillId="36" borderId="36" xfId="229" applyNumberFormat="1" applyFont="1" applyFill="1" applyBorder="1" applyAlignment="1">
      <alignment horizontal="center" vertical="center" wrapText="1"/>
    </xf>
    <xf numFmtId="49" fontId="76" fillId="36" borderId="35" xfId="229" applyNumberFormat="1" applyFont="1" applyFill="1" applyBorder="1" applyAlignment="1">
      <alignment horizontal="center" vertical="center" wrapText="1"/>
    </xf>
    <xf numFmtId="49" fontId="76" fillId="36" borderId="36" xfId="229" applyNumberFormat="1" applyFont="1" applyFill="1" applyBorder="1" applyAlignment="1">
      <alignment horizontal="center" vertical="center" wrapText="1"/>
    </xf>
    <xf numFmtId="49" fontId="35" fillId="36" borderId="19" xfId="229" applyNumberFormat="1" applyFont="1" applyFill="1" applyBorder="1" applyAlignment="1">
      <alignment horizontal="center" vertical="center" wrapText="1"/>
    </xf>
    <xf numFmtId="49" fontId="35" fillId="36" borderId="20" xfId="229" applyNumberFormat="1" applyFont="1" applyFill="1" applyBorder="1" applyAlignment="1">
      <alignment horizontal="center" vertical="center" wrapText="1"/>
    </xf>
    <xf numFmtId="49" fontId="35" fillId="36" borderId="21" xfId="229" applyNumberFormat="1" applyFont="1" applyFill="1" applyBorder="1" applyAlignment="1">
      <alignment horizontal="center" vertical="center" wrapText="1"/>
    </xf>
    <xf numFmtId="49" fontId="35" fillId="36" borderId="37" xfId="229" applyNumberFormat="1" applyFont="1" applyFill="1" applyBorder="1" applyAlignment="1">
      <alignment horizontal="center" vertical="center" wrapText="1"/>
    </xf>
    <xf numFmtId="49" fontId="12" fillId="36" borderId="14" xfId="229" applyNumberFormat="1" applyFont="1" applyFill="1" applyBorder="1" applyAlignment="1">
      <alignment horizontal="center" vertical="center" wrapText="1"/>
    </xf>
    <xf numFmtId="49" fontId="12" fillId="36" borderId="12" xfId="229" applyNumberFormat="1" applyFont="1" applyFill="1" applyBorder="1" applyAlignment="1">
      <alignment horizontal="center" vertical="center" wrapText="1"/>
    </xf>
    <xf numFmtId="173" fontId="37" fillId="13" borderId="10" xfId="80" applyNumberFormat="1" applyFont="1" applyFill="1" applyBorder="1" applyAlignment="1" applyProtection="1">
      <alignment horizontal="center" vertical="center" wrapText="1"/>
    </xf>
    <xf numFmtId="49" fontId="35" fillId="36" borderId="14" xfId="229" applyNumberFormat="1" applyFont="1" applyFill="1" applyBorder="1" applyAlignment="1">
      <alignment horizontal="center" vertical="center" wrapText="1"/>
    </xf>
    <xf numFmtId="49" fontId="35" fillId="36" borderId="12" xfId="229" applyNumberFormat="1" applyFont="1" applyFill="1" applyBorder="1" applyAlignment="1">
      <alignment horizontal="center" vertical="center" wrapText="1"/>
    </xf>
    <xf numFmtId="2" fontId="35" fillId="36" borderId="14" xfId="229" applyNumberFormat="1" applyFont="1" applyFill="1" applyBorder="1" applyAlignment="1">
      <alignment horizontal="center" vertical="center" wrapText="1"/>
    </xf>
    <xf numFmtId="2" fontId="35" fillId="36" borderId="12" xfId="229" applyNumberFormat="1" applyFont="1" applyFill="1" applyBorder="1" applyAlignment="1">
      <alignment horizontal="center" vertical="center" wrapText="1"/>
    </xf>
    <xf numFmtId="49" fontId="35" fillId="36" borderId="33" xfId="229" applyNumberFormat="1" applyFont="1" applyFill="1" applyBorder="1" applyAlignment="1">
      <alignment horizontal="center" vertical="center" wrapText="1"/>
    </xf>
    <xf numFmtId="49" fontId="35" fillId="36" borderId="11" xfId="229" applyNumberFormat="1" applyFont="1" applyFill="1" applyBorder="1" applyAlignment="1">
      <alignment horizontal="center" vertical="center" wrapText="1"/>
    </xf>
  </cellXfs>
  <cellStyles count="286">
    <cellStyle name="_APL (B001)_Jan11_Rec 2" xfId="270" xr:uid="{C6FD913C-2FDF-46FE-9272-B9A55927F387}"/>
    <cellStyle name="=C:\WINNT\SYSTEM32\COMMAND.COM 2" xfId="1" xr:uid="{900F7BF6-4BDA-4B2C-823B-A0FBF08F9B97}"/>
    <cellStyle name="20% - Accent1" xfId="2" builtinId="30" customBuiltin="1"/>
    <cellStyle name="20% - Accent1 2" xfId="3" xr:uid="{BF7CB8D3-D0AD-413F-B9D1-35989C3A3E6C}"/>
    <cellStyle name="20% - Accent2" xfId="4" builtinId="34" customBuiltin="1"/>
    <cellStyle name="20% - Accent2 2" xfId="5" xr:uid="{B54270B7-DD77-493F-A557-F6D233CFCBCB}"/>
    <cellStyle name="20% - Accent3" xfId="6" builtinId="38" customBuiltin="1"/>
    <cellStyle name="20% - Accent3 2" xfId="7" xr:uid="{280E413C-98E9-48DF-A1A1-94FDE218F437}"/>
    <cellStyle name="20% - Accent4" xfId="8" builtinId="42" customBuiltin="1"/>
    <cellStyle name="20% - Accent4 2" xfId="9" xr:uid="{91EDE946-731F-4AB9-ADE7-7A7DD9AD1172}"/>
    <cellStyle name="20% - Accent5" xfId="10" builtinId="46" customBuiltin="1"/>
    <cellStyle name="20% - Accent5 2" xfId="11" xr:uid="{970B1DD0-9300-48B1-87C9-58D24155C481}"/>
    <cellStyle name="20% - Accent6" xfId="12" builtinId="50" customBuiltin="1"/>
    <cellStyle name="20% - Accent6 2" xfId="13" xr:uid="{408D388B-C9B5-479D-BB75-F17F0EC22B31}"/>
    <cellStyle name="40% - Accent1" xfId="14" builtinId="31" customBuiltin="1"/>
    <cellStyle name="40% - Accent1 2" xfId="15" xr:uid="{2F182CF0-90F8-4CA6-B98E-BDAC968D3BBC}"/>
    <cellStyle name="40% - Accent2" xfId="16" builtinId="35" customBuiltin="1"/>
    <cellStyle name="40% - Accent2 2" xfId="17" xr:uid="{1512F833-53A6-4DD6-921D-F29AB247D9C9}"/>
    <cellStyle name="40% - Accent3" xfId="18" builtinId="39" customBuiltin="1"/>
    <cellStyle name="40% - Accent3 2" xfId="19" xr:uid="{99238F8B-47CE-4ED7-BAEE-E1D02A56E4FB}"/>
    <cellStyle name="40% - Accent4" xfId="20" builtinId="43" customBuiltin="1"/>
    <cellStyle name="40% - Accent4 2" xfId="21" xr:uid="{C8FC237E-D636-48D5-875F-813BDABC9927}"/>
    <cellStyle name="40% - Accent5" xfId="22" builtinId="47" customBuiltin="1"/>
    <cellStyle name="40% - Accent5 2" xfId="23" xr:uid="{E7FDFDCC-D1CF-4B66-95E1-D980480CF45E}"/>
    <cellStyle name="40% - Accent6" xfId="24" builtinId="51" customBuiltin="1"/>
    <cellStyle name="40% - Accent6 2" xfId="25" xr:uid="{28D214DB-B5CB-489F-9334-F1605693C99C}"/>
    <cellStyle name="60% - Accent1" xfId="26" builtinId="32" customBuiltin="1"/>
    <cellStyle name="60% - Accent1 2" xfId="27" xr:uid="{EAF3D3C5-D127-49EB-9A2E-FE7F1DD72662}"/>
    <cellStyle name="60% - Accent2" xfId="28" builtinId="36" customBuiltin="1"/>
    <cellStyle name="60% - Accent2 2" xfId="29" xr:uid="{56A52346-0D53-4AA0-85BA-A724BA58D91D}"/>
    <cellStyle name="60% - Accent3" xfId="30" builtinId="40" customBuiltin="1"/>
    <cellStyle name="60% - Accent3 2" xfId="31" xr:uid="{6AC86B74-330C-4D7B-B562-28981DFFB14B}"/>
    <cellStyle name="60% - Accent4" xfId="32" builtinId="44" customBuiltin="1"/>
    <cellStyle name="60% - Accent4 2" xfId="33" xr:uid="{764D87E7-7E9B-46E9-88CC-748B7A2CCC92}"/>
    <cellStyle name="60% - Accent5" xfId="34" builtinId="48" customBuiltin="1"/>
    <cellStyle name="60% - Accent5 2" xfId="35" xr:uid="{CBB7AE90-943D-4A03-A6E1-8534C3A71AE0}"/>
    <cellStyle name="60% - Accent6" xfId="36" builtinId="52" customBuiltin="1"/>
    <cellStyle name="60% - Accent6 2" xfId="37" xr:uid="{073F5EBD-2308-4C9E-BFDC-590915ACD42A}"/>
    <cellStyle name="Accent1" xfId="38" builtinId="29" customBuiltin="1"/>
    <cellStyle name="Accent1 2" xfId="39" xr:uid="{D957DF4A-284B-4B38-98D5-58E570B686D9}"/>
    <cellStyle name="Accent2" xfId="40" builtinId="33" customBuiltin="1"/>
    <cellStyle name="Accent2 2" xfId="41" xr:uid="{F579C60C-2AA7-49B1-8A6B-19F325E1422E}"/>
    <cellStyle name="Accent3" xfId="42" builtinId="37" customBuiltin="1"/>
    <cellStyle name="Accent3 2" xfId="43" xr:uid="{75FB8916-5BF0-48CE-B950-33095D39EDE6}"/>
    <cellStyle name="Accent4" xfId="44" builtinId="41" customBuiltin="1"/>
    <cellStyle name="Accent4 2" xfId="45" xr:uid="{52087FE4-4073-4B3A-BE9B-F8ACE5A1B90F}"/>
    <cellStyle name="Accent5" xfId="46" builtinId="45" customBuiltin="1"/>
    <cellStyle name="Accent5 2" xfId="47" xr:uid="{34B71274-6D19-4CF3-9E00-1EC0C8AA64D1}"/>
    <cellStyle name="Accent6" xfId="48" builtinId="49" customBuiltin="1"/>
    <cellStyle name="Accent6 2" xfId="49" xr:uid="{8BE1E5CD-8BF3-40A3-8078-2D2FC36D12B5}"/>
    <cellStyle name="Bad" xfId="50" builtinId="27" customBuiltin="1"/>
    <cellStyle name="Bad 2" xfId="51" xr:uid="{8C16141A-3714-40C2-B683-323E24A6B948}"/>
    <cellStyle name="Blockout" xfId="52" xr:uid="{46DB5EEF-C5BF-4C02-9378-619B2D4057D1}"/>
    <cellStyle name="Blockout 2" xfId="53" xr:uid="{A84CA5EB-494E-4B49-9888-26B6A009DCB9}"/>
    <cellStyle name="Blockout 2 2" xfId="54" xr:uid="{18D3594E-5A88-4299-A40B-17F2333C4816}"/>
    <cellStyle name="Blockout 2 2 2" xfId="55" xr:uid="{B9B39D8A-209B-4461-AAA9-AE5944340B04}"/>
    <cellStyle name="Blockout 2 2 2 2" xfId="56" xr:uid="{52361ED0-AE8C-4EB9-97D4-94303A3D5AED}"/>
    <cellStyle name="Blockout 2 2 3" xfId="57" xr:uid="{7F65E1BD-BEA7-4C4A-B16D-E636F0C7E83D}"/>
    <cellStyle name="Blockout 2 2 3 2" xfId="58" xr:uid="{8D02C81D-E1FE-4109-8921-B722813E38B5}"/>
    <cellStyle name="Blockout 2 2 4" xfId="59" xr:uid="{0F15834C-7AB0-496A-B622-2BC4903BB245}"/>
    <cellStyle name="Blockout 2 2 5" xfId="60" xr:uid="{98BC7A39-6017-432B-86FC-3B006030D8F9}"/>
    <cellStyle name="Blockout 2 3" xfId="61" xr:uid="{D001F218-C4E0-4E08-8E35-95AEE2BD798E}"/>
    <cellStyle name="Blockout 2 3 2" xfId="62" xr:uid="{AC63023F-160F-48D7-ADC6-52534E2344B7}"/>
    <cellStyle name="Blockout 2 4" xfId="63" xr:uid="{808E6ACD-F7B6-4C17-9FA3-83B009627967}"/>
    <cellStyle name="Blockout 2 4 2" xfId="64" xr:uid="{AB4265CA-0A0F-4136-B91B-296F89C6F959}"/>
    <cellStyle name="Blockout 2 5" xfId="65" xr:uid="{8C38E63D-5839-4F9B-9EB7-3E0DC01B5DAC}"/>
    <cellStyle name="Blockout 2 6" xfId="66" xr:uid="{61D4074C-6656-4750-A654-2596AF981D9E}"/>
    <cellStyle name="Blockout 3" xfId="67" xr:uid="{F5D7BFBE-71DB-44B9-BE52-35F94ED69457}"/>
    <cellStyle name="Blockout 3 2" xfId="68" xr:uid="{1A58BDAC-2064-4434-B5A1-6218F4D80CD5}"/>
    <cellStyle name="Blockout 3 2 2" xfId="69" xr:uid="{2BE1457E-E01F-4651-B913-76469250D1E0}"/>
    <cellStyle name="Blockout 3 3" xfId="70" xr:uid="{6996F089-EF15-407C-809D-32902A7CE158}"/>
    <cellStyle name="Blockout 3 3 2" xfId="71" xr:uid="{96DFF14C-84DD-48D3-9F26-83CE73911833}"/>
    <cellStyle name="Blockout 3 4" xfId="72" xr:uid="{7FE44489-C2D5-473C-92C6-88F7C85A458F}"/>
    <cellStyle name="Blockout 3 5" xfId="73" xr:uid="{6D623190-FC00-4B55-81FD-A2C3B4286E1D}"/>
    <cellStyle name="Calculation" xfId="74" builtinId="22" customBuiltin="1"/>
    <cellStyle name="Calculation 2" xfId="75" xr:uid="{1E02EA08-7948-454A-A994-8F4CB746D1B9}"/>
    <cellStyle name="Check Cell" xfId="76" builtinId="23" customBuiltin="1"/>
    <cellStyle name="Check Cell 2" xfId="77" xr:uid="{BA8D1314-A365-42EA-87C8-75D15E80D4F4}"/>
    <cellStyle name="Comma" xfId="78" builtinId="3"/>
    <cellStyle name="Comma 10" xfId="79" xr:uid="{B1DC61DA-5EB6-49AC-9131-A8D987BD8E56}"/>
    <cellStyle name="Comma 10 2" xfId="80" xr:uid="{66E19C49-5F03-476F-BE2C-FD4DA791D3AB}"/>
    <cellStyle name="Comma 11" xfId="81" xr:uid="{5A567083-66C4-48D1-8A65-15F3A78E58BB}"/>
    <cellStyle name="Comma 11 2" xfId="278" xr:uid="{E541C147-9161-4FE2-BAFF-0126956D3586}"/>
    <cellStyle name="Comma 12" xfId="82" xr:uid="{306DB44B-31E9-401A-9348-5E28D8608F38}"/>
    <cellStyle name="Comma 12 2" xfId="274" xr:uid="{7C1BB1E5-63CE-44A2-8857-4A9C0CAF2487}"/>
    <cellStyle name="Comma 13" xfId="262" xr:uid="{26A5C37A-3F28-4C12-96E6-28173ED4D24C}"/>
    <cellStyle name="Comma 14" xfId="268" xr:uid="{01394A52-B412-4F9F-9CF3-AC27DF16E68B}"/>
    <cellStyle name="Comma 15" xfId="281" xr:uid="{E5DE1EFA-E50B-4DDC-95D5-48A80F8E8912}"/>
    <cellStyle name="Comma 16" xfId="284" xr:uid="{30E13424-010C-409B-80C6-AFD174201680}"/>
    <cellStyle name="Comma 2" xfId="83" xr:uid="{BB5DE5D1-2C56-4429-859F-A420E8CE2AA4}"/>
    <cellStyle name="Comma 2 2" xfId="84" xr:uid="{EEFA66F1-D4C1-4152-AA98-9919C380E32E}"/>
    <cellStyle name="Comma 2 2 2" xfId="85" xr:uid="{CFE94F63-0E45-4E9C-A1EB-4AD8D50D33A0}"/>
    <cellStyle name="Comma 2 2 2 2" xfId="86" xr:uid="{513C4C1F-53CB-43B3-A880-A549E2A28E95}"/>
    <cellStyle name="Comma 2 2 2 2 2" xfId="87" xr:uid="{234FD5FC-884D-4530-8576-2774C2C64D67}"/>
    <cellStyle name="Comma 2 2 2 3" xfId="88" xr:uid="{7BC68D51-CBA0-46A0-8847-0BA880380ED9}"/>
    <cellStyle name="Comma 2 2 3" xfId="89" xr:uid="{7F353D1E-BC34-45B5-B50A-8DEC08817D36}"/>
    <cellStyle name="Comma 2 2 3 2" xfId="90" xr:uid="{7EB779C7-DAE3-49CD-8A08-0FC167FE5120}"/>
    <cellStyle name="Comma 2 2 4" xfId="91" xr:uid="{E23F5363-4630-43A8-9F2A-4451672CC680}"/>
    <cellStyle name="Comma 2 2 4 2" xfId="92" xr:uid="{6A2A1A34-157C-4DFF-8D91-7A9387C1D8E8}"/>
    <cellStyle name="Comma 2 2 5" xfId="93" xr:uid="{5A30033A-D6F1-4920-B8D4-307599CAC712}"/>
    <cellStyle name="Comma 2 2 6" xfId="94" xr:uid="{99ABF640-CEC3-4829-B6BF-C23C8D711B8F}"/>
    <cellStyle name="Comma 2 3" xfId="95" xr:uid="{41C238B3-0E1C-47FA-A54A-022210B1B403}"/>
    <cellStyle name="Comma 2 3 2" xfId="96" xr:uid="{C8164A77-0EBA-463F-AD88-6BB25A396BEF}"/>
    <cellStyle name="Comma 2 3 2 2" xfId="97" xr:uid="{0FB698DB-F578-47D7-B0FD-941F642AAE13}"/>
    <cellStyle name="Comma 2 3 3" xfId="98" xr:uid="{EC729B9B-7497-456D-8855-D5A22A0D1CB3}"/>
    <cellStyle name="Comma 2 4" xfId="99" xr:uid="{8F7DC696-5219-4953-A985-C7DA49E72AB5}"/>
    <cellStyle name="Comma 2 4 2" xfId="100" xr:uid="{D7357052-ED8A-4FBD-9F36-1F8248AC493B}"/>
    <cellStyle name="Comma 2 5" xfId="101" xr:uid="{35177876-CE19-4504-AA6B-D2619689ADF6}"/>
    <cellStyle name="Comma 2 5 2" xfId="102" xr:uid="{F0CCDD37-B0DE-4FC0-A70B-D768BD0E2468}"/>
    <cellStyle name="Comma 2 5 3" xfId="269" xr:uid="{6111D5EC-807C-4704-A93A-0C2A4996F240}"/>
    <cellStyle name="Comma 2 6" xfId="103" xr:uid="{EA84FB16-5FA5-428F-A3BD-2E4018732EB7}"/>
    <cellStyle name="Comma 2 7" xfId="104" xr:uid="{B55AEAD4-5680-4ACF-AE44-FD45F543CB44}"/>
    <cellStyle name="Comma 2 8" xfId="279" xr:uid="{BFACC506-2FC9-4331-8806-8A85AE51E41C}"/>
    <cellStyle name="Comma 3" xfId="105" xr:uid="{331839FE-0F35-4213-AB04-7492DD6A7F7A}"/>
    <cellStyle name="Comma 3 2" xfId="106" xr:uid="{267F61F3-3FF8-42C5-AD00-0316BC1A45D1}"/>
    <cellStyle name="Comma 3 2 2" xfId="107" xr:uid="{D033445F-D514-47AF-9B9E-82488E8A178F}"/>
    <cellStyle name="Comma 3 2 2 2" xfId="108" xr:uid="{B225F519-2487-4D3D-90E8-D052BFB1CBCC}"/>
    <cellStyle name="Comma 3 2 3" xfId="109" xr:uid="{D3FCD10A-4AF4-4953-8E47-513F2EEF156B}"/>
    <cellStyle name="Comma 3 3" xfId="110" xr:uid="{F004D8C7-B42A-4833-965A-2972AFDAD2CE}"/>
    <cellStyle name="Comma 3 3 2" xfId="111" xr:uid="{2DA0FF15-4CC2-4704-A276-4324C6BFAD14}"/>
    <cellStyle name="Comma 3 4" xfId="112" xr:uid="{9CA11308-0552-426C-84BE-A39939AFF9B4}"/>
    <cellStyle name="Comma 3 4 2" xfId="113" xr:uid="{4B910A9E-8452-4114-93DA-1BBBD51DA1BD}"/>
    <cellStyle name="Comma 3 5" xfId="114" xr:uid="{683143F9-B5C1-4D65-9559-EFB35FB24400}"/>
    <cellStyle name="Comma 3 6" xfId="115" xr:uid="{7A2A672A-2D61-40E5-927A-09BDA6B43F21}"/>
    <cellStyle name="Comma 4" xfId="116" xr:uid="{42DEFCCA-6E8A-43D8-A727-F6E347FE241B}"/>
    <cellStyle name="Comma 4 2" xfId="117" xr:uid="{437D4AB8-42A4-49BF-ABC0-4B54D387D6C8}"/>
    <cellStyle name="Comma 4 2 2" xfId="118" xr:uid="{93D3C246-03C4-4987-8E14-9388E103C47B}"/>
    <cellStyle name="Comma 4 3" xfId="119" xr:uid="{3E15A822-719A-4DD5-A88F-BA834327FAEE}"/>
    <cellStyle name="Comma 4 3 2" xfId="120" xr:uid="{E10E439B-1A59-45FA-8611-229560399FD8}"/>
    <cellStyle name="Comma 4 4" xfId="121" xr:uid="{2E3264A5-C365-464F-99E6-7634D86A7307}"/>
    <cellStyle name="Comma 5" xfId="122" xr:uid="{044FE7A1-3017-4763-A0D2-574ECE1D1DBD}"/>
    <cellStyle name="Comma 5 2" xfId="123" xr:uid="{775B1B5D-22BE-42A0-ADE5-73F1DBF5D972}"/>
    <cellStyle name="Comma 5 2 2" xfId="124" xr:uid="{7517A8DC-3712-40BA-9E2F-AC2B224244DF}"/>
    <cellStyle name="Comma 5 2 3" xfId="273" xr:uid="{307B2F31-772B-43C0-AF53-C1D8B7698E6D}"/>
    <cellStyle name="Comma 5 3" xfId="125" xr:uid="{9E720F73-B7BB-42B0-B60F-5919AE639A8D}"/>
    <cellStyle name="Comma 6" xfId="126" xr:uid="{D50D4668-5F1E-43C9-ABAB-1391CD2AA7C8}"/>
    <cellStyle name="Comma 6 2" xfId="127" xr:uid="{9DB6DABD-0E44-44DF-AFBD-0D0F90E2848C}"/>
    <cellStyle name="Comma 6 2 2" xfId="128" xr:uid="{21B89F1F-E677-4872-8F92-3C6A6B24BB01}"/>
    <cellStyle name="Comma 6 2 2 2" xfId="129" xr:uid="{5B03797D-CBC1-409E-AF6D-1CEE2E1CEF6E}"/>
    <cellStyle name="Comma 6 2 2 2 2" xfId="264" xr:uid="{AA369A11-B576-444C-9079-0F80067C0BB2}"/>
    <cellStyle name="Comma 6 2 3" xfId="130" xr:uid="{FAEEE85D-61ED-4E9B-AF41-D9344AF23CCB}"/>
    <cellStyle name="Comma 6 3" xfId="131" xr:uid="{6146348F-8A06-42D1-BA09-C6214808B97D}"/>
    <cellStyle name="Comma 6 3 2" xfId="132" xr:uid="{B05A8630-93DE-433A-9FFF-0BCB7F667F87}"/>
    <cellStyle name="Comma 6 4" xfId="133" xr:uid="{3323157A-EF37-4DB7-A3C7-54BDE0CC7200}"/>
    <cellStyle name="Comma 6 5" xfId="265" xr:uid="{468C779E-D7FB-4747-BBF3-049AB1767F82}"/>
    <cellStyle name="Comma 7" xfId="134" xr:uid="{69797258-6A92-4D10-844E-66BF99CDDF9D}"/>
    <cellStyle name="Comma 7 2" xfId="135" xr:uid="{B8C6E00D-4531-4AB3-BB8F-1D5EDFDF47D5}"/>
    <cellStyle name="Comma 7 2 2" xfId="136" xr:uid="{F18231CC-44DC-48E6-AE81-4C89383BEA01}"/>
    <cellStyle name="Comma 7 3" xfId="137" xr:uid="{6EF566BF-347E-4039-B5B0-FC68CDADE092}"/>
    <cellStyle name="Comma 8" xfId="138" xr:uid="{AC41E6B8-2916-4A51-B500-EFC3298D7239}"/>
    <cellStyle name="Comma 8 2" xfId="139" xr:uid="{0A094E39-E41E-4786-9933-D59A939041B8}"/>
    <cellStyle name="Comma 8 2 2" xfId="140" xr:uid="{37D95618-20BA-46D5-BA5C-E001AB009288}"/>
    <cellStyle name="Comma 8 3" xfId="141" xr:uid="{6DE3B3CC-7E43-4644-ADE7-E73737535E29}"/>
    <cellStyle name="Comma 9" xfId="142" xr:uid="{C1278E81-B037-4483-A394-9F1713B83549}"/>
    <cellStyle name="Comma 9 2" xfId="143" xr:uid="{84350F9B-9514-40F1-8EB7-7FEDA66FD389}"/>
    <cellStyle name="Currency 2" xfId="144" xr:uid="{214AF629-2EB0-465C-893B-9D88F4952EA0}"/>
    <cellStyle name="Currency 2 2" xfId="145" xr:uid="{E8D8DE1F-BAA8-4AE5-A161-874CB77D4CE0}"/>
    <cellStyle name="Currency 2 2 2" xfId="146" xr:uid="{BD233B16-E1F0-451F-8266-E54383FB0537}"/>
    <cellStyle name="Currency 2 3" xfId="147" xr:uid="{95616408-DE57-4B27-8A1F-0258975B7DDF}"/>
    <cellStyle name="Currency 2 3 2" xfId="148" xr:uid="{0CD39471-0A89-41DE-99FC-75021AC7C188}"/>
    <cellStyle name="Currency 2 4" xfId="149" xr:uid="{5E248C9E-411B-4C08-9657-EFE0631D7EA2}"/>
    <cellStyle name="Currency 2 5" xfId="280" xr:uid="{AF6D475F-3013-4121-9B3C-C0CD4EAD0064}"/>
    <cellStyle name="Currency 3" xfId="150" xr:uid="{18CEC647-21B1-42B3-843C-42623C9FC2BD}"/>
    <cellStyle name="dms_H" xfId="151" xr:uid="{121E2D78-1B7D-4B19-A039-3590C6A7BF2D}"/>
    <cellStyle name="dms_TopHeader" xfId="152" xr:uid="{41E3DA1D-96B0-4BFC-A127-395E3E93E4C3}"/>
    <cellStyle name="Explanatory Text" xfId="153" builtinId="53" customBuiltin="1"/>
    <cellStyle name="Good" xfId="154" builtinId="26" customBuiltin="1"/>
    <cellStyle name="Good 2" xfId="155" xr:uid="{A625AC1B-A435-4F1E-AA15-EC937B8C49BE}"/>
    <cellStyle name="Heading 1" xfId="156" builtinId="16" customBuiltin="1"/>
    <cellStyle name="Heading 2" xfId="157" builtinId="17" customBuiltin="1"/>
    <cellStyle name="Heading 3" xfId="158" builtinId="18" customBuiltin="1"/>
    <cellStyle name="Heading 4" xfId="159" builtinId="19" customBuiltin="1"/>
    <cellStyle name="Hyperlink" xfId="160" builtinId="8"/>
    <cellStyle name="Hyperlink 2" xfId="261" xr:uid="{6157B509-FE4F-4728-A829-323B9569CFF1}"/>
    <cellStyle name="Hyperlink 2 2" xfId="272" xr:uid="{68775E4F-7E49-4214-BB94-13160EE5B4D2}"/>
    <cellStyle name="Input" xfId="161" builtinId="20" customBuiltin="1"/>
    <cellStyle name="Input 2" xfId="162" xr:uid="{24FB9F87-B1D3-4EA4-98C8-9BB3C0CA1974}"/>
    <cellStyle name="Input1" xfId="163" xr:uid="{3330800D-0B27-4AE8-946E-A1A6D223DC8B}"/>
    <cellStyle name="Input1 2" xfId="164" xr:uid="{9A304834-3B76-46B7-9CB0-68CF7637C8F2}"/>
    <cellStyle name="Input1 2 2" xfId="165" xr:uid="{AE00069D-48F4-4BC9-9F48-E0E04488A4CB}"/>
    <cellStyle name="Input1 2 2 2" xfId="166" xr:uid="{E0459AE9-51DD-4EC1-88F7-59B5F23946E1}"/>
    <cellStyle name="Input1 2 2 2 2" xfId="167" xr:uid="{7B25FEC0-9806-4F93-9288-A216BA8B1592}"/>
    <cellStyle name="Input1 2 2 3" xfId="168" xr:uid="{57E9582A-21E7-48DA-8218-F0C3936F53FB}"/>
    <cellStyle name="Input1 2 2 3 2" xfId="169" xr:uid="{F5A3FD97-A59B-4855-9D84-BB7AC98B6F3F}"/>
    <cellStyle name="Input1 2 2 4" xfId="170" xr:uid="{A0FA8426-2600-4D24-B7CF-24538BB15F4F}"/>
    <cellStyle name="Input1 2 2 5" xfId="171" xr:uid="{92D5986E-31B4-4756-8FDA-580EA9CA5E4F}"/>
    <cellStyle name="Input1 2 3" xfId="172" xr:uid="{D98C9C5F-B951-4334-8ED3-069CCFDB4325}"/>
    <cellStyle name="Input1 2 3 2" xfId="173" xr:uid="{30CDF14B-615C-4CF5-99FB-364D2B239C9A}"/>
    <cellStyle name="Input1 2 4" xfId="174" xr:uid="{0ADC2263-74A8-4ACF-9C71-B819B54D7D91}"/>
    <cellStyle name="Input1 2 4 2" xfId="175" xr:uid="{17AD2151-34A1-49B2-A6AD-815D6C5561C9}"/>
    <cellStyle name="Input1 2 5" xfId="176" xr:uid="{4F8EBE08-E63A-499F-A34A-E2E76C0CFFE3}"/>
    <cellStyle name="Input1 2 6" xfId="177" xr:uid="{33E9F0B3-87F6-417B-A433-3F76A84F0CD2}"/>
    <cellStyle name="Input1 3" xfId="178" xr:uid="{998A2132-A3D2-4D7F-870D-3FAEDF07CB0F}"/>
    <cellStyle name="Input1 3 2" xfId="179" xr:uid="{3A6DE53D-0380-4117-9E6E-EB81AAF644F3}"/>
    <cellStyle name="Input1 3 2 2" xfId="180" xr:uid="{636BBEFF-D820-4A0D-8C2F-98B19A838B34}"/>
    <cellStyle name="Input1 3 3" xfId="181" xr:uid="{915ACB5F-C3CC-4122-A6ED-22236626A827}"/>
    <cellStyle name="Input1 3 3 2" xfId="182" xr:uid="{48BB8D87-35EE-4E25-8174-4F7B08BEB909}"/>
    <cellStyle name="Input1 3 4" xfId="183" xr:uid="{89F1B4B0-A9C8-41B7-B2E2-DB0983139666}"/>
    <cellStyle name="Input1 3 5" xfId="184" xr:uid="{E2C65D13-A793-461D-A83D-BF4B661495A6}"/>
    <cellStyle name="Input1 4" xfId="185" xr:uid="{3ABFF5FD-E9E6-4A25-9818-01A722AF6130}"/>
    <cellStyle name="Input1 4 2" xfId="186" xr:uid="{D5D06E90-5AE6-45F6-98EF-82957C249445}"/>
    <cellStyle name="Input2" xfId="187" xr:uid="{63827EA5-7761-41CD-85CC-582336233072}"/>
    <cellStyle name="Input2 2" xfId="188" xr:uid="{4CE438D1-1ED4-4196-BE66-8611F3D72D46}"/>
    <cellStyle name="Input2 2 2" xfId="189" xr:uid="{D4EEB4BD-CBB8-4A8B-88AB-90D9AC35A221}"/>
    <cellStyle name="Input3" xfId="190" xr:uid="{35216038-A861-4920-BDCC-555E5FD59AA0}"/>
    <cellStyle name="Input3 2" xfId="191" xr:uid="{05B899D2-783A-4F81-873A-96B92FDE2230}"/>
    <cellStyle name="Input3 2 2" xfId="192" xr:uid="{8F6C03F1-828F-488A-95EB-8E4289782413}"/>
    <cellStyle name="Input3 2 2 2" xfId="193" xr:uid="{EACB7B03-D72D-4F27-9FAD-7C6C3E316239}"/>
    <cellStyle name="Input3 2 2 2 2" xfId="194" xr:uid="{BE96D6B8-1A45-4A1C-BA92-0B5198A5C9C1}"/>
    <cellStyle name="Input3 2 2 3" xfId="195" xr:uid="{5BD48B6A-31EA-40CA-BF39-B0D398BF12F6}"/>
    <cellStyle name="Input3 2 2 3 2" xfId="196" xr:uid="{6B41B632-CA55-4134-A1CB-9AF5F7D50562}"/>
    <cellStyle name="Input3 2 2 4" xfId="197" xr:uid="{23AE7BD2-1DDC-4179-9D0A-BEB0CBD19FC7}"/>
    <cellStyle name="Input3 2 2 5" xfId="198" xr:uid="{242CB428-0310-468C-8E32-76CD199DDD94}"/>
    <cellStyle name="Input3 2 3" xfId="199" xr:uid="{40C6D27A-58CD-4E7E-BF99-712982833D78}"/>
    <cellStyle name="Input3 2 3 2" xfId="200" xr:uid="{3B0B9D0E-8E11-4007-9F01-6F0EF9520D16}"/>
    <cellStyle name="Input3 2 4" xfId="201" xr:uid="{4B80C2D7-5A04-4D99-86F1-4151BB9941AC}"/>
    <cellStyle name="Input3 2 4 2" xfId="202" xr:uid="{2B2B6E7D-AD62-40BA-ABD0-40C765109E3C}"/>
    <cellStyle name="Input3 2 5" xfId="203" xr:uid="{8963AE46-139B-4E03-9BE3-9B0A560BDBC5}"/>
    <cellStyle name="Input3 2 6" xfId="204" xr:uid="{B8D2242C-588F-4494-AF2C-F56F983E98A3}"/>
    <cellStyle name="Input3 3" xfId="205" xr:uid="{BD616916-E20D-4763-802B-B147C4DDDE58}"/>
    <cellStyle name="Input3 3 2" xfId="206" xr:uid="{5F5EF660-5C50-4F1D-B6A0-0BA7CCC25923}"/>
    <cellStyle name="Input3 3 2 2" xfId="207" xr:uid="{4077286A-735B-43E6-A9EA-D100DBB5025C}"/>
    <cellStyle name="Input3 3 3" xfId="208" xr:uid="{7840864D-C194-4721-93E7-E31B1A77721E}"/>
    <cellStyle name="Input3 3 3 2" xfId="209" xr:uid="{D0E6BCB7-203F-4BE0-AE02-C236608D6743}"/>
    <cellStyle name="Input3 3 4" xfId="210" xr:uid="{874C288E-23AE-4A61-B78D-7EB186C9747A}"/>
    <cellStyle name="Input3 3 5" xfId="211" xr:uid="{903DCCB3-F07F-4456-8DAD-A30A38383B2F}"/>
    <cellStyle name="Linked Cell" xfId="212" builtinId="24" customBuiltin="1"/>
    <cellStyle name="Neutral" xfId="213" builtinId="28" customBuiltin="1"/>
    <cellStyle name="Neutral 2" xfId="214" xr:uid="{D68DA533-0EA4-41DF-9E97-867CDE0650D8}"/>
    <cellStyle name="Normal" xfId="0" builtinId="0"/>
    <cellStyle name="Normal - Style1 2" xfId="255" xr:uid="{454EFA21-6A93-44A3-8144-CADB478F2714}"/>
    <cellStyle name="Normal - Style1 2 2" xfId="276" xr:uid="{10649613-FFCD-4D57-A840-A83414F5D481}"/>
    <cellStyle name="Normal 14 2 3" xfId="256" xr:uid="{A3F67662-9C6A-478B-AA5F-15C82F2B70A7}"/>
    <cellStyle name="Normal 15" xfId="266" xr:uid="{90A0DC57-C2C7-42F3-8CF4-FBF916D8B005}"/>
    <cellStyle name="Normal 2" xfId="215" xr:uid="{BCF64815-8991-4520-9077-B22C533E8BEF}"/>
    <cellStyle name="Normal 2 2" xfId="216" xr:uid="{719DBC7F-130B-4123-8107-776B1CFC2FE8}"/>
    <cellStyle name="Normal 2 3" xfId="283" xr:uid="{8BAD72EC-4DF6-469C-BC99-D03C79678B5E}"/>
    <cellStyle name="Normal 2 4 3" xfId="217" xr:uid="{B4798F0E-0183-431A-99FD-5D47909667A5}"/>
    <cellStyle name="Normal 3" xfId="218" xr:uid="{48523D9A-1120-4FBC-AF98-7F4014D7212A}"/>
    <cellStyle name="Normal 3 2" xfId="219" xr:uid="{9D647B70-72DB-4C68-BA23-A1160F3D1866}"/>
    <cellStyle name="Normal 3 2 2" xfId="220" xr:uid="{A0C88605-BC3D-4146-A669-1B5331E2F30D}"/>
    <cellStyle name="Normal 3 3" xfId="259" xr:uid="{A28539B0-AA69-4C8D-B896-5970B9B76BC1}"/>
    <cellStyle name="Normal 3 3 2" xfId="275" xr:uid="{140C1854-87C7-4300-AFDA-0A43E71D9E6C}"/>
    <cellStyle name="Normal 3 4" xfId="277" xr:uid="{8C6A8FCC-0048-490C-A2C8-1B7669157630}"/>
    <cellStyle name="Normal 36" xfId="257" xr:uid="{49C3616A-50EC-4DA4-811F-789BF3528854}"/>
    <cellStyle name="Normal 4" xfId="221" xr:uid="{4BCED485-4A9D-4AC5-9829-2AB67EECA1AC}"/>
    <cellStyle name="Normal 42" xfId="271" xr:uid="{891DBBD2-5158-4488-8FEB-5A163E880B23}"/>
    <cellStyle name="Normal 43" xfId="258" xr:uid="{CDA01F27-5EAA-412B-8CAF-24BC845A91F1}"/>
    <cellStyle name="Normal 5" xfId="222" xr:uid="{B66A3975-E7E1-48F5-9C64-1D38E8197E69}"/>
    <cellStyle name="Normal 6" xfId="223" xr:uid="{01B5D789-38F0-45B6-A1C4-1BA691D7596F}"/>
    <cellStyle name="Normal 7" xfId="260" xr:uid="{C38A2DEE-7E9C-4459-A551-F1BB7E9687A8}"/>
    <cellStyle name="Normal 8" xfId="267" xr:uid="{99339C8E-AC60-42F3-8391-22256B744DA5}"/>
    <cellStyle name="Normal_2010 06 02 - Urgent RIN for Vic DNSPs revised proposals" xfId="224" xr:uid="{1BE4747B-242B-4D0C-8A40-ADB049533C62}"/>
    <cellStyle name="Normal_2010 06 22 - AA - Scheme Templates for data collection" xfId="225" xr:uid="{E372E626-1A5D-463C-83B9-96CEE965CE42}"/>
    <cellStyle name="Normal_2010 06 22 - IE - Scheme Template for data collection" xfId="226" xr:uid="{FCB9670F-D8DD-4A7C-8FE0-AF9AEB1CBE9E}"/>
    <cellStyle name="Normal_Book1" xfId="227" xr:uid="{078B85CF-90B9-464D-BBB1-E1B8199C4109}"/>
    <cellStyle name="Normal_D11 2371025  Financial information - 2012 Draft RIN - Ausgrid" xfId="228" xr:uid="{01E4B6EC-0B5D-4BA9-A860-BF617E06C71A}"/>
    <cellStyle name="Normal_D11 2371025  Financial information - 2012 Draft RIN - Ausgrid 2" xfId="229" xr:uid="{563B3937-046D-4AB5-A01E-9638124FA505}"/>
    <cellStyle name="Normal_D12 1569  Opex, DMIS, EBSS - 2012 draft RIN - Ausgrid" xfId="230" xr:uid="{A158920C-47EC-4317-B46B-50C68319CCAE}"/>
    <cellStyle name="Normal_D12 16703  Overheads, Avoided Cost, ACS, Demand and Revenue - 2012 draft RIN - Ausgrid" xfId="231" xr:uid="{5CBB5988-D47A-44F4-A375-F8606096AE73}"/>
    <cellStyle name="Normal_D12 16703  Overheads, Avoided Cost, ACS, Demand and Revenue - 2012 draft RIN - Ausgrid 2" xfId="232" xr:uid="{958E00B2-2727-4B24-AF56-4F437560C08E}"/>
    <cellStyle name="Normal_Sheet1" xfId="233" xr:uid="{658629A2-74FE-4C98-B5C8-5C822CB3C813}"/>
    <cellStyle name="Normal_Sheet1 2" xfId="234" xr:uid="{3E1BF058-511E-4C7A-9A19-3745761F1EF6}"/>
    <cellStyle name="Note" xfId="235" builtinId="10" customBuiltin="1"/>
    <cellStyle name="Note 2" xfId="236" xr:uid="{A2283121-8A25-42E8-BA13-C34387C99F16}"/>
    <cellStyle name="Note 2 2" xfId="237" xr:uid="{46FE50C6-D249-4765-B2EE-CC72DAB5C147}"/>
    <cellStyle name="Output" xfId="238" builtinId="21" customBuiltin="1"/>
    <cellStyle name="Output 2" xfId="239" xr:uid="{08D28F03-C0E1-41B4-8F75-9D6DD61461E6}"/>
    <cellStyle name="Per cent" xfId="240" builtinId="5"/>
    <cellStyle name="Per cent 2" xfId="263" xr:uid="{93F573E3-E9DB-491C-A233-832F7A86F36F}"/>
    <cellStyle name="Per cent 3" xfId="285" xr:uid="{A6FCE8B0-1B58-4663-B55C-4630621E4C70}"/>
    <cellStyle name="Percent 2" xfId="241" xr:uid="{D3D5ED57-2BF3-42DB-8ABB-E64F0E4F4921}"/>
    <cellStyle name="Percent 2 2" xfId="242" xr:uid="{28EB581D-9B02-4B8C-888F-74E89413EA0C}"/>
    <cellStyle name="Percent 2 3" xfId="282" xr:uid="{4E39C660-C8AD-471A-907E-6153ACE4D836}"/>
    <cellStyle name="Percent 3" xfId="243" xr:uid="{F69F5CEF-A271-43DF-94A8-13277A554E93}"/>
    <cellStyle name="Style 1" xfId="244" xr:uid="{9820DE1D-4F56-4CD9-B026-DBB59BF48BED}"/>
    <cellStyle name="Style 1 2" xfId="245" xr:uid="{8779EDE9-14B6-4E65-995A-FEF667487AC8}"/>
    <cellStyle name="Style 1 2 2" xfId="246" xr:uid="{0E01DB10-6C42-4D21-983A-8E2A3A28D821}"/>
    <cellStyle name="Style 1 2 2 2" xfId="247" xr:uid="{B94DB30A-D353-4ADB-AC3F-634F3F212EC5}"/>
    <cellStyle name="Style 1 3" xfId="248" xr:uid="{CD11BA44-1F51-4AF5-AC2B-9683E19D87D0}"/>
    <cellStyle name="Style 1 3 2" xfId="249" xr:uid="{77BCF9FB-E287-4CC1-B173-782B65626A5E}"/>
    <cellStyle name="Style 1 4" xfId="250" xr:uid="{69895D50-DF53-45FB-BC24-7D5748B325C6}"/>
    <cellStyle name="Style 1 4 2" xfId="251" xr:uid="{A4DB916B-7617-4C72-80C9-6C6E813D2AC7}"/>
    <cellStyle name="Title" xfId="252" builtinId="15" customBuiltin="1"/>
    <cellStyle name="Total" xfId="253" builtinId="25" customBuiltin="1"/>
    <cellStyle name="Warning Text" xfId="254" builtinId="11" customBuiltin="1"/>
  </cellStyles>
  <dxfs count="97">
    <dxf>
      <font>
        <color auto="1"/>
      </font>
      <fill>
        <patternFill>
          <fgColor indexed="64"/>
          <bgColor rgb="FFFF0000"/>
        </patternFill>
      </fill>
    </dxf>
    <dxf>
      <font>
        <color rgb="FF9C0006"/>
      </font>
      <fill>
        <patternFill>
          <bgColor rgb="FFFFC7CE"/>
        </patternFill>
      </fill>
    </dxf>
    <dxf>
      <font>
        <color rgb="FF2B7AAF"/>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theme="0" tint="-0.24994659260841701"/>
      </font>
      <numFmt numFmtId="192" formatCode="&quot; -&quo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center" vertical="center" textRotation="0" wrapText="0" indent="0" justifyLastLine="0" shrinkToFit="0" readingOrder="0"/>
    </dxf>
    <dxf>
      <alignment vertical="center" textRotation="0" indent="0" justifyLastLine="0" shrinkToFit="0" readingOrder="0"/>
    </dxf>
    <dxf>
      <alignment horizontal="center" vertical="center" textRotation="0" wrapText="0" indent="0" justifyLastLine="0" shrinkToFit="0" readingOrder="0"/>
    </dxf>
    <dxf>
      <alignment vertical="center" textRotation="0" indent="0" justifyLastLine="0" shrinkToFit="0" readingOrder="0"/>
    </dxf>
    <dxf>
      <alignment vertical="center" textRotation="0" indent="0" justifyLastLine="0" shrinkToFit="0" readingOrder="0"/>
    </dxf>
    <dxf>
      <fill>
        <patternFill patternType="solid">
          <fgColor indexed="64"/>
          <bgColor theme="3" tint="0.59999389629810485"/>
        </patternFill>
      </fill>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border outline="0">
        <top style="thin">
          <color theme="4"/>
        </top>
      </border>
    </dxf>
    <dxf>
      <font>
        <b/>
        <i val="0"/>
        <strike val="0"/>
        <condense val="0"/>
        <extend val="0"/>
        <outline val="0"/>
        <shadow val="0"/>
        <u val="none"/>
        <vertAlign val="baseline"/>
        <sz val="10"/>
        <color theme="0"/>
        <name val="Arial"/>
        <family val="2"/>
        <scheme val="none"/>
      </font>
      <fill>
        <patternFill patternType="solid">
          <fgColor indexed="64"/>
          <bgColor rgb="FF2B7AAF"/>
        </patternFill>
      </fill>
    </dxf>
  </dxfs>
  <tableStyles count="0" defaultTableStyle="TableStyleMedium2" defaultPivotStyle="PivotStyleLight16"/>
  <colors>
    <mruColors>
      <color rgb="FFD7F1FC"/>
      <color rgb="FFFFF9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US"/>
              <a:t>Pricing benchmarks</a:t>
            </a:r>
          </a:p>
        </c:rich>
      </c:tx>
      <c:overlay val="0"/>
      <c:spPr>
        <a:noFill/>
        <a:ln w="25400">
          <a:noFill/>
        </a:ln>
      </c:spPr>
    </c:title>
    <c:autoTitleDeleted val="0"/>
    <c:plotArea>
      <c:layout/>
      <c:barChart>
        <c:barDir val="col"/>
        <c:grouping val="stacked"/>
        <c:varyColors val="0"/>
        <c:ser>
          <c:idx val="0"/>
          <c:order val="0"/>
          <c:tx>
            <c:strRef>
              <c:f>'6. Pricing template'!$D$36</c:f>
              <c:strCache>
                <c:ptCount val="1"/>
                <c:pt idx="0">
                  <c:v>Fixed operating costs per unit</c:v>
                </c:pt>
              </c:strCache>
            </c:strRef>
          </c:tx>
          <c:spPr>
            <a:solidFill>
              <a:srgbClr val="2B7AAF"/>
            </a:solidFill>
            <a:ln w="25400">
              <a:noFill/>
            </a:ln>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FFFFFF"/>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template'!$D$37:$D$56</c:f>
              <c:numCache>
                <c:formatCode>_(* #,##0.0000_);_(* \(#,##0.0000\);_(* "-"_);_(@_)</c:formatCode>
                <c:ptCount val="20"/>
                <c:pt idx="0">
                  <c:v>0.46072289980466274</c:v>
                </c:pt>
                <c:pt idx="1">
                  <c:v>0.63272870803208647</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0.3485385644315025</c:v>
                </c:pt>
                <c:pt idx="19">
                  <c:v>0.47866158957065758</c:v>
                </c:pt>
              </c:numCache>
            </c:numRef>
          </c:val>
          <c:extLst>
            <c:ext xmlns:c16="http://schemas.microsoft.com/office/drawing/2014/chart" uri="{C3380CC4-5D6E-409C-BE32-E72D297353CC}">
              <c16:uniqueId val="{00000000-79A3-413C-821F-22B3F16609D7}"/>
            </c:ext>
          </c:extLst>
        </c:ser>
        <c:ser>
          <c:idx val="1"/>
          <c:order val="1"/>
          <c:tx>
            <c:strRef>
              <c:f>'6. Pricing template'!$E$36</c:f>
              <c:strCache>
                <c:ptCount val="1"/>
                <c:pt idx="0">
                  <c:v>Return of capital per unit</c:v>
                </c:pt>
              </c:strCache>
            </c:strRef>
          </c:tx>
          <c:spPr>
            <a:solidFill>
              <a:schemeClr val="accent6">
                <a:lumMod val="60000"/>
                <a:lumOff val="40000"/>
              </a:schemeClr>
            </a:solidFill>
            <a:ln>
              <a:noFill/>
            </a:ln>
            <a:effectLst/>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template'!$E$37:$E$56</c:f>
              <c:numCache>
                <c:formatCode>_(* #,##0.0000_);_(* \(#,##0.0000\);_(* "-"_);_(@_)</c:formatCode>
                <c:ptCount val="20"/>
                <c:pt idx="0">
                  <c:v>0</c:v>
                </c:pt>
                <c:pt idx="1">
                  <c:v>0.18314255944919799</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0.13854801830731264</c:v>
                </c:pt>
              </c:numCache>
            </c:numRef>
          </c:val>
          <c:extLst>
            <c:ext xmlns:c16="http://schemas.microsoft.com/office/drawing/2014/chart" uri="{C3380CC4-5D6E-409C-BE32-E72D297353CC}">
              <c16:uniqueId val="{00000001-79A3-413C-821F-22B3F16609D7}"/>
            </c:ext>
          </c:extLst>
        </c:ser>
        <c:ser>
          <c:idx val="2"/>
          <c:order val="2"/>
          <c:tx>
            <c:strRef>
              <c:f>'6. Pricing template'!$F$36</c:f>
              <c:strCache>
                <c:ptCount val="1"/>
                <c:pt idx="0">
                  <c:v>Return on capital &amp; Tax per unit</c:v>
                </c:pt>
              </c:strCache>
            </c:strRef>
          </c:tx>
          <c:spPr>
            <a:solidFill>
              <a:srgbClr val="FFECC9"/>
            </a:solidFill>
            <a:ln w="25400">
              <a:noFill/>
            </a:ln>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template'!$F$37:$F$56</c:f>
              <c:numCache>
                <c:formatCode>_(* #,##0.0000_);_(* \(#,##0.0000\);_(* "-"_);_(@_)</c:formatCode>
                <c:ptCount val="20"/>
                <c:pt idx="0">
                  <c:v>8.641841557578793E-2</c:v>
                </c:pt>
                <c:pt idx="1">
                  <c:v>8.641841557578793E-2</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6.5375848515453555E-2</c:v>
                </c:pt>
                <c:pt idx="19">
                  <c:v>6.5375848515453555E-2</c:v>
                </c:pt>
              </c:numCache>
            </c:numRef>
          </c:val>
          <c:extLst>
            <c:ext xmlns:c16="http://schemas.microsoft.com/office/drawing/2014/chart" uri="{C3380CC4-5D6E-409C-BE32-E72D297353CC}">
              <c16:uniqueId val="{00000002-79A3-413C-821F-22B3F16609D7}"/>
            </c:ext>
          </c:extLst>
        </c:ser>
        <c:dLbls>
          <c:showLegendKey val="0"/>
          <c:showVal val="0"/>
          <c:showCatName val="0"/>
          <c:showSerName val="0"/>
          <c:showPercent val="0"/>
          <c:showBubbleSize val="0"/>
        </c:dLbls>
        <c:gapWidth val="34"/>
        <c:overlap val="100"/>
        <c:axId val="85633695"/>
        <c:axId val="1"/>
      </c:barChart>
      <c:lineChart>
        <c:grouping val="standard"/>
        <c:varyColors val="0"/>
        <c:ser>
          <c:idx val="3"/>
          <c:order val="3"/>
          <c:tx>
            <c:strRef>
              <c:f>'6. Pricing template'!$G$36</c:f>
              <c:strCache>
                <c:ptCount val="1"/>
                <c:pt idx="0">
                  <c:v>Total cost per unit</c:v>
                </c:pt>
              </c:strCache>
            </c:strRef>
          </c:tx>
          <c:spPr>
            <a:ln w="28575">
              <a:noFill/>
            </a:ln>
          </c:spPr>
          <c:marker>
            <c:symbol val="none"/>
          </c:marker>
          <c:dLbls>
            <c:numFmt formatCode="_-\$* #,##0.0000_-;\-\$* #,##0.0000_-;_-\$* &quot;-&quot;????_-;_-@_-" sourceLinked="0"/>
            <c:spPr>
              <a:noFill/>
              <a:ln w="25400">
                <a:noFill/>
              </a:ln>
            </c:spPr>
            <c:txPr>
              <a:bodyPr wrap="square" lIns="38100" tIns="19050" rIns="38100" bIns="19050" anchor="ctr">
                <a:spAutoFit/>
              </a:bodyPr>
              <a:lstStyle/>
              <a:p>
                <a:pPr>
                  <a:defRPr sz="1200" b="1" i="0" u="none" strike="noStrike" baseline="0">
                    <a:solidFill>
                      <a:srgbClr val="333333"/>
                    </a:solidFill>
                    <a:latin typeface="Calibri"/>
                    <a:ea typeface="Calibri"/>
                    <a:cs typeface="Calibri"/>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template'!$B$37:$C$54</c:f>
              <c:multiLvlStrCache>
                <c:ptCount val="18"/>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lvl>
              </c:multiLvlStrCache>
            </c:multiLvlStrRef>
          </c:cat>
          <c:val>
            <c:numRef>
              <c:f>'6. Pricing template'!$G$37:$G$56</c:f>
              <c:numCache>
                <c:formatCode>_(* #,##0.0000_);_(* \(#,##0.0000\);_(* "-"_);_(@_)</c:formatCode>
                <c:ptCount val="20"/>
                <c:pt idx="0">
                  <c:v>0.54714131538045063</c:v>
                </c:pt>
                <c:pt idx="1">
                  <c:v>0.90228968305707236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0.41391441294695608</c:v>
                </c:pt>
                <c:pt idx="19">
                  <c:v>0.68258545639342372</c:v>
                </c:pt>
              </c:numCache>
            </c:numRef>
          </c:val>
          <c:smooth val="0"/>
          <c:extLst>
            <c:ext xmlns:c16="http://schemas.microsoft.com/office/drawing/2014/chart" uri="{C3380CC4-5D6E-409C-BE32-E72D297353CC}">
              <c16:uniqueId val="{00000003-79A3-413C-821F-22B3F16609D7}"/>
            </c:ext>
          </c:extLst>
        </c:ser>
        <c:dLbls>
          <c:showLegendKey val="0"/>
          <c:showVal val="0"/>
          <c:showCatName val="0"/>
          <c:showSerName val="0"/>
          <c:showPercent val="0"/>
          <c:showBubbleSize val="0"/>
        </c:dLbls>
        <c:marker val="1"/>
        <c:smooth val="0"/>
        <c:axId val="85633695"/>
        <c:axId val="1"/>
      </c:lineChart>
      <c:catAx>
        <c:axId val="856336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vert="horz"/>
          <a:lstStyle/>
          <a:p>
            <a:pPr>
              <a:defRPr sz="1000" b="0" i="0" u="none" strike="noStrike" baseline="0">
                <a:solidFill>
                  <a:srgbClr val="333333"/>
                </a:solidFill>
                <a:latin typeface="Arial"/>
                <a:ea typeface="Arial"/>
                <a:cs typeface="Arial"/>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sz="1100" b="1" i="0" u="none" strike="noStrike" baseline="0">
                    <a:solidFill>
                      <a:srgbClr val="000000"/>
                    </a:solidFill>
                    <a:latin typeface="Calibri"/>
                    <a:ea typeface="Calibri"/>
                    <a:cs typeface="Calibri"/>
                  </a:defRPr>
                </a:pPr>
                <a:r>
                  <a:rPr lang="en-US"/>
                  <a:t>Benchmark Prices ($)</a:t>
                </a:r>
              </a:p>
            </c:rich>
          </c:tx>
          <c:overlay val="0"/>
        </c:title>
        <c:numFmt formatCode="_(* #,##0.0000_);_(* \(#,##0.0000\);_(* &quot;-&quot;_);_(@_)" sourceLinked="1"/>
        <c:majorTickMark val="none"/>
        <c:minorTickMark val="none"/>
        <c:tickLblPos val="nextTo"/>
        <c:spPr>
          <a:ln w="9525">
            <a:noFill/>
          </a:ln>
        </c:spPr>
        <c:txPr>
          <a:bodyPr rot="0" vert="horz"/>
          <a:lstStyle/>
          <a:p>
            <a:pPr>
              <a:defRPr sz="1000" b="0" i="0" u="none" strike="noStrike" baseline="0">
                <a:solidFill>
                  <a:srgbClr val="333333"/>
                </a:solidFill>
                <a:latin typeface="Arial"/>
                <a:ea typeface="Arial"/>
                <a:cs typeface="Arial"/>
              </a:defRPr>
            </a:pPr>
            <a:endParaRPr lang="en-US"/>
          </a:p>
        </c:txPr>
        <c:crossAx val="85633695"/>
        <c:crosses val="autoZero"/>
        <c:crossBetween val="between"/>
      </c:valAx>
      <c:spPr>
        <a:noFill/>
        <a:ln w="25400">
          <a:noFill/>
        </a:ln>
      </c:spPr>
    </c:plotArea>
    <c:legend>
      <c:legendPos val="b"/>
      <c:legendEntry>
        <c:idx val="3"/>
        <c:delete val="1"/>
      </c:legendEntry>
      <c:layout>
        <c:manualLayout>
          <c:xMode val="edge"/>
          <c:yMode val="edge"/>
          <c:x val="0.28805546245494823"/>
          <c:y val="0.97358810379345084"/>
          <c:w val="0.42042101880122124"/>
          <c:h val="1.7628801342171596E-2"/>
        </c:manualLayout>
      </c:layout>
      <c:overlay val="0"/>
      <c:spPr>
        <a:noFill/>
        <a:ln w="25400">
          <a:noFill/>
        </a:ln>
      </c:spPr>
      <c:txPr>
        <a:bodyPr/>
        <a:lstStyle/>
        <a:p>
          <a:pPr>
            <a:defRPr sz="850" b="0" i="0" u="none" strike="noStrike" baseline="0">
              <a:solidFill>
                <a:srgbClr val="333333"/>
              </a:solidFill>
              <a:latin typeface="Arial"/>
              <a:ea typeface="Arial"/>
              <a:cs typeface="Aria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US"/>
              <a:t>Revenue allocation to pipeline services</a:t>
            </a:r>
          </a:p>
        </c:rich>
      </c:tx>
      <c:overlay val="0"/>
      <c:spPr>
        <a:noFill/>
        <a:ln w="25400">
          <a:noFill/>
        </a:ln>
      </c:spPr>
    </c:title>
    <c:autoTitleDeleted val="0"/>
    <c:plotArea>
      <c:layout>
        <c:manualLayout>
          <c:layoutTarget val="inner"/>
          <c:xMode val="edge"/>
          <c:yMode val="edge"/>
          <c:x val="0.24177040996089655"/>
          <c:y val="6.7078467027851196E-2"/>
          <c:w val="0.53318213061065745"/>
          <c:h val="0.79869177557721505"/>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0-6D09-4C21-896C-822C90161B33}"/>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6D09-4C21-896C-822C90161B33}"/>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6D09-4C21-896C-822C90161B33}"/>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6D09-4C21-896C-822C90161B33}"/>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4-6D09-4C21-896C-822C90161B33}"/>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6D09-4C21-896C-822C90161B33}"/>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6-6D09-4C21-896C-822C90161B33}"/>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6D09-4C21-896C-822C90161B33}"/>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8-6D09-4C21-896C-822C90161B33}"/>
              </c:ext>
            </c:extLst>
          </c:dPt>
          <c:dPt>
            <c:idx val="9"/>
            <c:bubble3D val="0"/>
            <c:extLst>
              <c:ext xmlns:c16="http://schemas.microsoft.com/office/drawing/2014/chart" uri="{C3380CC4-5D6E-409C-BE32-E72D297353CC}">
                <c16:uniqueId val="{00000009-6D09-4C21-896C-822C90161B33}"/>
              </c:ext>
            </c:extLst>
          </c:dPt>
          <c:dLbls>
            <c:dLbl>
              <c:idx val="1"/>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1-6D09-4C21-896C-822C90161B33}"/>
                </c:ext>
              </c:extLst>
            </c:dLbl>
            <c:dLbl>
              <c:idx val="4"/>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4-6D09-4C21-896C-822C90161B33}"/>
                </c:ext>
              </c:extLst>
            </c:dLbl>
            <c:dLbl>
              <c:idx val="5"/>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5-6D09-4C21-896C-822C90161B33}"/>
                </c:ext>
              </c:extLst>
            </c:dLbl>
            <c:dLbl>
              <c:idx val="6"/>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6-6D09-4C21-896C-822C90161B33}"/>
                </c:ext>
              </c:extLst>
            </c:dLbl>
            <c:dLbl>
              <c:idx val="7"/>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7-6D09-4C21-896C-822C90161B33}"/>
                </c:ext>
              </c:extLst>
            </c:dLbl>
            <c:dLbl>
              <c:idx val="8"/>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8-6D09-4C21-896C-822C90161B33}"/>
                </c:ext>
              </c:extLst>
            </c:dLbl>
            <c:dLbl>
              <c:idx val="9"/>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9-6D09-4C21-896C-822C90161B33}"/>
                </c:ext>
              </c:extLst>
            </c:dLbl>
            <c:numFmt formatCode="0%;\-0%;\ &quot;&quot;"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showLeaderLines val="1"/>
            <c:extLst>
              <c:ext xmlns:c15="http://schemas.microsoft.com/office/drawing/2012/chart" uri="{CE6537A1-D6FC-4f65-9D91-7224C49458BB}"/>
            </c:extLst>
          </c:dLbls>
          <c:cat>
            <c:strRef>
              <c:f>'2. Revenue and expenses'!$E$12:$E$21</c:f>
              <c:strCache>
                <c:ptCount val="10"/>
                <c:pt idx="0">
                  <c:v>Firm forward haul transportation service</c:v>
                </c:pt>
                <c:pt idx="1">
                  <c:v>Backhaul service</c:v>
                </c:pt>
                <c:pt idx="2">
                  <c:v>Interruptible or as available transportation service</c:v>
                </c:pt>
                <c:pt idx="3">
                  <c:v>Firm stand-alone compression service</c:v>
                </c:pt>
                <c:pt idx="4">
                  <c:v>Interruptible or as available stand-alone compression service</c:v>
                </c:pt>
                <c:pt idx="5">
                  <c:v>Park service</c:v>
                </c:pt>
                <c:pt idx="6">
                  <c:v>Park and loan services</c:v>
                </c:pt>
                <c:pt idx="7">
                  <c:v>Capacity trading service</c:v>
                </c:pt>
                <c:pt idx="8">
                  <c:v>In pipe trading service</c:v>
                </c:pt>
                <c:pt idx="9">
                  <c:v>Other</c:v>
                </c:pt>
              </c:strCache>
            </c:strRef>
          </c:cat>
          <c:val>
            <c:numRef>
              <c:f>'2. Revenue and expenses'!$D$12:$D$21</c:f>
              <c:numCache>
                <c:formatCode>_(* #,##0_);_(* \(#,##0\);_(* ""_);_(@_)</c:formatCode>
                <c:ptCount val="10"/>
                <c:pt idx="0">
                  <c:v>28960963.077496499</c:v>
                </c:pt>
                <c:pt idx="1">
                  <c:v>0</c:v>
                </c:pt>
                <c:pt idx="2">
                  <c:v>18648865.11639471</c:v>
                </c:pt>
                <c:pt idx="3">
                  <c:v>0</c:v>
                </c:pt>
                <c:pt idx="4">
                  <c:v>0</c:v>
                </c:pt>
                <c:pt idx="5">
                  <c:v>0</c:v>
                </c:pt>
                <c:pt idx="6">
                  <c:v>483763.73579886917</c:v>
                </c:pt>
                <c:pt idx="7">
                  <c:v>63952.154683982946</c:v>
                </c:pt>
                <c:pt idx="8">
                  <c:v>73219.255451609788</c:v>
                </c:pt>
                <c:pt idx="9">
                  <c:v>13791481.885429524</c:v>
                </c:pt>
              </c:numCache>
            </c:numRef>
          </c:val>
          <c:extLst>
            <c:ext xmlns:c16="http://schemas.microsoft.com/office/drawing/2014/chart" uri="{C3380CC4-5D6E-409C-BE32-E72D297353CC}">
              <c16:uniqueId val="{0000000A-6D09-4C21-896C-822C90161B33}"/>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15838289709199194"/>
          <c:y val="0.87628894214310171"/>
          <c:w val="0.76702802057999631"/>
          <c:h val="0.10957434668492527"/>
        </c:manualLayout>
      </c:layout>
      <c:overlay val="0"/>
      <c:spPr>
        <a:noFill/>
        <a:ln w="25400">
          <a:noFill/>
        </a:ln>
      </c:spPr>
      <c:txPr>
        <a:bodyPr/>
        <a:lstStyle/>
        <a:p>
          <a:pPr>
            <a:defRPr sz="925" b="0" i="0" u="none" strike="noStrike" baseline="0">
              <a:solidFill>
                <a:srgbClr val="333333"/>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US"/>
              <a:t>Expense allocation to pipeline services</a:t>
            </a:r>
          </a:p>
        </c:rich>
      </c:tx>
      <c:overlay val="0"/>
      <c:spPr>
        <a:noFill/>
        <a:ln w="25400">
          <a:noFill/>
        </a:ln>
      </c:spPr>
    </c:title>
    <c:autoTitleDeleted val="0"/>
    <c:plotArea>
      <c:layout>
        <c:manualLayout>
          <c:layoutTarget val="inner"/>
          <c:xMode val="edge"/>
          <c:yMode val="edge"/>
          <c:x val="0.26497122127771"/>
          <c:y val="5.9444058054497949E-2"/>
          <c:w val="0.51226897399608629"/>
          <c:h val="0.79860449666463462"/>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0-62E1-4CEE-8256-29A6487C4D1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62E1-4CEE-8256-29A6487C4D1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62E1-4CEE-8256-29A6487C4D1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62E1-4CEE-8256-29A6487C4D1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4-62E1-4CEE-8256-29A6487C4D1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62E1-4CEE-8256-29A6487C4D1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6-62E1-4CEE-8256-29A6487C4D1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62E1-4CEE-8256-29A6487C4D1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8-62E1-4CEE-8256-29A6487C4D15}"/>
              </c:ext>
            </c:extLst>
          </c:dPt>
          <c:dPt>
            <c:idx val="9"/>
            <c:bubble3D val="0"/>
            <c:extLst>
              <c:ext xmlns:c16="http://schemas.microsoft.com/office/drawing/2014/chart" uri="{C3380CC4-5D6E-409C-BE32-E72D297353CC}">
                <c16:uniqueId val="{00000009-62E1-4CEE-8256-29A6487C4D15}"/>
              </c:ext>
            </c:extLst>
          </c:dPt>
          <c:dLbls>
            <c:dLbl>
              <c:idx val="1"/>
              <c:layout>
                <c:manualLayout>
                  <c:x val="6.9658976245652565E-2"/>
                  <c:y val="-8.8308678071702396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2E1-4CEE-8256-29A6487C4D15}"/>
                </c:ext>
              </c:extLst>
            </c:dLbl>
            <c:dLbl>
              <c:idx val="4"/>
              <c:layout>
                <c:manualLayout>
                  <c:x val="9.4621200802816018E-3"/>
                  <c:y val="4.3372409002892416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62E1-4CEE-8256-29A6487C4D15}"/>
                </c:ext>
              </c:extLst>
            </c:dLbl>
            <c:dLbl>
              <c:idx val="5"/>
              <c:layout>
                <c:manualLayout>
                  <c:x val="-3.4084159850856404E-4"/>
                  <c:y val="-1.0284269355420705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62E1-4CEE-8256-29A6487C4D15}"/>
                </c:ext>
              </c:extLst>
            </c:dLbl>
            <c:dLbl>
              <c:idx val="6"/>
              <c:layout>
                <c:manualLayout>
                  <c:x val="-7.5549572047626046E-3"/>
                  <c:y val="-1.9087522533174253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62E1-4CEE-8256-29A6487C4D15}"/>
                </c:ext>
              </c:extLst>
            </c:dLbl>
            <c:dLbl>
              <c:idx val="7"/>
              <c:layout>
                <c:manualLayout>
                  <c:x val="-7.0214069892144473E-3"/>
                  <c:y val="-3.5060841568912086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62E1-4CEE-8256-29A6487C4D15}"/>
                </c:ext>
              </c:extLst>
            </c:dLbl>
            <c:dLbl>
              <c:idx val="8"/>
              <c:layout>
                <c:manualLayout>
                  <c:x val="2.3741561499401775E-4"/>
                  <c:y val="1.0101140760341207E-4"/>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8-62E1-4CEE-8256-29A6487C4D15}"/>
                </c:ext>
              </c:extLst>
            </c:dLbl>
            <c:dLbl>
              <c:idx val="9"/>
              <c:layout>
                <c:manualLayout>
                  <c:x val="2.424949605010419E-4"/>
                  <c:y val="2.0644260931505398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62E1-4CEE-8256-29A6487C4D15}"/>
                </c:ext>
              </c:extLst>
            </c:dLbl>
            <c:numFmt formatCode="0%;\-0%;\ &quot;&quot;\ "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'2. Revenue and expenses'!$E$12:$E$21</c:f>
              <c:strCache>
                <c:ptCount val="10"/>
                <c:pt idx="0">
                  <c:v>Firm forward haul transportation service</c:v>
                </c:pt>
                <c:pt idx="1">
                  <c:v>Backhaul service</c:v>
                </c:pt>
                <c:pt idx="2">
                  <c:v>Interruptible or as available transportation service</c:v>
                </c:pt>
                <c:pt idx="3">
                  <c:v>Firm stand-alone compression service</c:v>
                </c:pt>
                <c:pt idx="4">
                  <c:v>Interruptible or as available stand-alone compression service</c:v>
                </c:pt>
                <c:pt idx="5">
                  <c:v>Park service</c:v>
                </c:pt>
                <c:pt idx="6">
                  <c:v>Park and loan services</c:v>
                </c:pt>
                <c:pt idx="7">
                  <c:v>Capacity trading service</c:v>
                </c:pt>
                <c:pt idx="8">
                  <c:v>In pipe trading service</c:v>
                </c:pt>
                <c:pt idx="9">
                  <c:v>Other</c:v>
                </c:pt>
              </c:strCache>
            </c:strRef>
          </c:cat>
          <c:val>
            <c:numRef>
              <c:f>'2. Revenue and expenses'!$F$12:$F$21</c:f>
              <c:numCache>
                <c:formatCode>_(* #,##0_);_(* \(#,##0\);_(* ""_);_(@_)</c:formatCode>
                <c:ptCount val="10"/>
                <c:pt idx="0">
                  <c:v>14766598.46818183</c:v>
                </c:pt>
                <c:pt idx="1">
                  <c:v>0</c:v>
                </c:pt>
                <c:pt idx="2">
                  <c:v>9508672.1503078099</c:v>
                </c:pt>
                <c:pt idx="3">
                  <c:v>0</c:v>
                </c:pt>
                <c:pt idx="4">
                  <c:v>0</c:v>
                </c:pt>
                <c:pt idx="5">
                  <c:v>0</c:v>
                </c:pt>
                <c:pt idx="6">
                  <c:v>246661.16319730543</c:v>
                </c:pt>
                <c:pt idx="7">
                  <c:v>32607.88623867352</c:v>
                </c:pt>
                <c:pt idx="8">
                  <c:v>37332.990014868607</c:v>
                </c:pt>
                <c:pt idx="9">
                  <c:v>7031992.5044752937</c:v>
                </c:pt>
              </c:numCache>
            </c:numRef>
          </c:val>
          <c:extLst>
            <c:ext xmlns:c16="http://schemas.microsoft.com/office/drawing/2014/chart" uri="{C3380CC4-5D6E-409C-BE32-E72D297353CC}">
              <c16:uniqueId val="{0000000A-62E1-4CEE-8256-29A6487C4D15}"/>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17059349212502001"/>
          <c:y val="0.87190374399076409"/>
          <c:w val="0.7409254041628337"/>
          <c:h val="0.1127614374663648"/>
        </c:manualLayout>
      </c:layout>
      <c:overlay val="0"/>
      <c:spPr>
        <a:noFill/>
        <a:ln w="25400">
          <a:noFill/>
        </a:ln>
      </c:spPr>
      <c:txPr>
        <a:bodyPr/>
        <a:lstStyle/>
        <a:p>
          <a:pPr>
            <a:defRPr sz="925" b="0" i="0" u="none" strike="noStrike" baseline="0">
              <a:solidFill>
                <a:srgbClr val="333333"/>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US"/>
              <a:t>Historical demand</a:t>
            </a:r>
          </a:p>
        </c:rich>
      </c:tx>
      <c:overlay val="0"/>
      <c:spPr>
        <a:noFill/>
        <a:ln w="25400">
          <a:noFill/>
        </a:ln>
      </c:spPr>
    </c:title>
    <c:autoTitleDeleted val="0"/>
    <c:plotArea>
      <c:layout/>
      <c:barChart>
        <c:barDir val="col"/>
        <c:grouping val="stacked"/>
        <c:varyColors val="0"/>
        <c:ser>
          <c:idx val="0"/>
          <c:order val="0"/>
          <c:tx>
            <c:strRef>
              <c:f>'5. Historical demand'!$C$40:$C$41</c:f>
              <c:strCache>
                <c:ptCount val="2"/>
                <c:pt idx="0">
                  <c:v>Contracted firm capacity-transportation</c:v>
                </c:pt>
                <c:pt idx="1">
                  <c:v>TJ/day</c:v>
                </c:pt>
              </c:strCache>
            </c:strRef>
          </c:tx>
          <c:spPr>
            <a:solidFill>
              <a:schemeClr val="accent6">
                <a:lumMod val="60000"/>
                <a:lumOff val="40000"/>
              </a:schemeClr>
            </a:solidFill>
            <a:ln w="28575" cap="rnd">
              <a:solidFill>
                <a:schemeClr val="accent6">
                  <a:lumMod val="60000"/>
                  <a:lumOff val="40000"/>
                </a:schemeClr>
              </a:solidFill>
              <a:round/>
            </a:ln>
            <a:effectLst/>
          </c:spPr>
          <c:invertIfNegative val="0"/>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demand'!$C$43:$C$408</c:f>
              <c:numCache>
                <c:formatCode>_(* #,##0_);_(* \(#,##0\);_(* "-"_);_(@_)</c:formatCode>
                <c:ptCount val="366"/>
                <c:pt idx="0">
                  <c:v>62.699999999999996</c:v>
                </c:pt>
                <c:pt idx="1">
                  <c:v>62.699999999999996</c:v>
                </c:pt>
                <c:pt idx="2">
                  <c:v>62.699999999999996</c:v>
                </c:pt>
                <c:pt idx="3">
                  <c:v>62.699999999999996</c:v>
                </c:pt>
                <c:pt idx="4">
                  <c:v>62.699999999999996</c:v>
                </c:pt>
                <c:pt idx="5">
                  <c:v>62.699999999999996</c:v>
                </c:pt>
                <c:pt idx="6">
                  <c:v>62.699999999999996</c:v>
                </c:pt>
                <c:pt idx="7">
                  <c:v>62.699999999999996</c:v>
                </c:pt>
                <c:pt idx="8">
                  <c:v>62.699999999999996</c:v>
                </c:pt>
                <c:pt idx="9">
                  <c:v>62.699999999999996</c:v>
                </c:pt>
                <c:pt idx="10">
                  <c:v>62.699999999999996</c:v>
                </c:pt>
                <c:pt idx="11">
                  <c:v>62.699999999999996</c:v>
                </c:pt>
                <c:pt idx="12">
                  <c:v>62.699999999999996</c:v>
                </c:pt>
                <c:pt idx="13">
                  <c:v>62.699999999999996</c:v>
                </c:pt>
                <c:pt idx="14">
                  <c:v>62.699999999999996</c:v>
                </c:pt>
                <c:pt idx="15">
                  <c:v>62.699999999999996</c:v>
                </c:pt>
                <c:pt idx="16">
                  <c:v>62.699999999999996</c:v>
                </c:pt>
                <c:pt idx="17">
                  <c:v>62.699999999999996</c:v>
                </c:pt>
                <c:pt idx="18">
                  <c:v>62.699999999999996</c:v>
                </c:pt>
                <c:pt idx="19">
                  <c:v>62.699999999999996</c:v>
                </c:pt>
                <c:pt idx="20">
                  <c:v>62.699999999999996</c:v>
                </c:pt>
                <c:pt idx="21">
                  <c:v>62.699999999999996</c:v>
                </c:pt>
                <c:pt idx="22">
                  <c:v>62.699999999999996</c:v>
                </c:pt>
                <c:pt idx="23">
                  <c:v>62.699999999999996</c:v>
                </c:pt>
                <c:pt idx="24">
                  <c:v>62.699999999999996</c:v>
                </c:pt>
                <c:pt idx="25">
                  <c:v>62.699999999999996</c:v>
                </c:pt>
                <c:pt idx="26">
                  <c:v>62.699999999999996</c:v>
                </c:pt>
                <c:pt idx="27">
                  <c:v>62.699999999999996</c:v>
                </c:pt>
                <c:pt idx="28">
                  <c:v>62.699999999999996</c:v>
                </c:pt>
                <c:pt idx="29">
                  <c:v>62.699999999999996</c:v>
                </c:pt>
                <c:pt idx="30">
                  <c:v>62.699999999999996</c:v>
                </c:pt>
                <c:pt idx="31">
                  <c:v>62.699999999999996</c:v>
                </c:pt>
                <c:pt idx="32">
                  <c:v>62.699999999999996</c:v>
                </c:pt>
                <c:pt idx="33">
                  <c:v>62.699999999999996</c:v>
                </c:pt>
                <c:pt idx="34">
                  <c:v>62.699999999999996</c:v>
                </c:pt>
                <c:pt idx="35">
                  <c:v>62.699999999999996</c:v>
                </c:pt>
                <c:pt idx="36">
                  <c:v>62.699999999999996</c:v>
                </c:pt>
                <c:pt idx="37">
                  <c:v>62.699999999999996</c:v>
                </c:pt>
                <c:pt idx="38">
                  <c:v>62.699999999999996</c:v>
                </c:pt>
                <c:pt idx="39">
                  <c:v>62.699999999999996</c:v>
                </c:pt>
                <c:pt idx="40">
                  <c:v>62.699999999999996</c:v>
                </c:pt>
                <c:pt idx="41">
                  <c:v>62.699999999999996</c:v>
                </c:pt>
                <c:pt idx="42">
                  <c:v>62.699999999999996</c:v>
                </c:pt>
                <c:pt idx="43">
                  <c:v>62.699999999999996</c:v>
                </c:pt>
                <c:pt idx="44">
                  <c:v>62.699999999999996</c:v>
                </c:pt>
                <c:pt idx="45">
                  <c:v>62.699999999999996</c:v>
                </c:pt>
                <c:pt idx="46">
                  <c:v>62.699999999999996</c:v>
                </c:pt>
                <c:pt idx="47">
                  <c:v>62.699999999999996</c:v>
                </c:pt>
                <c:pt idx="48">
                  <c:v>62.699999999999996</c:v>
                </c:pt>
                <c:pt idx="49">
                  <c:v>62.699999999999996</c:v>
                </c:pt>
                <c:pt idx="50">
                  <c:v>62.699999999999996</c:v>
                </c:pt>
                <c:pt idx="51">
                  <c:v>62.699999999999996</c:v>
                </c:pt>
                <c:pt idx="52">
                  <c:v>62.699999999999996</c:v>
                </c:pt>
                <c:pt idx="53">
                  <c:v>62.699999999999996</c:v>
                </c:pt>
                <c:pt idx="54">
                  <c:v>62.699999999999996</c:v>
                </c:pt>
                <c:pt idx="55">
                  <c:v>62.699999999999996</c:v>
                </c:pt>
                <c:pt idx="56">
                  <c:v>62.699999999999996</c:v>
                </c:pt>
                <c:pt idx="57">
                  <c:v>62.699999999999996</c:v>
                </c:pt>
                <c:pt idx="58">
                  <c:v>62.699999999999996</c:v>
                </c:pt>
                <c:pt idx="59">
                  <c:v>62.699999999999996</c:v>
                </c:pt>
                <c:pt idx="60">
                  <c:v>62.699999999999996</c:v>
                </c:pt>
                <c:pt idx="61">
                  <c:v>62.699999999999996</c:v>
                </c:pt>
                <c:pt idx="62">
                  <c:v>63.699999999999996</c:v>
                </c:pt>
                <c:pt idx="63">
                  <c:v>63.699999999999996</c:v>
                </c:pt>
                <c:pt idx="64">
                  <c:v>63.699999999999996</c:v>
                </c:pt>
                <c:pt idx="65">
                  <c:v>63.699999999999996</c:v>
                </c:pt>
                <c:pt idx="66">
                  <c:v>63.699999999999996</c:v>
                </c:pt>
                <c:pt idx="67">
                  <c:v>63.699999999999996</c:v>
                </c:pt>
                <c:pt idx="68">
                  <c:v>63.699999999999996</c:v>
                </c:pt>
                <c:pt idx="69">
                  <c:v>63.699999999999996</c:v>
                </c:pt>
                <c:pt idx="70">
                  <c:v>63.699999999999996</c:v>
                </c:pt>
                <c:pt idx="71">
                  <c:v>63.699999999999996</c:v>
                </c:pt>
                <c:pt idx="72">
                  <c:v>63.699999999999996</c:v>
                </c:pt>
                <c:pt idx="73">
                  <c:v>63.699999999999996</c:v>
                </c:pt>
                <c:pt idx="74">
                  <c:v>63.699999999999996</c:v>
                </c:pt>
                <c:pt idx="75">
                  <c:v>63.699999999999996</c:v>
                </c:pt>
                <c:pt idx="76">
                  <c:v>63.699999999999996</c:v>
                </c:pt>
                <c:pt idx="77">
                  <c:v>63.699999999999996</c:v>
                </c:pt>
                <c:pt idx="78">
                  <c:v>63.699999999999996</c:v>
                </c:pt>
                <c:pt idx="79">
                  <c:v>63.699999999999996</c:v>
                </c:pt>
                <c:pt idx="80">
                  <c:v>63.699999999999996</c:v>
                </c:pt>
                <c:pt idx="81">
                  <c:v>63.699999999999996</c:v>
                </c:pt>
                <c:pt idx="82">
                  <c:v>63.699999999999996</c:v>
                </c:pt>
                <c:pt idx="83">
                  <c:v>63.699999999999996</c:v>
                </c:pt>
                <c:pt idx="84">
                  <c:v>63.699999999999996</c:v>
                </c:pt>
                <c:pt idx="85">
                  <c:v>63.699999999999996</c:v>
                </c:pt>
                <c:pt idx="86">
                  <c:v>63.699999999999996</c:v>
                </c:pt>
                <c:pt idx="87">
                  <c:v>63.699999999999996</c:v>
                </c:pt>
                <c:pt idx="88">
                  <c:v>63.699999999999996</c:v>
                </c:pt>
                <c:pt idx="89">
                  <c:v>63.699999999999996</c:v>
                </c:pt>
                <c:pt idx="90">
                  <c:v>63.699999999999996</c:v>
                </c:pt>
                <c:pt idx="91">
                  <c:v>63.699999999999996</c:v>
                </c:pt>
                <c:pt idx="92">
                  <c:v>62.8</c:v>
                </c:pt>
                <c:pt idx="93">
                  <c:v>62.8</c:v>
                </c:pt>
                <c:pt idx="94">
                  <c:v>62.8</c:v>
                </c:pt>
                <c:pt idx="95">
                  <c:v>62.8</c:v>
                </c:pt>
                <c:pt idx="96">
                  <c:v>62.8</c:v>
                </c:pt>
                <c:pt idx="97">
                  <c:v>62.8</c:v>
                </c:pt>
                <c:pt idx="98">
                  <c:v>62.8</c:v>
                </c:pt>
                <c:pt idx="99">
                  <c:v>62.8</c:v>
                </c:pt>
                <c:pt idx="100">
                  <c:v>62.8</c:v>
                </c:pt>
                <c:pt idx="101">
                  <c:v>62.8</c:v>
                </c:pt>
                <c:pt idx="102">
                  <c:v>62.8</c:v>
                </c:pt>
                <c:pt idx="103">
                  <c:v>62.8</c:v>
                </c:pt>
                <c:pt idx="104">
                  <c:v>62.8</c:v>
                </c:pt>
                <c:pt idx="105">
                  <c:v>62.8</c:v>
                </c:pt>
                <c:pt idx="106">
                  <c:v>62.8</c:v>
                </c:pt>
                <c:pt idx="107">
                  <c:v>62.8</c:v>
                </c:pt>
                <c:pt idx="108">
                  <c:v>62.8</c:v>
                </c:pt>
                <c:pt idx="109">
                  <c:v>62.8</c:v>
                </c:pt>
                <c:pt idx="110">
                  <c:v>62.8</c:v>
                </c:pt>
                <c:pt idx="111">
                  <c:v>62.8</c:v>
                </c:pt>
                <c:pt idx="112">
                  <c:v>62.8</c:v>
                </c:pt>
                <c:pt idx="113">
                  <c:v>62.8</c:v>
                </c:pt>
                <c:pt idx="114">
                  <c:v>62.8</c:v>
                </c:pt>
                <c:pt idx="115">
                  <c:v>62.8</c:v>
                </c:pt>
                <c:pt idx="116">
                  <c:v>62.8</c:v>
                </c:pt>
                <c:pt idx="117">
                  <c:v>62.8</c:v>
                </c:pt>
                <c:pt idx="118">
                  <c:v>62.8</c:v>
                </c:pt>
                <c:pt idx="119">
                  <c:v>62.8</c:v>
                </c:pt>
                <c:pt idx="120">
                  <c:v>62.8</c:v>
                </c:pt>
                <c:pt idx="121">
                  <c:v>62.8</c:v>
                </c:pt>
                <c:pt idx="122">
                  <c:v>62.8</c:v>
                </c:pt>
                <c:pt idx="123">
                  <c:v>63.699999999999996</c:v>
                </c:pt>
                <c:pt idx="124">
                  <c:v>63.699999999999996</c:v>
                </c:pt>
                <c:pt idx="125">
                  <c:v>63.699999999999996</c:v>
                </c:pt>
                <c:pt idx="126">
                  <c:v>63.699999999999996</c:v>
                </c:pt>
                <c:pt idx="127">
                  <c:v>63.699999999999996</c:v>
                </c:pt>
                <c:pt idx="128">
                  <c:v>63.699999999999996</c:v>
                </c:pt>
                <c:pt idx="129">
                  <c:v>63.699999999999996</c:v>
                </c:pt>
                <c:pt idx="130">
                  <c:v>63.699999999999996</c:v>
                </c:pt>
                <c:pt idx="131">
                  <c:v>63.699999999999996</c:v>
                </c:pt>
                <c:pt idx="132">
                  <c:v>63.699999999999996</c:v>
                </c:pt>
                <c:pt idx="133">
                  <c:v>63.699999999999996</c:v>
                </c:pt>
                <c:pt idx="134">
                  <c:v>63.699999999999996</c:v>
                </c:pt>
                <c:pt idx="135">
                  <c:v>63.699999999999996</c:v>
                </c:pt>
                <c:pt idx="136">
                  <c:v>63.699999999999996</c:v>
                </c:pt>
                <c:pt idx="137">
                  <c:v>63.699999999999996</c:v>
                </c:pt>
                <c:pt idx="138">
                  <c:v>63.699999999999996</c:v>
                </c:pt>
                <c:pt idx="139">
                  <c:v>63.699999999999996</c:v>
                </c:pt>
                <c:pt idx="140">
                  <c:v>63.699999999999996</c:v>
                </c:pt>
                <c:pt idx="141">
                  <c:v>63.699999999999996</c:v>
                </c:pt>
                <c:pt idx="142">
                  <c:v>63.699999999999996</c:v>
                </c:pt>
                <c:pt idx="143">
                  <c:v>63.699999999999996</c:v>
                </c:pt>
                <c:pt idx="144">
                  <c:v>63.699999999999996</c:v>
                </c:pt>
                <c:pt idx="145">
                  <c:v>63.699999999999996</c:v>
                </c:pt>
                <c:pt idx="146">
                  <c:v>63.699999999999996</c:v>
                </c:pt>
                <c:pt idx="147">
                  <c:v>63.699999999999996</c:v>
                </c:pt>
                <c:pt idx="148">
                  <c:v>63.699999999999996</c:v>
                </c:pt>
                <c:pt idx="149">
                  <c:v>63.699999999999996</c:v>
                </c:pt>
                <c:pt idx="150">
                  <c:v>63.699999999999996</c:v>
                </c:pt>
                <c:pt idx="151">
                  <c:v>63.699999999999996</c:v>
                </c:pt>
                <c:pt idx="152">
                  <c:v>63.699999999999996</c:v>
                </c:pt>
                <c:pt idx="153">
                  <c:v>63.699999999999996</c:v>
                </c:pt>
                <c:pt idx="154">
                  <c:v>63.699999999999996</c:v>
                </c:pt>
                <c:pt idx="155">
                  <c:v>63.699999999999996</c:v>
                </c:pt>
                <c:pt idx="156">
                  <c:v>63.699999999999996</c:v>
                </c:pt>
                <c:pt idx="157">
                  <c:v>63.699999999999996</c:v>
                </c:pt>
                <c:pt idx="158">
                  <c:v>63.699999999999996</c:v>
                </c:pt>
                <c:pt idx="159">
                  <c:v>63.699999999999996</c:v>
                </c:pt>
                <c:pt idx="160">
                  <c:v>63.699999999999996</c:v>
                </c:pt>
                <c:pt idx="161">
                  <c:v>63.699999999999996</c:v>
                </c:pt>
                <c:pt idx="162">
                  <c:v>63.699999999999996</c:v>
                </c:pt>
                <c:pt idx="163">
                  <c:v>63.699999999999996</c:v>
                </c:pt>
                <c:pt idx="164">
                  <c:v>63.699999999999996</c:v>
                </c:pt>
                <c:pt idx="165">
                  <c:v>63.699999999999996</c:v>
                </c:pt>
                <c:pt idx="166">
                  <c:v>63.699999999999996</c:v>
                </c:pt>
                <c:pt idx="167">
                  <c:v>63.699999999999996</c:v>
                </c:pt>
                <c:pt idx="168">
                  <c:v>63.699999999999996</c:v>
                </c:pt>
                <c:pt idx="169">
                  <c:v>63.699999999999996</c:v>
                </c:pt>
                <c:pt idx="170">
                  <c:v>63.699999999999996</c:v>
                </c:pt>
                <c:pt idx="171">
                  <c:v>63.699999999999996</c:v>
                </c:pt>
                <c:pt idx="172">
                  <c:v>63.699999999999996</c:v>
                </c:pt>
                <c:pt idx="173">
                  <c:v>63.699999999999996</c:v>
                </c:pt>
                <c:pt idx="174">
                  <c:v>63.699999999999996</c:v>
                </c:pt>
                <c:pt idx="175">
                  <c:v>63.699999999999996</c:v>
                </c:pt>
                <c:pt idx="176">
                  <c:v>63.699999999999996</c:v>
                </c:pt>
                <c:pt idx="177">
                  <c:v>63.699999999999996</c:v>
                </c:pt>
                <c:pt idx="178">
                  <c:v>63.699999999999996</c:v>
                </c:pt>
                <c:pt idx="179">
                  <c:v>63.699999999999996</c:v>
                </c:pt>
                <c:pt idx="180">
                  <c:v>63.699999999999996</c:v>
                </c:pt>
                <c:pt idx="181">
                  <c:v>63.699999999999996</c:v>
                </c:pt>
                <c:pt idx="182">
                  <c:v>63.699999999999996</c:v>
                </c:pt>
                <c:pt idx="183">
                  <c:v>63.699999999999996</c:v>
                </c:pt>
                <c:pt idx="184">
                  <c:v>37</c:v>
                </c:pt>
                <c:pt idx="185">
                  <c:v>37</c:v>
                </c:pt>
                <c:pt idx="186">
                  <c:v>37</c:v>
                </c:pt>
                <c:pt idx="187">
                  <c:v>37</c:v>
                </c:pt>
                <c:pt idx="188">
                  <c:v>37</c:v>
                </c:pt>
                <c:pt idx="189">
                  <c:v>37</c:v>
                </c:pt>
                <c:pt idx="190">
                  <c:v>37</c:v>
                </c:pt>
                <c:pt idx="191">
                  <c:v>37</c:v>
                </c:pt>
                <c:pt idx="192">
                  <c:v>37</c:v>
                </c:pt>
                <c:pt idx="193">
                  <c:v>37</c:v>
                </c:pt>
                <c:pt idx="194">
                  <c:v>37</c:v>
                </c:pt>
                <c:pt idx="195">
                  <c:v>37</c:v>
                </c:pt>
                <c:pt idx="196">
                  <c:v>37</c:v>
                </c:pt>
                <c:pt idx="197">
                  <c:v>37</c:v>
                </c:pt>
                <c:pt idx="198">
                  <c:v>37</c:v>
                </c:pt>
                <c:pt idx="199">
                  <c:v>37</c:v>
                </c:pt>
                <c:pt idx="200">
                  <c:v>37</c:v>
                </c:pt>
                <c:pt idx="201">
                  <c:v>37</c:v>
                </c:pt>
                <c:pt idx="202">
                  <c:v>37</c:v>
                </c:pt>
                <c:pt idx="203">
                  <c:v>37</c:v>
                </c:pt>
                <c:pt idx="204">
                  <c:v>37</c:v>
                </c:pt>
                <c:pt idx="205">
                  <c:v>37</c:v>
                </c:pt>
                <c:pt idx="206">
                  <c:v>37</c:v>
                </c:pt>
                <c:pt idx="207">
                  <c:v>37</c:v>
                </c:pt>
                <c:pt idx="208">
                  <c:v>37</c:v>
                </c:pt>
                <c:pt idx="209">
                  <c:v>37</c:v>
                </c:pt>
                <c:pt idx="210">
                  <c:v>37</c:v>
                </c:pt>
                <c:pt idx="211">
                  <c:v>37</c:v>
                </c:pt>
                <c:pt idx="212">
                  <c:v>37</c:v>
                </c:pt>
                <c:pt idx="213">
                  <c:v>37</c:v>
                </c:pt>
                <c:pt idx="214">
                  <c:v>37</c:v>
                </c:pt>
                <c:pt idx="215">
                  <c:v>37</c:v>
                </c:pt>
                <c:pt idx="216">
                  <c:v>37</c:v>
                </c:pt>
                <c:pt idx="217">
                  <c:v>37</c:v>
                </c:pt>
                <c:pt idx="218">
                  <c:v>37</c:v>
                </c:pt>
                <c:pt idx="219">
                  <c:v>37</c:v>
                </c:pt>
                <c:pt idx="220">
                  <c:v>37</c:v>
                </c:pt>
                <c:pt idx="221">
                  <c:v>37</c:v>
                </c:pt>
                <c:pt idx="222">
                  <c:v>37</c:v>
                </c:pt>
                <c:pt idx="223">
                  <c:v>37</c:v>
                </c:pt>
                <c:pt idx="224">
                  <c:v>37</c:v>
                </c:pt>
                <c:pt idx="225">
                  <c:v>37</c:v>
                </c:pt>
                <c:pt idx="226">
                  <c:v>37</c:v>
                </c:pt>
                <c:pt idx="227">
                  <c:v>37</c:v>
                </c:pt>
                <c:pt idx="228">
                  <c:v>37</c:v>
                </c:pt>
                <c:pt idx="229">
                  <c:v>37</c:v>
                </c:pt>
                <c:pt idx="230">
                  <c:v>37</c:v>
                </c:pt>
                <c:pt idx="231">
                  <c:v>37</c:v>
                </c:pt>
                <c:pt idx="232">
                  <c:v>37</c:v>
                </c:pt>
                <c:pt idx="233">
                  <c:v>37</c:v>
                </c:pt>
                <c:pt idx="234">
                  <c:v>37</c:v>
                </c:pt>
                <c:pt idx="235">
                  <c:v>37</c:v>
                </c:pt>
                <c:pt idx="236">
                  <c:v>37</c:v>
                </c:pt>
                <c:pt idx="237">
                  <c:v>37</c:v>
                </c:pt>
                <c:pt idx="238">
                  <c:v>37</c:v>
                </c:pt>
                <c:pt idx="239">
                  <c:v>37</c:v>
                </c:pt>
                <c:pt idx="240">
                  <c:v>37</c:v>
                </c:pt>
                <c:pt idx="241">
                  <c:v>37</c:v>
                </c:pt>
                <c:pt idx="242">
                  <c:v>37</c:v>
                </c:pt>
                <c:pt idx="243">
                  <c:v>37</c:v>
                </c:pt>
                <c:pt idx="244">
                  <c:v>37</c:v>
                </c:pt>
                <c:pt idx="245">
                  <c:v>37</c:v>
                </c:pt>
                <c:pt idx="246">
                  <c:v>37</c:v>
                </c:pt>
                <c:pt idx="247">
                  <c:v>37</c:v>
                </c:pt>
                <c:pt idx="248">
                  <c:v>37</c:v>
                </c:pt>
                <c:pt idx="249">
                  <c:v>37</c:v>
                </c:pt>
                <c:pt idx="250">
                  <c:v>37</c:v>
                </c:pt>
                <c:pt idx="251">
                  <c:v>37</c:v>
                </c:pt>
                <c:pt idx="252">
                  <c:v>37</c:v>
                </c:pt>
                <c:pt idx="253">
                  <c:v>37</c:v>
                </c:pt>
                <c:pt idx="254">
                  <c:v>37</c:v>
                </c:pt>
                <c:pt idx="255">
                  <c:v>37</c:v>
                </c:pt>
                <c:pt idx="256">
                  <c:v>37</c:v>
                </c:pt>
                <c:pt idx="257">
                  <c:v>37</c:v>
                </c:pt>
                <c:pt idx="258">
                  <c:v>37</c:v>
                </c:pt>
                <c:pt idx="259">
                  <c:v>37</c:v>
                </c:pt>
                <c:pt idx="260">
                  <c:v>37</c:v>
                </c:pt>
                <c:pt idx="261">
                  <c:v>37</c:v>
                </c:pt>
                <c:pt idx="262">
                  <c:v>37</c:v>
                </c:pt>
                <c:pt idx="263">
                  <c:v>37</c:v>
                </c:pt>
                <c:pt idx="264">
                  <c:v>37</c:v>
                </c:pt>
                <c:pt idx="265">
                  <c:v>37</c:v>
                </c:pt>
                <c:pt idx="266">
                  <c:v>37</c:v>
                </c:pt>
                <c:pt idx="267">
                  <c:v>37</c:v>
                </c:pt>
                <c:pt idx="268">
                  <c:v>37</c:v>
                </c:pt>
                <c:pt idx="269">
                  <c:v>37</c:v>
                </c:pt>
                <c:pt idx="270">
                  <c:v>37</c:v>
                </c:pt>
                <c:pt idx="271">
                  <c:v>37</c:v>
                </c:pt>
                <c:pt idx="272">
                  <c:v>37</c:v>
                </c:pt>
                <c:pt idx="273">
                  <c:v>37</c:v>
                </c:pt>
                <c:pt idx="274">
                  <c:v>36.1</c:v>
                </c:pt>
                <c:pt idx="275">
                  <c:v>36.1</c:v>
                </c:pt>
                <c:pt idx="276">
                  <c:v>36.1</c:v>
                </c:pt>
                <c:pt idx="277">
                  <c:v>36.1</c:v>
                </c:pt>
                <c:pt idx="278">
                  <c:v>36.1</c:v>
                </c:pt>
                <c:pt idx="279">
                  <c:v>36.1</c:v>
                </c:pt>
                <c:pt idx="280">
                  <c:v>36.1</c:v>
                </c:pt>
                <c:pt idx="281">
                  <c:v>36.1</c:v>
                </c:pt>
                <c:pt idx="282">
                  <c:v>36.1</c:v>
                </c:pt>
                <c:pt idx="283">
                  <c:v>36.1</c:v>
                </c:pt>
                <c:pt idx="284">
                  <c:v>36.1</c:v>
                </c:pt>
                <c:pt idx="285">
                  <c:v>36.1</c:v>
                </c:pt>
                <c:pt idx="286">
                  <c:v>36.1</c:v>
                </c:pt>
                <c:pt idx="287">
                  <c:v>36.1</c:v>
                </c:pt>
                <c:pt idx="288">
                  <c:v>36.1</c:v>
                </c:pt>
                <c:pt idx="289">
                  <c:v>36.1</c:v>
                </c:pt>
                <c:pt idx="290">
                  <c:v>36.1</c:v>
                </c:pt>
                <c:pt idx="291">
                  <c:v>36.1</c:v>
                </c:pt>
                <c:pt idx="292">
                  <c:v>36.1</c:v>
                </c:pt>
                <c:pt idx="293">
                  <c:v>36.1</c:v>
                </c:pt>
                <c:pt idx="294">
                  <c:v>36.1</c:v>
                </c:pt>
                <c:pt idx="295">
                  <c:v>36.1</c:v>
                </c:pt>
                <c:pt idx="296">
                  <c:v>36.1</c:v>
                </c:pt>
                <c:pt idx="297">
                  <c:v>36.1</c:v>
                </c:pt>
                <c:pt idx="298">
                  <c:v>36.1</c:v>
                </c:pt>
                <c:pt idx="299">
                  <c:v>36.1</c:v>
                </c:pt>
                <c:pt idx="300">
                  <c:v>36.1</c:v>
                </c:pt>
                <c:pt idx="301">
                  <c:v>36.1</c:v>
                </c:pt>
                <c:pt idx="302">
                  <c:v>36.1</c:v>
                </c:pt>
                <c:pt idx="303">
                  <c:v>36.1</c:v>
                </c:pt>
                <c:pt idx="304">
                  <c:v>35</c:v>
                </c:pt>
                <c:pt idx="305">
                  <c:v>35</c:v>
                </c:pt>
                <c:pt idx="306">
                  <c:v>35</c:v>
                </c:pt>
                <c:pt idx="307">
                  <c:v>35</c:v>
                </c:pt>
                <c:pt idx="308">
                  <c:v>35</c:v>
                </c:pt>
                <c:pt idx="309">
                  <c:v>35</c:v>
                </c:pt>
                <c:pt idx="310">
                  <c:v>35</c:v>
                </c:pt>
                <c:pt idx="311">
                  <c:v>35</c:v>
                </c:pt>
                <c:pt idx="312">
                  <c:v>35</c:v>
                </c:pt>
                <c:pt idx="313">
                  <c:v>35</c:v>
                </c:pt>
                <c:pt idx="314">
                  <c:v>35</c:v>
                </c:pt>
                <c:pt idx="315">
                  <c:v>35</c:v>
                </c:pt>
                <c:pt idx="316">
                  <c:v>35</c:v>
                </c:pt>
                <c:pt idx="317">
                  <c:v>35</c:v>
                </c:pt>
                <c:pt idx="318">
                  <c:v>35</c:v>
                </c:pt>
                <c:pt idx="319">
                  <c:v>35</c:v>
                </c:pt>
                <c:pt idx="320">
                  <c:v>35</c:v>
                </c:pt>
                <c:pt idx="321">
                  <c:v>35</c:v>
                </c:pt>
                <c:pt idx="322">
                  <c:v>35</c:v>
                </c:pt>
                <c:pt idx="323">
                  <c:v>35</c:v>
                </c:pt>
                <c:pt idx="324">
                  <c:v>35</c:v>
                </c:pt>
                <c:pt idx="325">
                  <c:v>35</c:v>
                </c:pt>
                <c:pt idx="326">
                  <c:v>35</c:v>
                </c:pt>
                <c:pt idx="327">
                  <c:v>35</c:v>
                </c:pt>
                <c:pt idx="328">
                  <c:v>35</c:v>
                </c:pt>
                <c:pt idx="329">
                  <c:v>35</c:v>
                </c:pt>
                <c:pt idx="330">
                  <c:v>35</c:v>
                </c:pt>
                <c:pt idx="331">
                  <c:v>35</c:v>
                </c:pt>
                <c:pt idx="332">
                  <c:v>35</c:v>
                </c:pt>
                <c:pt idx="333">
                  <c:v>35</c:v>
                </c:pt>
                <c:pt idx="334">
                  <c:v>35</c:v>
                </c:pt>
                <c:pt idx="335">
                  <c:v>34</c:v>
                </c:pt>
                <c:pt idx="336">
                  <c:v>34</c:v>
                </c:pt>
                <c:pt idx="337">
                  <c:v>34</c:v>
                </c:pt>
                <c:pt idx="338">
                  <c:v>34</c:v>
                </c:pt>
                <c:pt idx="339">
                  <c:v>34</c:v>
                </c:pt>
                <c:pt idx="340">
                  <c:v>34</c:v>
                </c:pt>
                <c:pt idx="341">
                  <c:v>34</c:v>
                </c:pt>
                <c:pt idx="342">
                  <c:v>34</c:v>
                </c:pt>
                <c:pt idx="343">
                  <c:v>34</c:v>
                </c:pt>
                <c:pt idx="344">
                  <c:v>34</c:v>
                </c:pt>
                <c:pt idx="345">
                  <c:v>34</c:v>
                </c:pt>
                <c:pt idx="346">
                  <c:v>34</c:v>
                </c:pt>
                <c:pt idx="347">
                  <c:v>34</c:v>
                </c:pt>
                <c:pt idx="348">
                  <c:v>34</c:v>
                </c:pt>
                <c:pt idx="349">
                  <c:v>34</c:v>
                </c:pt>
                <c:pt idx="350">
                  <c:v>34</c:v>
                </c:pt>
                <c:pt idx="351">
                  <c:v>34</c:v>
                </c:pt>
                <c:pt idx="352">
                  <c:v>34</c:v>
                </c:pt>
                <c:pt idx="353">
                  <c:v>34</c:v>
                </c:pt>
                <c:pt idx="354">
                  <c:v>34</c:v>
                </c:pt>
                <c:pt idx="355">
                  <c:v>34</c:v>
                </c:pt>
                <c:pt idx="356">
                  <c:v>34</c:v>
                </c:pt>
                <c:pt idx="357">
                  <c:v>34</c:v>
                </c:pt>
                <c:pt idx="358">
                  <c:v>34</c:v>
                </c:pt>
                <c:pt idx="359">
                  <c:v>34</c:v>
                </c:pt>
                <c:pt idx="360">
                  <c:v>34</c:v>
                </c:pt>
                <c:pt idx="361">
                  <c:v>34</c:v>
                </c:pt>
                <c:pt idx="362">
                  <c:v>34</c:v>
                </c:pt>
                <c:pt idx="363">
                  <c:v>34</c:v>
                </c:pt>
                <c:pt idx="364">
                  <c:v>34</c:v>
                </c:pt>
              </c:numCache>
            </c:numRef>
          </c:val>
          <c:extLst>
            <c:ext xmlns:c16="http://schemas.microsoft.com/office/drawing/2014/chart" uri="{C3380CC4-5D6E-409C-BE32-E72D297353CC}">
              <c16:uniqueId val="{00000000-E2BE-4CE9-B150-8CCA0F9981EA}"/>
            </c:ext>
          </c:extLst>
        </c:ser>
        <c:ser>
          <c:idx val="1"/>
          <c:order val="2"/>
          <c:tx>
            <c:strRef>
              <c:f>'5. Historical demand'!$D$40:$D$41</c:f>
              <c:strCache>
                <c:ptCount val="2"/>
                <c:pt idx="0">
                  <c:v>Contracted firm capacity-storage</c:v>
                </c:pt>
                <c:pt idx="1">
                  <c:v>TJ/day</c:v>
                </c:pt>
              </c:strCache>
            </c:strRef>
          </c:tx>
          <c:spPr>
            <a:solidFill>
              <a:srgbClr val="FFECC9"/>
            </a:solidFill>
            <a:ln w="28575" cap="rnd">
              <a:solidFill>
                <a:srgbClr val="FFECC9"/>
              </a:solidFill>
              <a:round/>
            </a:ln>
            <a:effectLst/>
          </c:spPr>
          <c:invertIfNegative val="0"/>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demand'!$D$43:$D$408</c:f>
              <c:numCache>
                <c:formatCode>_(* #,##0_);_(* \(#,##0\);_(* "-"_);_(@_)</c:formatCode>
                <c:ptCount val="366"/>
              </c:numCache>
            </c:numRef>
          </c:val>
          <c:extLst>
            <c:ext xmlns:c16="http://schemas.microsoft.com/office/drawing/2014/chart" uri="{C3380CC4-5D6E-409C-BE32-E72D297353CC}">
              <c16:uniqueId val="{00000001-E2BE-4CE9-B150-8CCA0F9981EA}"/>
            </c:ext>
          </c:extLst>
        </c:ser>
        <c:dLbls>
          <c:showLegendKey val="0"/>
          <c:showVal val="0"/>
          <c:showCatName val="0"/>
          <c:showSerName val="0"/>
          <c:showPercent val="0"/>
          <c:showBubbleSize val="0"/>
        </c:dLbls>
        <c:gapWidth val="150"/>
        <c:overlap val="100"/>
        <c:axId val="156137487"/>
        <c:axId val="1"/>
      </c:barChart>
      <c:lineChart>
        <c:grouping val="standard"/>
        <c:varyColors val="0"/>
        <c:ser>
          <c:idx val="2"/>
          <c:order val="1"/>
          <c:tx>
            <c:strRef>
              <c:f>'5. Historical demand'!$E$40:$E$41</c:f>
              <c:strCache>
                <c:ptCount val="2"/>
                <c:pt idx="0">
                  <c:v>Utilised capacity</c:v>
                </c:pt>
                <c:pt idx="1">
                  <c:v>TJ/day</c:v>
                </c:pt>
              </c:strCache>
            </c:strRef>
          </c:tx>
          <c:spPr>
            <a:ln>
              <a:solidFill>
                <a:srgbClr val="2B7AAF"/>
              </a:solidFill>
            </a:ln>
          </c:spPr>
          <c:marker>
            <c:symbol val="none"/>
          </c:marker>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demand'!$E$43:$E$408</c:f>
              <c:numCache>
                <c:formatCode>_(* #,##0_);_(* \(#,##0\);_(* "-"_);_(@_)</c:formatCode>
                <c:ptCount val="366"/>
                <c:pt idx="0">
                  <c:v>77.337999999999994</c:v>
                </c:pt>
                <c:pt idx="1">
                  <c:v>75.798000000000002</c:v>
                </c:pt>
                <c:pt idx="2">
                  <c:v>79.659000000000006</c:v>
                </c:pt>
                <c:pt idx="3">
                  <c:v>69.718999999999994</c:v>
                </c:pt>
                <c:pt idx="4">
                  <c:v>74.37</c:v>
                </c:pt>
                <c:pt idx="5">
                  <c:v>73.096000000000004</c:v>
                </c:pt>
                <c:pt idx="6">
                  <c:v>77.971000000000004</c:v>
                </c:pt>
                <c:pt idx="7">
                  <c:v>71.408000000000001</c:v>
                </c:pt>
                <c:pt idx="8">
                  <c:v>78.724000000000004</c:v>
                </c:pt>
                <c:pt idx="9">
                  <c:v>81.221999999999994</c:v>
                </c:pt>
                <c:pt idx="10">
                  <c:v>79.733000000000004</c:v>
                </c:pt>
                <c:pt idx="11">
                  <c:v>82.16</c:v>
                </c:pt>
                <c:pt idx="12">
                  <c:v>89.837000000000003</c:v>
                </c:pt>
                <c:pt idx="13">
                  <c:v>82.628</c:v>
                </c:pt>
                <c:pt idx="14">
                  <c:v>82.995999999999995</c:v>
                </c:pt>
                <c:pt idx="15">
                  <c:v>82.46</c:v>
                </c:pt>
                <c:pt idx="16">
                  <c:v>72.819999999999993</c:v>
                </c:pt>
                <c:pt idx="17">
                  <c:v>74.271000000000001</c:v>
                </c:pt>
                <c:pt idx="18">
                  <c:v>75.218999999999994</c:v>
                </c:pt>
                <c:pt idx="19">
                  <c:v>83.981999999999999</c:v>
                </c:pt>
                <c:pt idx="20">
                  <c:v>73.263000000000005</c:v>
                </c:pt>
                <c:pt idx="21">
                  <c:v>74.510000000000005</c:v>
                </c:pt>
                <c:pt idx="22">
                  <c:v>80.951999999999998</c:v>
                </c:pt>
                <c:pt idx="23">
                  <c:v>82.218000000000004</c:v>
                </c:pt>
                <c:pt idx="24">
                  <c:v>79.674999999999997</c:v>
                </c:pt>
                <c:pt idx="25">
                  <c:v>84.027000000000001</c:v>
                </c:pt>
                <c:pt idx="26">
                  <c:v>88.375</c:v>
                </c:pt>
                <c:pt idx="27">
                  <c:v>88.628</c:v>
                </c:pt>
                <c:pt idx="28">
                  <c:v>89.058999999999997</c:v>
                </c:pt>
                <c:pt idx="29">
                  <c:v>83.075000000000003</c:v>
                </c:pt>
                <c:pt idx="30">
                  <c:v>90.108000000000004</c:v>
                </c:pt>
                <c:pt idx="31">
                  <c:v>82.591999999999999</c:v>
                </c:pt>
                <c:pt idx="32">
                  <c:v>83.777000000000001</c:v>
                </c:pt>
                <c:pt idx="33">
                  <c:v>82.834000000000003</c:v>
                </c:pt>
                <c:pt idx="34">
                  <c:v>85.436000000000007</c:v>
                </c:pt>
                <c:pt idx="35">
                  <c:v>92.138000000000005</c:v>
                </c:pt>
                <c:pt idx="36">
                  <c:v>84.35</c:v>
                </c:pt>
                <c:pt idx="37">
                  <c:v>97.05</c:v>
                </c:pt>
                <c:pt idx="38">
                  <c:v>102.477</c:v>
                </c:pt>
                <c:pt idx="39">
                  <c:v>97.263999999999996</c:v>
                </c:pt>
                <c:pt idx="40">
                  <c:v>97.388000000000005</c:v>
                </c:pt>
                <c:pt idx="41">
                  <c:v>98.287000000000006</c:v>
                </c:pt>
                <c:pt idx="42">
                  <c:v>102.223</c:v>
                </c:pt>
                <c:pt idx="43">
                  <c:v>101.61499999999999</c:v>
                </c:pt>
                <c:pt idx="44">
                  <c:v>86.418000000000006</c:v>
                </c:pt>
                <c:pt idx="45">
                  <c:v>98.328999999999994</c:v>
                </c:pt>
                <c:pt idx="46">
                  <c:v>89.233000000000004</c:v>
                </c:pt>
                <c:pt idx="47">
                  <c:v>86.01</c:v>
                </c:pt>
                <c:pt idx="48">
                  <c:v>95.71</c:v>
                </c:pt>
                <c:pt idx="49">
                  <c:v>82.977000000000004</c:v>
                </c:pt>
                <c:pt idx="50">
                  <c:v>89.912000000000006</c:v>
                </c:pt>
                <c:pt idx="51">
                  <c:v>82.349000000000004</c:v>
                </c:pt>
                <c:pt idx="52">
                  <c:v>82.308999999999997</c:v>
                </c:pt>
                <c:pt idx="53">
                  <c:v>92.733000000000004</c:v>
                </c:pt>
                <c:pt idx="54">
                  <c:v>95.019000000000005</c:v>
                </c:pt>
                <c:pt idx="55">
                  <c:v>87.558999999999997</c:v>
                </c:pt>
                <c:pt idx="56">
                  <c:v>85.474999999999994</c:v>
                </c:pt>
                <c:pt idx="57">
                  <c:v>93.837999999999994</c:v>
                </c:pt>
                <c:pt idx="58">
                  <c:v>86.799000000000007</c:v>
                </c:pt>
                <c:pt idx="59">
                  <c:v>84.634</c:v>
                </c:pt>
                <c:pt idx="60">
                  <c:v>79.06</c:v>
                </c:pt>
                <c:pt idx="61">
                  <c:v>86.614999999999995</c:v>
                </c:pt>
                <c:pt idx="62">
                  <c:v>83.171000000000006</c:v>
                </c:pt>
                <c:pt idx="63">
                  <c:v>76.741</c:v>
                </c:pt>
                <c:pt idx="64">
                  <c:v>69.149000000000001</c:v>
                </c:pt>
                <c:pt idx="65">
                  <c:v>80.432000000000002</c:v>
                </c:pt>
                <c:pt idx="66">
                  <c:v>78.132999999999996</c:v>
                </c:pt>
                <c:pt idx="67">
                  <c:v>80.611999999999995</c:v>
                </c:pt>
                <c:pt idx="68">
                  <c:v>84.748000000000005</c:v>
                </c:pt>
                <c:pt idx="69">
                  <c:v>80.081999999999994</c:v>
                </c:pt>
                <c:pt idx="70">
                  <c:v>77.876999999999995</c:v>
                </c:pt>
                <c:pt idx="71">
                  <c:v>82.213999999999999</c:v>
                </c:pt>
                <c:pt idx="72">
                  <c:v>79.372</c:v>
                </c:pt>
                <c:pt idx="73">
                  <c:v>86.673000000000002</c:v>
                </c:pt>
                <c:pt idx="74">
                  <c:v>86.731999999999999</c:v>
                </c:pt>
                <c:pt idx="75">
                  <c:v>86.569000000000003</c:v>
                </c:pt>
                <c:pt idx="76">
                  <c:v>101.179</c:v>
                </c:pt>
                <c:pt idx="77">
                  <c:v>98.066000000000003</c:v>
                </c:pt>
                <c:pt idx="78">
                  <c:v>97.066000000000003</c:v>
                </c:pt>
                <c:pt idx="79">
                  <c:v>89.950999999999993</c:v>
                </c:pt>
                <c:pt idx="80">
                  <c:v>90.268000000000001</c:v>
                </c:pt>
                <c:pt idx="81">
                  <c:v>89.683999999999997</c:v>
                </c:pt>
                <c:pt idx="82">
                  <c:v>90.201999999999998</c:v>
                </c:pt>
                <c:pt idx="83">
                  <c:v>89.915000000000006</c:v>
                </c:pt>
                <c:pt idx="84">
                  <c:v>82.206999999999994</c:v>
                </c:pt>
                <c:pt idx="85">
                  <c:v>88.183000000000007</c:v>
                </c:pt>
                <c:pt idx="86">
                  <c:v>91.12</c:v>
                </c:pt>
                <c:pt idx="87">
                  <c:v>82.694999999999993</c:v>
                </c:pt>
                <c:pt idx="88">
                  <c:v>85.221999999999994</c:v>
                </c:pt>
                <c:pt idx="89">
                  <c:v>82.882000000000005</c:v>
                </c:pt>
                <c:pt idx="90">
                  <c:v>77.328000000000003</c:v>
                </c:pt>
                <c:pt idx="91">
                  <c:v>69.268000000000001</c:v>
                </c:pt>
                <c:pt idx="92">
                  <c:v>67.149000000000001</c:v>
                </c:pt>
                <c:pt idx="93">
                  <c:v>70.051000000000002</c:v>
                </c:pt>
                <c:pt idx="94">
                  <c:v>60.314</c:v>
                </c:pt>
                <c:pt idx="95">
                  <c:v>56.244999999999997</c:v>
                </c:pt>
                <c:pt idx="96">
                  <c:v>63.351999999999997</c:v>
                </c:pt>
                <c:pt idx="97">
                  <c:v>61.521000000000001</c:v>
                </c:pt>
                <c:pt idx="98">
                  <c:v>65.33</c:v>
                </c:pt>
                <c:pt idx="99">
                  <c:v>64.317999999999998</c:v>
                </c:pt>
                <c:pt idx="100">
                  <c:v>64.403000000000006</c:v>
                </c:pt>
                <c:pt idx="101">
                  <c:v>60.484999999999999</c:v>
                </c:pt>
                <c:pt idx="102">
                  <c:v>65.665999999999997</c:v>
                </c:pt>
                <c:pt idx="103">
                  <c:v>58.951000000000001</c:v>
                </c:pt>
                <c:pt idx="104">
                  <c:v>69.914000000000001</c:v>
                </c:pt>
                <c:pt idx="105">
                  <c:v>66.715000000000003</c:v>
                </c:pt>
                <c:pt idx="106">
                  <c:v>62.253999999999998</c:v>
                </c:pt>
                <c:pt idx="107">
                  <c:v>61.448999999999998</c:v>
                </c:pt>
                <c:pt idx="108">
                  <c:v>56.947000000000003</c:v>
                </c:pt>
                <c:pt idx="109">
                  <c:v>65.195999999999998</c:v>
                </c:pt>
                <c:pt idx="110">
                  <c:v>69.302999999999997</c:v>
                </c:pt>
                <c:pt idx="111">
                  <c:v>86.274000000000001</c:v>
                </c:pt>
                <c:pt idx="112">
                  <c:v>77.864999999999995</c:v>
                </c:pt>
                <c:pt idx="113">
                  <c:v>78.207999999999998</c:v>
                </c:pt>
                <c:pt idx="114">
                  <c:v>84.355999999999995</c:v>
                </c:pt>
                <c:pt idx="115">
                  <c:v>86.506</c:v>
                </c:pt>
                <c:pt idx="116">
                  <c:v>84.540999999999997</c:v>
                </c:pt>
                <c:pt idx="117">
                  <c:v>77.156999999999996</c:v>
                </c:pt>
                <c:pt idx="118">
                  <c:v>90.25</c:v>
                </c:pt>
                <c:pt idx="119">
                  <c:v>86.01</c:v>
                </c:pt>
                <c:pt idx="120">
                  <c:v>75.486999999999995</c:v>
                </c:pt>
                <c:pt idx="121">
                  <c:v>78.245000000000005</c:v>
                </c:pt>
                <c:pt idx="122">
                  <c:v>75.652000000000001</c:v>
                </c:pt>
                <c:pt idx="123">
                  <c:v>73.394999999999996</c:v>
                </c:pt>
                <c:pt idx="124">
                  <c:v>77.108999999999995</c:v>
                </c:pt>
                <c:pt idx="125">
                  <c:v>75.944000000000003</c:v>
                </c:pt>
                <c:pt idx="126">
                  <c:v>73.106999999999999</c:v>
                </c:pt>
                <c:pt idx="127">
                  <c:v>77.459999999999994</c:v>
                </c:pt>
                <c:pt idx="128">
                  <c:v>68.980999999999995</c:v>
                </c:pt>
                <c:pt idx="129">
                  <c:v>82.007000000000005</c:v>
                </c:pt>
                <c:pt idx="130">
                  <c:v>78.150999999999996</c:v>
                </c:pt>
                <c:pt idx="131">
                  <c:v>71.091999999999999</c:v>
                </c:pt>
                <c:pt idx="132">
                  <c:v>79.013999999999996</c:v>
                </c:pt>
                <c:pt idx="133">
                  <c:v>65.628</c:v>
                </c:pt>
                <c:pt idx="134">
                  <c:v>73.545000000000002</c:v>
                </c:pt>
                <c:pt idx="135">
                  <c:v>80.501999999999995</c:v>
                </c:pt>
                <c:pt idx="136">
                  <c:v>71.117000000000004</c:v>
                </c:pt>
                <c:pt idx="137">
                  <c:v>73.926000000000002</c:v>
                </c:pt>
                <c:pt idx="138">
                  <c:v>68.721000000000004</c:v>
                </c:pt>
                <c:pt idx="139">
                  <c:v>73.394000000000005</c:v>
                </c:pt>
                <c:pt idx="140">
                  <c:v>77.512</c:v>
                </c:pt>
                <c:pt idx="141">
                  <c:v>91.95</c:v>
                </c:pt>
                <c:pt idx="142">
                  <c:v>86.256</c:v>
                </c:pt>
                <c:pt idx="143">
                  <c:v>81.966999999999999</c:v>
                </c:pt>
                <c:pt idx="144">
                  <c:v>87.691999999999993</c:v>
                </c:pt>
                <c:pt idx="145">
                  <c:v>85.641999999999996</c:v>
                </c:pt>
                <c:pt idx="146">
                  <c:v>87.331999999999994</c:v>
                </c:pt>
                <c:pt idx="147">
                  <c:v>82.185000000000002</c:v>
                </c:pt>
                <c:pt idx="148">
                  <c:v>85.435000000000002</c:v>
                </c:pt>
                <c:pt idx="149">
                  <c:v>68.849999999999994</c:v>
                </c:pt>
                <c:pt idx="150">
                  <c:v>76.914000000000001</c:v>
                </c:pt>
                <c:pt idx="151">
                  <c:v>69.703999999999994</c:v>
                </c:pt>
                <c:pt idx="152">
                  <c:v>72.72</c:v>
                </c:pt>
                <c:pt idx="153">
                  <c:v>64.44</c:v>
                </c:pt>
                <c:pt idx="154">
                  <c:v>76.040000000000006</c:v>
                </c:pt>
                <c:pt idx="155">
                  <c:v>72.891000000000005</c:v>
                </c:pt>
                <c:pt idx="156">
                  <c:v>75.846000000000004</c:v>
                </c:pt>
                <c:pt idx="157">
                  <c:v>69.430000000000007</c:v>
                </c:pt>
                <c:pt idx="158">
                  <c:v>96.897000000000006</c:v>
                </c:pt>
                <c:pt idx="159">
                  <c:v>92.5</c:v>
                </c:pt>
                <c:pt idx="160">
                  <c:v>89.933999999999997</c:v>
                </c:pt>
                <c:pt idx="161">
                  <c:v>83.164000000000001</c:v>
                </c:pt>
                <c:pt idx="162">
                  <c:v>81.879000000000005</c:v>
                </c:pt>
                <c:pt idx="163">
                  <c:v>83.328999999999994</c:v>
                </c:pt>
                <c:pt idx="164">
                  <c:v>86.406999999999996</c:v>
                </c:pt>
                <c:pt idx="165">
                  <c:v>81.760000000000005</c:v>
                </c:pt>
                <c:pt idx="166">
                  <c:v>77.067999999999998</c:v>
                </c:pt>
                <c:pt idx="167">
                  <c:v>88.731999999999999</c:v>
                </c:pt>
                <c:pt idx="168">
                  <c:v>84.364999999999995</c:v>
                </c:pt>
                <c:pt idx="169">
                  <c:v>99.058000000000007</c:v>
                </c:pt>
                <c:pt idx="170">
                  <c:v>87.554000000000002</c:v>
                </c:pt>
                <c:pt idx="171">
                  <c:v>83.572999999999993</c:v>
                </c:pt>
                <c:pt idx="172">
                  <c:v>89.400999999999996</c:v>
                </c:pt>
                <c:pt idx="173">
                  <c:v>93.242999999999995</c:v>
                </c:pt>
                <c:pt idx="174">
                  <c:v>87.414000000000001</c:v>
                </c:pt>
                <c:pt idx="175">
                  <c:v>88.138999999999996</c:v>
                </c:pt>
                <c:pt idx="176">
                  <c:v>80.875</c:v>
                </c:pt>
                <c:pt idx="177">
                  <c:v>88.234999999999999</c:v>
                </c:pt>
                <c:pt idx="178">
                  <c:v>94.073999999999998</c:v>
                </c:pt>
                <c:pt idx="179">
                  <c:v>106.89100000000001</c:v>
                </c:pt>
                <c:pt idx="180">
                  <c:v>92.989000000000004</c:v>
                </c:pt>
                <c:pt idx="181">
                  <c:v>93.611999999999995</c:v>
                </c:pt>
                <c:pt idx="182">
                  <c:v>102.745</c:v>
                </c:pt>
                <c:pt idx="183">
                  <c:v>106.655</c:v>
                </c:pt>
                <c:pt idx="184">
                  <c:v>73.549000000000007</c:v>
                </c:pt>
                <c:pt idx="185">
                  <c:v>110.001</c:v>
                </c:pt>
                <c:pt idx="186">
                  <c:v>91.025000000000006</c:v>
                </c:pt>
                <c:pt idx="187">
                  <c:v>79.126000000000005</c:v>
                </c:pt>
                <c:pt idx="188">
                  <c:v>94.817999999999998</c:v>
                </c:pt>
                <c:pt idx="189">
                  <c:v>99.534999999999997</c:v>
                </c:pt>
                <c:pt idx="190">
                  <c:v>88.111000000000004</c:v>
                </c:pt>
                <c:pt idx="191">
                  <c:v>81.260000000000005</c:v>
                </c:pt>
                <c:pt idx="192">
                  <c:v>82.799000000000007</c:v>
                </c:pt>
                <c:pt idx="193">
                  <c:v>98.331000000000003</c:v>
                </c:pt>
                <c:pt idx="194">
                  <c:v>97.707999999999998</c:v>
                </c:pt>
                <c:pt idx="195">
                  <c:v>92.975999999999999</c:v>
                </c:pt>
                <c:pt idx="196">
                  <c:v>90.394000000000005</c:v>
                </c:pt>
                <c:pt idx="197">
                  <c:v>94.099000000000004</c:v>
                </c:pt>
                <c:pt idx="198">
                  <c:v>87.1</c:v>
                </c:pt>
                <c:pt idx="199">
                  <c:v>76.867999999999995</c:v>
                </c:pt>
                <c:pt idx="200">
                  <c:v>99.099000000000004</c:v>
                </c:pt>
                <c:pt idx="201">
                  <c:v>93.418000000000006</c:v>
                </c:pt>
                <c:pt idx="202">
                  <c:v>90.366</c:v>
                </c:pt>
                <c:pt idx="203">
                  <c:v>92.885000000000005</c:v>
                </c:pt>
                <c:pt idx="204">
                  <c:v>96.843000000000004</c:v>
                </c:pt>
                <c:pt idx="205">
                  <c:v>85.506</c:v>
                </c:pt>
                <c:pt idx="206">
                  <c:v>87.513999999999996</c:v>
                </c:pt>
                <c:pt idx="207">
                  <c:v>87.435000000000002</c:v>
                </c:pt>
                <c:pt idx="208">
                  <c:v>89.539000000000001</c:v>
                </c:pt>
                <c:pt idx="209">
                  <c:v>93.795000000000002</c:v>
                </c:pt>
                <c:pt idx="210">
                  <c:v>88.299000000000007</c:v>
                </c:pt>
                <c:pt idx="211">
                  <c:v>87.269000000000005</c:v>
                </c:pt>
                <c:pt idx="212">
                  <c:v>84.534000000000006</c:v>
                </c:pt>
                <c:pt idx="213">
                  <c:v>89.489000000000004</c:v>
                </c:pt>
                <c:pt idx="214">
                  <c:v>82.894000000000005</c:v>
                </c:pt>
                <c:pt idx="215">
                  <c:v>78.228999999999999</c:v>
                </c:pt>
                <c:pt idx="216">
                  <c:v>78.066999999999993</c:v>
                </c:pt>
                <c:pt idx="217">
                  <c:v>80.992999999999995</c:v>
                </c:pt>
                <c:pt idx="218">
                  <c:v>78.093000000000004</c:v>
                </c:pt>
                <c:pt idx="219">
                  <c:v>78.388000000000005</c:v>
                </c:pt>
                <c:pt idx="220">
                  <c:v>73.376999999999995</c:v>
                </c:pt>
                <c:pt idx="221">
                  <c:v>68.222999999999999</c:v>
                </c:pt>
                <c:pt idx="222">
                  <c:v>69.869</c:v>
                </c:pt>
                <c:pt idx="223">
                  <c:v>68.756</c:v>
                </c:pt>
                <c:pt idx="224">
                  <c:v>66.742000000000004</c:v>
                </c:pt>
                <c:pt idx="225">
                  <c:v>79.284999999999997</c:v>
                </c:pt>
                <c:pt idx="226">
                  <c:v>81.37</c:v>
                </c:pt>
                <c:pt idx="227">
                  <c:v>72.799000000000007</c:v>
                </c:pt>
                <c:pt idx="228">
                  <c:v>82.733000000000004</c:v>
                </c:pt>
                <c:pt idx="229">
                  <c:v>72.326999999999998</c:v>
                </c:pt>
                <c:pt idx="230">
                  <c:v>86.156000000000006</c:v>
                </c:pt>
                <c:pt idx="231">
                  <c:v>77.998000000000005</c:v>
                </c:pt>
                <c:pt idx="232">
                  <c:v>78.513999999999996</c:v>
                </c:pt>
                <c:pt idx="233">
                  <c:v>71.555000000000007</c:v>
                </c:pt>
                <c:pt idx="234">
                  <c:v>90.153999999999996</c:v>
                </c:pt>
                <c:pt idx="235">
                  <c:v>75.088999999999999</c:v>
                </c:pt>
                <c:pt idx="236">
                  <c:v>86.92</c:v>
                </c:pt>
                <c:pt idx="237">
                  <c:v>80.97</c:v>
                </c:pt>
                <c:pt idx="238">
                  <c:v>82.921999999999997</c:v>
                </c:pt>
                <c:pt idx="239">
                  <c:v>89.256</c:v>
                </c:pt>
                <c:pt idx="240">
                  <c:v>93.519000000000005</c:v>
                </c:pt>
                <c:pt idx="241">
                  <c:v>90.491</c:v>
                </c:pt>
                <c:pt idx="242">
                  <c:v>84.942999999999998</c:v>
                </c:pt>
                <c:pt idx="243">
                  <c:v>83.64</c:v>
                </c:pt>
                <c:pt idx="244">
                  <c:v>88.32</c:v>
                </c:pt>
                <c:pt idx="245">
                  <c:v>88.495999999999995</c:v>
                </c:pt>
                <c:pt idx="246">
                  <c:v>84.802999999999997</c:v>
                </c:pt>
                <c:pt idx="247">
                  <c:v>82.795000000000002</c:v>
                </c:pt>
                <c:pt idx="248">
                  <c:v>81.168000000000006</c:v>
                </c:pt>
                <c:pt idx="249">
                  <c:v>86.42</c:v>
                </c:pt>
                <c:pt idx="250">
                  <c:v>88.218000000000004</c:v>
                </c:pt>
                <c:pt idx="251">
                  <c:v>84.852000000000004</c:v>
                </c:pt>
                <c:pt idx="252">
                  <c:v>76.751000000000005</c:v>
                </c:pt>
                <c:pt idx="253">
                  <c:v>82.561999999999998</c:v>
                </c:pt>
                <c:pt idx="254">
                  <c:v>72.741</c:v>
                </c:pt>
                <c:pt idx="255">
                  <c:v>97.488</c:v>
                </c:pt>
                <c:pt idx="256">
                  <c:v>71.638999999999996</c:v>
                </c:pt>
                <c:pt idx="257">
                  <c:v>86.364999999999995</c:v>
                </c:pt>
                <c:pt idx="258">
                  <c:v>81.231999999999999</c:v>
                </c:pt>
                <c:pt idx="259">
                  <c:v>78.634</c:v>
                </c:pt>
                <c:pt idx="260">
                  <c:v>86.119</c:v>
                </c:pt>
                <c:pt idx="261">
                  <c:v>79.396000000000001</c:v>
                </c:pt>
                <c:pt idx="262">
                  <c:v>82.113</c:v>
                </c:pt>
                <c:pt idx="263">
                  <c:v>87.400999999999996</c:v>
                </c:pt>
                <c:pt idx="264">
                  <c:v>92.533000000000001</c:v>
                </c:pt>
                <c:pt idx="265">
                  <c:v>92.195999999999998</c:v>
                </c:pt>
                <c:pt idx="266">
                  <c:v>83.807000000000002</c:v>
                </c:pt>
                <c:pt idx="267">
                  <c:v>80.700999999999993</c:v>
                </c:pt>
                <c:pt idx="268">
                  <c:v>83.528999999999996</c:v>
                </c:pt>
                <c:pt idx="269">
                  <c:v>89.17</c:v>
                </c:pt>
                <c:pt idx="270">
                  <c:v>83.710999999999999</c:v>
                </c:pt>
                <c:pt idx="271">
                  <c:v>80.924000000000007</c:v>
                </c:pt>
                <c:pt idx="272">
                  <c:v>80.399000000000001</c:v>
                </c:pt>
                <c:pt idx="273">
                  <c:v>78.643000000000001</c:v>
                </c:pt>
                <c:pt idx="274">
                  <c:v>65.238</c:v>
                </c:pt>
                <c:pt idx="275">
                  <c:v>85.161000000000001</c:v>
                </c:pt>
                <c:pt idx="276">
                  <c:v>81.942999999999998</c:v>
                </c:pt>
                <c:pt idx="277">
                  <c:v>87.364000000000004</c:v>
                </c:pt>
                <c:pt idx="278">
                  <c:v>89.262</c:v>
                </c:pt>
                <c:pt idx="279">
                  <c:v>85.236000000000004</c:v>
                </c:pt>
                <c:pt idx="280">
                  <c:v>91.290999999999997</c:v>
                </c:pt>
                <c:pt idx="281">
                  <c:v>71.471000000000004</c:v>
                </c:pt>
                <c:pt idx="282">
                  <c:v>80.728999999999999</c:v>
                </c:pt>
                <c:pt idx="283">
                  <c:v>92.574999999999989</c:v>
                </c:pt>
                <c:pt idx="284">
                  <c:v>77.436999999999998</c:v>
                </c:pt>
                <c:pt idx="285">
                  <c:v>78.789999999999992</c:v>
                </c:pt>
                <c:pt idx="286">
                  <c:v>92.843000000000004</c:v>
                </c:pt>
                <c:pt idx="287">
                  <c:v>76.182000000000002</c:v>
                </c:pt>
                <c:pt idx="288">
                  <c:v>84.709000000000003</c:v>
                </c:pt>
                <c:pt idx="289">
                  <c:v>76.224999999999994</c:v>
                </c:pt>
                <c:pt idx="290">
                  <c:v>91.733000000000004</c:v>
                </c:pt>
                <c:pt idx="291">
                  <c:v>81.873999999999995</c:v>
                </c:pt>
                <c:pt idx="292">
                  <c:v>91.108000000000004</c:v>
                </c:pt>
                <c:pt idx="293">
                  <c:v>72.173000000000002</c:v>
                </c:pt>
                <c:pt idx="294">
                  <c:v>72.856999999999999</c:v>
                </c:pt>
                <c:pt idx="295">
                  <c:v>77.879000000000005</c:v>
                </c:pt>
                <c:pt idx="296">
                  <c:v>86.665999999999997</c:v>
                </c:pt>
                <c:pt idx="297">
                  <c:v>81.951999999999998</c:v>
                </c:pt>
                <c:pt idx="298">
                  <c:v>92.733000000000004</c:v>
                </c:pt>
                <c:pt idx="299">
                  <c:v>83.182000000000002</c:v>
                </c:pt>
                <c:pt idx="300">
                  <c:v>84.623999999999995</c:v>
                </c:pt>
                <c:pt idx="301">
                  <c:v>86.853000000000009</c:v>
                </c:pt>
                <c:pt idx="302">
                  <c:v>93.936000000000007</c:v>
                </c:pt>
                <c:pt idx="303">
                  <c:v>88.311999999999998</c:v>
                </c:pt>
                <c:pt idx="304">
                  <c:v>76.406000000000006</c:v>
                </c:pt>
                <c:pt idx="305">
                  <c:v>81.998000000000005</c:v>
                </c:pt>
                <c:pt idx="306">
                  <c:v>85.775999999999996</c:v>
                </c:pt>
                <c:pt idx="307">
                  <c:v>93.584999999999994</c:v>
                </c:pt>
                <c:pt idx="308">
                  <c:v>76.426000000000002</c:v>
                </c:pt>
                <c:pt idx="309">
                  <c:v>81.028000000000006</c:v>
                </c:pt>
                <c:pt idx="310">
                  <c:v>77.644999999999996</c:v>
                </c:pt>
                <c:pt idx="311">
                  <c:v>68.521000000000001</c:v>
                </c:pt>
                <c:pt idx="312">
                  <c:v>72.876000000000005</c:v>
                </c:pt>
                <c:pt idx="313">
                  <c:v>68.709999999999994</c:v>
                </c:pt>
                <c:pt idx="314">
                  <c:v>77.364999999999995</c:v>
                </c:pt>
                <c:pt idx="315">
                  <c:v>77.158000000000001</c:v>
                </c:pt>
                <c:pt idx="316">
                  <c:v>80.989000000000004</c:v>
                </c:pt>
                <c:pt idx="317">
                  <c:v>72.343000000000004</c:v>
                </c:pt>
                <c:pt idx="318">
                  <c:v>77.650999999999996</c:v>
                </c:pt>
                <c:pt idx="319">
                  <c:v>79.283000000000001</c:v>
                </c:pt>
                <c:pt idx="320">
                  <c:v>71.936999999999998</c:v>
                </c:pt>
                <c:pt idx="321">
                  <c:v>81.75</c:v>
                </c:pt>
                <c:pt idx="322">
                  <c:v>87.41</c:v>
                </c:pt>
                <c:pt idx="323">
                  <c:v>73.757000000000005</c:v>
                </c:pt>
                <c:pt idx="324">
                  <c:v>79.501000000000005</c:v>
                </c:pt>
                <c:pt idx="325">
                  <c:v>93.143999999999991</c:v>
                </c:pt>
                <c:pt idx="326">
                  <c:v>82.08</c:v>
                </c:pt>
                <c:pt idx="327">
                  <c:v>93.25</c:v>
                </c:pt>
                <c:pt idx="328">
                  <c:v>91.038000000000011</c:v>
                </c:pt>
                <c:pt idx="329">
                  <c:v>77.318999999999988</c:v>
                </c:pt>
                <c:pt idx="330">
                  <c:v>84.836999999999989</c:v>
                </c:pt>
                <c:pt idx="331">
                  <c:v>84.175000000000011</c:v>
                </c:pt>
                <c:pt idx="332">
                  <c:v>82.918000000000006</c:v>
                </c:pt>
                <c:pt idx="333">
                  <c:v>87.47999999999999</c:v>
                </c:pt>
                <c:pt idx="334">
                  <c:v>64.961999999999989</c:v>
                </c:pt>
                <c:pt idx="335">
                  <c:v>76.161000000000001</c:v>
                </c:pt>
                <c:pt idx="336">
                  <c:v>88.688000000000002</c:v>
                </c:pt>
                <c:pt idx="337">
                  <c:v>88.36699999999999</c:v>
                </c:pt>
                <c:pt idx="338">
                  <c:v>80.10499999999999</c:v>
                </c:pt>
                <c:pt idx="339">
                  <c:v>89.646000000000001</c:v>
                </c:pt>
                <c:pt idx="340">
                  <c:v>86.141999999999996</c:v>
                </c:pt>
                <c:pt idx="341">
                  <c:v>77.046999999999997</c:v>
                </c:pt>
                <c:pt idx="342">
                  <c:v>86.171999999999997</c:v>
                </c:pt>
                <c:pt idx="343">
                  <c:v>93.616</c:v>
                </c:pt>
                <c:pt idx="344">
                  <c:v>65.013999999999996</c:v>
                </c:pt>
                <c:pt idx="345">
                  <c:v>88.543999999999997</c:v>
                </c:pt>
                <c:pt idx="346">
                  <c:v>83.192999999999998</c:v>
                </c:pt>
                <c:pt idx="347">
                  <c:v>84.046999999999997</c:v>
                </c:pt>
                <c:pt idx="348">
                  <c:v>83.816000000000003</c:v>
                </c:pt>
                <c:pt idx="349">
                  <c:v>79.819999999999993</c:v>
                </c:pt>
                <c:pt idx="350">
                  <c:v>88.298000000000002</c:v>
                </c:pt>
                <c:pt idx="351">
                  <c:v>90.914999999999992</c:v>
                </c:pt>
                <c:pt idx="352">
                  <c:v>79.991</c:v>
                </c:pt>
                <c:pt idx="353">
                  <c:v>92.054000000000002</c:v>
                </c:pt>
                <c:pt idx="354">
                  <c:v>82.138999999999996</c:v>
                </c:pt>
                <c:pt idx="355">
                  <c:v>83.509</c:v>
                </c:pt>
                <c:pt idx="356">
                  <c:v>88.950999999999993</c:v>
                </c:pt>
                <c:pt idx="357">
                  <c:v>80.954999999999998</c:v>
                </c:pt>
                <c:pt idx="358">
                  <c:v>80.97999999999999</c:v>
                </c:pt>
                <c:pt idx="359">
                  <c:v>76.134</c:v>
                </c:pt>
                <c:pt idx="360">
                  <c:v>79.576999999999998</c:v>
                </c:pt>
                <c:pt idx="361">
                  <c:v>73.828999999999994</c:v>
                </c:pt>
                <c:pt idx="362">
                  <c:v>81.903999999999996</c:v>
                </c:pt>
                <c:pt idx="363">
                  <c:v>75.147000000000006</c:v>
                </c:pt>
                <c:pt idx="364">
                  <c:v>72.093000000000004</c:v>
                </c:pt>
              </c:numCache>
            </c:numRef>
          </c:val>
          <c:smooth val="0"/>
          <c:extLst>
            <c:ext xmlns:c16="http://schemas.microsoft.com/office/drawing/2014/chart" uri="{C3380CC4-5D6E-409C-BE32-E72D297353CC}">
              <c16:uniqueId val="{00000002-E2BE-4CE9-B150-8CCA0F9981EA}"/>
            </c:ext>
          </c:extLst>
        </c:ser>
        <c:ser>
          <c:idx val="3"/>
          <c:order val="3"/>
          <c:tx>
            <c:v>Nameplate capacity (TJ/day)</c:v>
          </c:tx>
          <c:spPr>
            <a:ln w="76200">
              <a:solidFill>
                <a:schemeClr val="accent6">
                  <a:lumMod val="50000"/>
                </a:schemeClr>
              </a:solidFill>
            </a:ln>
          </c:spPr>
          <c:marker>
            <c:symbol val="none"/>
          </c:marker>
          <c:dPt>
            <c:idx val="365"/>
            <c:bubble3D val="0"/>
            <c:spPr>
              <a:ln w="76200">
                <a:noFill/>
              </a:ln>
            </c:spPr>
            <c:extLst>
              <c:ext xmlns:c16="http://schemas.microsoft.com/office/drawing/2014/chart" uri="{C3380CC4-5D6E-409C-BE32-E72D297353CC}">
                <c16:uniqueId val="{00000004-E2BE-4CE9-B150-8CCA0F9981EA}"/>
              </c:ext>
            </c:extLst>
          </c:dPt>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demand'!$F$43:$F$408</c:f>
              <c:numCache>
                <c:formatCode>_(* #,##0_);_(* \(#,##0\);_(* "-"_);_(@_)</c:formatCode>
                <c:ptCount val="366"/>
                <c:pt idx="0">
                  <c:v>184</c:v>
                </c:pt>
                <c:pt idx="1">
                  <c:v>184</c:v>
                </c:pt>
                <c:pt idx="2">
                  <c:v>184</c:v>
                </c:pt>
                <c:pt idx="3">
                  <c:v>184</c:v>
                </c:pt>
                <c:pt idx="4">
                  <c:v>184</c:v>
                </c:pt>
                <c:pt idx="5">
                  <c:v>184</c:v>
                </c:pt>
                <c:pt idx="6">
                  <c:v>184</c:v>
                </c:pt>
                <c:pt idx="7">
                  <c:v>184</c:v>
                </c:pt>
                <c:pt idx="8">
                  <c:v>184</c:v>
                </c:pt>
                <c:pt idx="9">
                  <c:v>184</c:v>
                </c:pt>
                <c:pt idx="10">
                  <c:v>184</c:v>
                </c:pt>
                <c:pt idx="11">
                  <c:v>184</c:v>
                </c:pt>
                <c:pt idx="12">
                  <c:v>184</c:v>
                </c:pt>
                <c:pt idx="13">
                  <c:v>184</c:v>
                </c:pt>
                <c:pt idx="14">
                  <c:v>184</c:v>
                </c:pt>
                <c:pt idx="15">
                  <c:v>184</c:v>
                </c:pt>
                <c:pt idx="16">
                  <c:v>184</c:v>
                </c:pt>
                <c:pt idx="17">
                  <c:v>184</c:v>
                </c:pt>
                <c:pt idx="18">
                  <c:v>184</c:v>
                </c:pt>
                <c:pt idx="19">
                  <c:v>184</c:v>
                </c:pt>
                <c:pt idx="20">
                  <c:v>184</c:v>
                </c:pt>
                <c:pt idx="21">
                  <c:v>184</c:v>
                </c:pt>
                <c:pt idx="22">
                  <c:v>184</c:v>
                </c:pt>
                <c:pt idx="23">
                  <c:v>184</c:v>
                </c:pt>
                <c:pt idx="24">
                  <c:v>184</c:v>
                </c:pt>
                <c:pt idx="25">
                  <c:v>184</c:v>
                </c:pt>
                <c:pt idx="26">
                  <c:v>184</c:v>
                </c:pt>
                <c:pt idx="27">
                  <c:v>184</c:v>
                </c:pt>
                <c:pt idx="28">
                  <c:v>184</c:v>
                </c:pt>
                <c:pt idx="29">
                  <c:v>184</c:v>
                </c:pt>
                <c:pt idx="30">
                  <c:v>184</c:v>
                </c:pt>
                <c:pt idx="31">
                  <c:v>184</c:v>
                </c:pt>
                <c:pt idx="32">
                  <c:v>184</c:v>
                </c:pt>
                <c:pt idx="33">
                  <c:v>184</c:v>
                </c:pt>
                <c:pt idx="34">
                  <c:v>184</c:v>
                </c:pt>
                <c:pt idx="35">
                  <c:v>184</c:v>
                </c:pt>
                <c:pt idx="36">
                  <c:v>184</c:v>
                </c:pt>
                <c:pt idx="37">
                  <c:v>184</c:v>
                </c:pt>
                <c:pt idx="38">
                  <c:v>184</c:v>
                </c:pt>
                <c:pt idx="39">
                  <c:v>184</c:v>
                </c:pt>
                <c:pt idx="40">
                  <c:v>184</c:v>
                </c:pt>
                <c:pt idx="41">
                  <c:v>184</c:v>
                </c:pt>
                <c:pt idx="42">
                  <c:v>184</c:v>
                </c:pt>
                <c:pt idx="43">
                  <c:v>184</c:v>
                </c:pt>
                <c:pt idx="44">
                  <c:v>184</c:v>
                </c:pt>
                <c:pt idx="45">
                  <c:v>184</c:v>
                </c:pt>
                <c:pt idx="46">
                  <c:v>184</c:v>
                </c:pt>
                <c:pt idx="47">
                  <c:v>184</c:v>
                </c:pt>
                <c:pt idx="48">
                  <c:v>184</c:v>
                </c:pt>
                <c:pt idx="49">
                  <c:v>184</c:v>
                </c:pt>
                <c:pt idx="50">
                  <c:v>184</c:v>
                </c:pt>
                <c:pt idx="51">
                  <c:v>184</c:v>
                </c:pt>
                <c:pt idx="52">
                  <c:v>184</c:v>
                </c:pt>
                <c:pt idx="53">
                  <c:v>184</c:v>
                </c:pt>
                <c:pt idx="54">
                  <c:v>184</c:v>
                </c:pt>
                <c:pt idx="55">
                  <c:v>184</c:v>
                </c:pt>
                <c:pt idx="56">
                  <c:v>184</c:v>
                </c:pt>
                <c:pt idx="57">
                  <c:v>184</c:v>
                </c:pt>
                <c:pt idx="58">
                  <c:v>184</c:v>
                </c:pt>
                <c:pt idx="59">
                  <c:v>184</c:v>
                </c:pt>
                <c:pt idx="60">
                  <c:v>184</c:v>
                </c:pt>
                <c:pt idx="61">
                  <c:v>184</c:v>
                </c:pt>
                <c:pt idx="62">
                  <c:v>184</c:v>
                </c:pt>
                <c:pt idx="63">
                  <c:v>184</c:v>
                </c:pt>
                <c:pt idx="64">
                  <c:v>184</c:v>
                </c:pt>
                <c:pt idx="65">
                  <c:v>184</c:v>
                </c:pt>
                <c:pt idx="66">
                  <c:v>184</c:v>
                </c:pt>
                <c:pt idx="67">
                  <c:v>184</c:v>
                </c:pt>
                <c:pt idx="68">
                  <c:v>184</c:v>
                </c:pt>
                <c:pt idx="69">
                  <c:v>184</c:v>
                </c:pt>
                <c:pt idx="70">
                  <c:v>184</c:v>
                </c:pt>
                <c:pt idx="71">
                  <c:v>184</c:v>
                </c:pt>
                <c:pt idx="72">
                  <c:v>184</c:v>
                </c:pt>
                <c:pt idx="73">
                  <c:v>184</c:v>
                </c:pt>
                <c:pt idx="74">
                  <c:v>184</c:v>
                </c:pt>
                <c:pt idx="75">
                  <c:v>184</c:v>
                </c:pt>
                <c:pt idx="76">
                  <c:v>184</c:v>
                </c:pt>
                <c:pt idx="77">
                  <c:v>184</c:v>
                </c:pt>
                <c:pt idx="78">
                  <c:v>184</c:v>
                </c:pt>
                <c:pt idx="79">
                  <c:v>184</c:v>
                </c:pt>
                <c:pt idx="80">
                  <c:v>184</c:v>
                </c:pt>
                <c:pt idx="81">
                  <c:v>184</c:v>
                </c:pt>
                <c:pt idx="82">
                  <c:v>184</c:v>
                </c:pt>
                <c:pt idx="83">
                  <c:v>184</c:v>
                </c:pt>
                <c:pt idx="84">
                  <c:v>184</c:v>
                </c:pt>
                <c:pt idx="85">
                  <c:v>184</c:v>
                </c:pt>
                <c:pt idx="86">
                  <c:v>184</c:v>
                </c:pt>
                <c:pt idx="87">
                  <c:v>184</c:v>
                </c:pt>
                <c:pt idx="88">
                  <c:v>184</c:v>
                </c:pt>
                <c:pt idx="89">
                  <c:v>184</c:v>
                </c:pt>
                <c:pt idx="90">
                  <c:v>184</c:v>
                </c:pt>
                <c:pt idx="91">
                  <c:v>184</c:v>
                </c:pt>
                <c:pt idx="92">
                  <c:v>184</c:v>
                </c:pt>
                <c:pt idx="93">
                  <c:v>184</c:v>
                </c:pt>
                <c:pt idx="94">
                  <c:v>184</c:v>
                </c:pt>
                <c:pt idx="95">
                  <c:v>184</c:v>
                </c:pt>
                <c:pt idx="96">
                  <c:v>184</c:v>
                </c:pt>
                <c:pt idx="97">
                  <c:v>184</c:v>
                </c:pt>
                <c:pt idx="98">
                  <c:v>184</c:v>
                </c:pt>
                <c:pt idx="99">
                  <c:v>184</c:v>
                </c:pt>
                <c:pt idx="100">
                  <c:v>184</c:v>
                </c:pt>
                <c:pt idx="101">
                  <c:v>184</c:v>
                </c:pt>
                <c:pt idx="102">
                  <c:v>184</c:v>
                </c:pt>
                <c:pt idx="103">
                  <c:v>184</c:v>
                </c:pt>
                <c:pt idx="104">
                  <c:v>184</c:v>
                </c:pt>
                <c:pt idx="105">
                  <c:v>184</c:v>
                </c:pt>
                <c:pt idx="106">
                  <c:v>184</c:v>
                </c:pt>
                <c:pt idx="107">
                  <c:v>184</c:v>
                </c:pt>
                <c:pt idx="108">
                  <c:v>184</c:v>
                </c:pt>
                <c:pt idx="109">
                  <c:v>184</c:v>
                </c:pt>
                <c:pt idx="110">
                  <c:v>184</c:v>
                </c:pt>
                <c:pt idx="111">
                  <c:v>184</c:v>
                </c:pt>
                <c:pt idx="112">
                  <c:v>184</c:v>
                </c:pt>
                <c:pt idx="113">
                  <c:v>184</c:v>
                </c:pt>
                <c:pt idx="114">
                  <c:v>184</c:v>
                </c:pt>
                <c:pt idx="115">
                  <c:v>184</c:v>
                </c:pt>
                <c:pt idx="116">
                  <c:v>184</c:v>
                </c:pt>
                <c:pt idx="117">
                  <c:v>184</c:v>
                </c:pt>
                <c:pt idx="118">
                  <c:v>184</c:v>
                </c:pt>
                <c:pt idx="119">
                  <c:v>184</c:v>
                </c:pt>
                <c:pt idx="120">
                  <c:v>184</c:v>
                </c:pt>
                <c:pt idx="121">
                  <c:v>184</c:v>
                </c:pt>
                <c:pt idx="122">
                  <c:v>184</c:v>
                </c:pt>
                <c:pt idx="123">
                  <c:v>184</c:v>
                </c:pt>
                <c:pt idx="124">
                  <c:v>184</c:v>
                </c:pt>
                <c:pt idx="125">
                  <c:v>184</c:v>
                </c:pt>
                <c:pt idx="126">
                  <c:v>184</c:v>
                </c:pt>
                <c:pt idx="127">
                  <c:v>184</c:v>
                </c:pt>
                <c:pt idx="128">
                  <c:v>184</c:v>
                </c:pt>
                <c:pt idx="129">
                  <c:v>184</c:v>
                </c:pt>
                <c:pt idx="130">
                  <c:v>184</c:v>
                </c:pt>
                <c:pt idx="131">
                  <c:v>184</c:v>
                </c:pt>
                <c:pt idx="132">
                  <c:v>184</c:v>
                </c:pt>
                <c:pt idx="133">
                  <c:v>184</c:v>
                </c:pt>
                <c:pt idx="134">
                  <c:v>184</c:v>
                </c:pt>
                <c:pt idx="135">
                  <c:v>184</c:v>
                </c:pt>
                <c:pt idx="136">
                  <c:v>184</c:v>
                </c:pt>
                <c:pt idx="137">
                  <c:v>184</c:v>
                </c:pt>
                <c:pt idx="138">
                  <c:v>184</c:v>
                </c:pt>
                <c:pt idx="139">
                  <c:v>184</c:v>
                </c:pt>
                <c:pt idx="140">
                  <c:v>184</c:v>
                </c:pt>
                <c:pt idx="141">
                  <c:v>184</c:v>
                </c:pt>
                <c:pt idx="142">
                  <c:v>184</c:v>
                </c:pt>
                <c:pt idx="143">
                  <c:v>184</c:v>
                </c:pt>
                <c:pt idx="144">
                  <c:v>184</c:v>
                </c:pt>
                <c:pt idx="145">
                  <c:v>184</c:v>
                </c:pt>
                <c:pt idx="146">
                  <c:v>184</c:v>
                </c:pt>
                <c:pt idx="147">
                  <c:v>184</c:v>
                </c:pt>
                <c:pt idx="148">
                  <c:v>184</c:v>
                </c:pt>
                <c:pt idx="149">
                  <c:v>184</c:v>
                </c:pt>
                <c:pt idx="150">
                  <c:v>184</c:v>
                </c:pt>
                <c:pt idx="151">
                  <c:v>184</c:v>
                </c:pt>
                <c:pt idx="152">
                  <c:v>184</c:v>
                </c:pt>
                <c:pt idx="153">
                  <c:v>184</c:v>
                </c:pt>
                <c:pt idx="154">
                  <c:v>184</c:v>
                </c:pt>
                <c:pt idx="155">
                  <c:v>184</c:v>
                </c:pt>
                <c:pt idx="156">
                  <c:v>184</c:v>
                </c:pt>
                <c:pt idx="157">
                  <c:v>184</c:v>
                </c:pt>
                <c:pt idx="158">
                  <c:v>184</c:v>
                </c:pt>
                <c:pt idx="159">
                  <c:v>184</c:v>
                </c:pt>
                <c:pt idx="160">
                  <c:v>184</c:v>
                </c:pt>
                <c:pt idx="161">
                  <c:v>184</c:v>
                </c:pt>
                <c:pt idx="162">
                  <c:v>184</c:v>
                </c:pt>
                <c:pt idx="163">
                  <c:v>184</c:v>
                </c:pt>
                <c:pt idx="164">
                  <c:v>184</c:v>
                </c:pt>
                <c:pt idx="165">
                  <c:v>184</c:v>
                </c:pt>
                <c:pt idx="166">
                  <c:v>184</c:v>
                </c:pt>
                <c:pt idx="167">
                  <c:v>184</c:v>
                </c:pt>
                <c:pt idx="168">
                  <c:v>184</c:v>
                </c:pt>
                <c:pt idx="169">
                  <c:v>184</c:v>
                </c:pt>
                <c:pt idx="170">
                  <c:v>184</c:v>
                </c:pt>
                <c:pt idx="171">
                  <c:v>184</c:v>
                </c:pt>
                <c:pt idx="172">
                  <c:v>184</c:v>
                </c:pt>
                <c:pt idx="173">
                  <c:v>184</c:v>
                </c:pt>
                <c:pt idx="174">
                  <c:v>184</c:v>
                </c:pt>
                <c:pt idx="175">
                  <c:v>184</c:v>
                </c:pt>
                <c:pt idx="176">
                  <c:v>184</c:v>
                </c:pt>
                <c:pt idx="177">
                  <c:v>184</c:v>
                </c:pt>
                <c:pt idx="178">
                  <c:v>184</c:v>
                </c:pt>
                <c:pt idx="179">
                  <c:v>184</c:v>
                </c:pt>
                <c:pt idx="180">
                  <c:v>184</c:v>
                </c:pt>
                <c:pt idx="181">
                  <c:v>184</c:v>
                </c:pt>
                <c:pt idx="182">
                  <c:v>184</c:v>
                </c:pt>
                <c:pt idx="183">
                  <c:v>184</c:v>
                </c:pt>
                <c:pt idx="184">
                  <c:v>184</c:v>
                </c:pt>
                <c:pt idx="185">
                  <c:v>184</c:v>
                </c:pt>
                <c:pt idx="186">
                  <c:v>184</c:v>
                </c:pt>
                <c:pt idx="187">
                  <c:v>184</c:v>
                </c:pt>
                <c:pt idx="188">
                  <c:v>184</c:v>
                </c:pt>
                <c:pt idx="189">
                  <c:v>184</c:v>
                </c:pt>
                <c:pt idx="190">
                  <c:v>184</c:v>
                </c:pt>
                <c:pt idx="191">
                  <c:v>184</c:v>
                </c:pt>
                <c:pt idx="192">
                  <c:v>184</c:v>
                </c:pt>
                <c:pt idx="193">
                  <c:v>184</c:v>
                </c:pt>
                <c:pt idx="194">
                  <c:v>184</c:v>
                </c:pt>
                <c:pt idx="195">
                  <c:v>184</c:v>
                </c:pt>
                <c:pt idx="196">
                  <c:v>184</c:v>
                </c:pt>
                <c:pt idx="197">
                  <c:v>184</c:v>
                </c:pt>
                <c:pt idx="198">
                  <c:v>184</c:v>
                </c:pt>
                <c:pt idx="199">
                  <c:v>184</c:v>
                </c:pt>
                <c:pt idx="200">
                  <c:v>184</c:v>
                </c:pt>
                <c:pt idx="201">
                  <c:v>184</c:v>
                </c:pt>
                <c:pt idx="202">
                  <c:v>184</c:v>
                </c:pt>
                <c:pt idx="203">
                  <c:v>184</c:v>
                </c:pt>
                <c:pt idx="204">
                  <c:v>184</c:v>
                </c:pt>
                <c:pt idx="205">
                  <c:v>184</c:v>
                </c:pt>
                <c:pt idx="206">
                  <c:v>184</c:v>
                </c:pt>
                <c:pt idx="207">
                  <c:v>184</c:v>
                </c:pt>
                <c:pt idx="208">
                  <c:v>184</c:v>
                </c:pt>
                <c:pt idx="209">
                  <c:v>184</c:v>
                </c:pt>
                <c:pt idx="210">
                  <c:v>184</c:v>
                </c:pt>
                <c:pt idx="211">
                  <c:v>184</c:v>
                </c:pt>
                <c:pt idx="212">
                  <c:v>184</c:v>
                </c:pt>
                <c:pt idx="213">
                  <c:v>184</c:v>
                </c:pt>
                <c:pt idx="214">
                  <c:v>184</c:v>
                </c:pt>
                <c:pt idx="215">
                  <c:v>184</c:v>
                </c:pt>
                <c:pt idx="216">
                  <c:v>184</c:v>
                </c:pt>
                <c:pt idx="217">
                  <c:v>184</c:v>
                </c:pt>
                <c:pt idx="218">
                  <c:v>184</c:v>
                </c:pt>
                <c:pt idx="219">
                  <c:v>184</c:v>
                </c:pt>
                <c:pt idx="220">
                  <c:v>184</c:v>
                </c:pt>
                <c:pt idx="221">
                  <c:v>184</c:v>
                </c:pt>
                <c:pt idx="222">
                  <c:v>184</c:v>
                </c:pt>
                <c:pt idx="223">
                  <c:v>184</c:v>
                </c:pt>
                <c:pt idx="224">
                  <c:v>184</c:v>
                </c:pt>
                <c:pt idx="225">
                  <c:v>184</c:v>
                </c:pt>
                <c:pt idx="226">
                  <c:v>184</c:v>
                </c:pt>
                <c:pt idx="227">
                  <c:v>184</c:v>
                </c:pt>
                <c:pt idx="228">
                  <c:v>184</c:v>
                </c:pt>
                <c:pt idx="229">
                  <c:v>184</c:v>
                </c:pt>
                <c:pt idx="230">
                  <c:v>184</c:v>
                </c:pt>
                <c:pt idx="231">
                  <c:v>184</c:v>
                </c:pt>
                <c:pt idx="232">
                  <c:v>184</c:v>
                </c:pt>
                <c:pt idx="233">
                  <c:v>184</c:v>
                </c:pt>
                <c:pt idx="234">
                  <c:v>184</c:v>
                </c:pt>
                <c:pt idx="235">
                  <c:v>184</c:v>
                </c:pt>
                <c:pt idx="236">
                  <c:v>184</c:v>
                </c:pt>
                <c:pt idx="237">
                  <c:v>184</c:v>
                </c:pt>
                <c:pt idx="238">
                  <c:v>184</c:v>
                </c:pt>
                <c:pt idx="239">
                  <c:v>184</c:v>
                </c:pt>
                <c:pt idx="240">
                  <c:v>184</c:v>
                </c:pt>
                <c:pt idx="241">
                  <c:v>184</c:v>
                </c:pt>
                <c:pt idx="242">
                  <c:v>184</c:v>
                </c:pt>
                <c:pt idx="243">
                  <c:v>184</c:v>
                </c:pt>
                <c:pt idx="244">
                  <c:v>184</c:v>
                </c:pt>
                <c:pt idx="245">
                  <c:v>184</c:v>
                </c:pt>
                <c:pt idx="246">
                  <c:v>184</c:v>
                </c:pt>
                <c:pt idx="247">
                  <c:v>184</c:v>
                </c:pt>
                <c:pt idx="248">
                  <c:v>184</c:v>
                </c:pt>
                <c:pt idx="249">
                  <c:v>184</c:v>
                </c:pt>
                <c:pt idx="250">
                  <c:v>184</c:v>
                </c:pt>
                <c:pt idx="251">
                  <c:v>184</c:v>
                </c:pt>
                <c:pt idx="252">
                  <c:v>184</c:v>
                </c:pt>
                <c:pt idx="253">
                  <c:v>184</c:v>
                </c:pt>
                <c:pt idx="254">
                  <c:v>184</c:v>
                </c:pt>
                <c:pt idx="255">
                  <c:v>184</c:v>
                </c:pt>
                <c:pt idx="256">
                  <c:v>184</c:v>
                </c:pt>
                <c:pt idx="257">
                  <c:v>184</c:v>
                </c:pt>
                <c:pt idx="258">
                  <c:v>184</c:v>
                </c:pt>
                <c:pt idx="259">
                  <c:v>184</c:v>
                </c:pt>
                <c:pt idx="260">
                  <c:v>184</c:v>
                </c:pt>
                <c:pt idx="261">
                  <c:v>184</c:v>
                </c:pt>
                <c:pt idx="262">
                  <c:v>184</c:v>
                </c:pt>
                <c:pt idx="263">
                  <c:v>184</c:v>
                </c:pt>
                <c:pt idx="264">
                  <c:v>184</c:v>
                </c:pt>
                <c:pt idx="265">
                  <c:v>184</c:v>
                </c:pt>
                <c:pt idx="266">
                  <c:v>184</c:v>
                </c:pt>
                <c:pt idx="267">
                  <c:v>184</c:v>
                </c:pt>
                <c:pt idx="268">
                  <c:v>184</c:v>
                </c:pt>
                <c:pt idx="269">
                  <c:v>184</c:v>
                </c:pt>
                <c:pt idx="270">
                  <c:v>184</c:v>
                </c:pt>
                <c:pt idx="271">
                  <c:v>184</c:v>
                </c:pt>
                <c:pt idx="272">
                  <c:v>184</c:v>
                </c:pt>
                <c:pt idx="273">
                  <c:v>184</c:v>
                </c:pt>
                <c:pt idx="274">
                  <c:v>184</c:v>
                </c:pt>
                <c:pt idx="275">
                  <c:v>184</c:v>
                </c:pt>
                <c:pt idx="276">
                  <c:v>184</c:v>
                </c:pt>
                <c:pt idx="277">
                  <c:v>184</c:v>
                </c:pt>
                <c:pt idx="278">
                  <c:v>184</c:v>
                </c:pt>
                <c:pt idx="279">
                  <c:v>184</c:v>
                </c:pt>
                <c:pt idx="280">
                  <c:v>184</c:v>
                </c:pt>
                <c:pt idx="281">
                  <c:v>184</c:v>
                </c:pt>
                <c:pt idx="282">
                  <c:v>184</c:v>
                </c:pt>
                <c:pt idx="283">
                  <c:v>184</c:v>
                </c:pt>
                <c:pt idx="284">
                  <c:v>184</c:v>
                </c:pt>
                <c:pt idx="285">
                  <c:v>184</c:v>
                </c:pt>
                <c:pt idx="286">
                  <c:v>184</c:v>
                </c:pt>
                <c:pt idx="287">
                  <c:v>184</c:v>
                </c:pt>
                <c:pt idx="288">
                  <c:v>184</c:v>
                </c:pt>
                <c:pt idx="289">
                  <c:v>184</c:v>
                </c:pt>
                <c:pt idx="290">
                  <c:v>184</c:v>
                </c:pt>
                <c:pt idx="291">
                  <c:v>184</c:v>
                </c:pt>
                <c:pt idx="292">
                  <c:v>184</c:v>
                </c:pt>
                <c:pt idx="293">
                  <c:v>184</c:v>
                </c:pt>
                <c:pt idx="294">
                  <c:v>184</c:v>
                </c:pt>
                <c:pt idx="295">
                  <c:v>184</c:v>
                </c:pt>
                <c:pt idx="296">
                  <c:v>184</c:v>
                </c:pt>
                <c:pt idx="297">
                  <c:v>184</c:v>
                </c:pt>
                <c:pt idx="298">
                  <c:v>184</c:v>
                </c:pt>
                <c:pt idx="299">
                  <c:v>184</c:v>
                </c:pt>
                <c:pt idx="300">
                  <c:v>184</c:v>
                </c:pt>
                <c:pt idx="301">
                  <c:v>184</c:v>
                </c:pt>
                <c:pt idx="302">
                  <c:v>184</c:v>
                </c:pt>
                <c:pt idx="303">
                  <c:v>184</c:v>
                </c:pt>
                <c:pt idx="304">
                  <c:v>184</c:v>
                </c:pt>
                <c:pt idx="305">
                  <c:v>184</c:v>
                </c:pt>
                <c:pt idx="306">
                  <c:v>184</c:v>
                </c:pt>
                <c:pt idx="307">
                  <c:v>184</c:v>
                </c:pt>
                <c:pt idx="308">
                  <c:v>184</c:v>
                </c:pt>
                <c:pt idx="309">
                  <c:v>184</c:v>
                </c:pt>
                <c:pt idx="310">
                  <c:v>184</c:v>
                </c:pt>
                <c:pt idx="311">
                  <c:v>184</c:v>
                </c:pt>
                <c:pt idx="312">
                  <c:v>184</c:v>
                </c:pt>
                <c:pt idx="313">
                  <c:v>184</c:v>
                </c:pt>
                <c:pt idx="314">
                  <c:v>184</c:v>
                </c:pt>
                <c:pt idx="315">
                  <c:v>184</c:v>
                </c:pt>
                <c:pt idx="316">
                  <c:v>184</c:v>
                </c:pt>
                <c:pt idx="317">
                  <c:v>184</c:v>
                </c:pt>
                <c:pt idx="318">
                  <c:v>184</c:v>
                </c:pt>
                <c:pt idx="319">
                  <c:v>184</c:v>
                </c:pt>
                <c:pt idx="320">
                  <c:v>184</c:v>
                </c:pt>
                <c:pt idx="321">
                  <c:v>184</c:v>
                </c:pt>
                <c:pt idx="322">
                  <c:v>184</c:v>
                </c:pt>
                <c:pt idx="323">
                  <c:v>184</c:v>
                </c:pt>
                <c:pt idx="324">
                  <c:v>184</c:v>
                </c:pt>
                <c:pt idx="325">
                  <c:v>184</c:v>
                </c:pt>
                <c:pt idx="326">
                  <c:v>184</c:v>
                </c:pt>
                <c:pt idx="327">
                  <c:v>184</c:v>
                </c:pt>
                <c:pt idx="328">
                  <c:v>184</c:v>
                </c:pt>
                <c:pt idx="329">
                  <c:v>184</c:v>
                </c:pt>
                <c:pt idx="330">
                  <c:v>184</c:v>
                </c:pt>
                <c:pt idx="331">
                  <c:v>184</c:v>
                </c:pt>
                <c:pt idx="332">
                  <c:v>184</c:v>
                </c:pt>
                <c:pt idx="333">
                  <c:v>184</c:v>
                </c:pt>
                <c:pt idx="334">
                  <c:v>184</c:v>
                </c:pt>
                <c:pt idx="335">
                  <c:v>184</c:v>
                </c:pt>
                <c:pt idx="336">
                  <c:v>184</c:v>
                </c:pt>
                <c:pt idx="337">
                  <c:v>184</c:v>
                </c:pt>
                <c:pt idx="338">
                  <c:v>184</c:v>
                </c:pt>
                <c:pt idx="339">
                  <c:v>184</c:v>
                </c:pt>
                <c:pt idx="340">
                  <c:v>184</c:v>
                </c:pt>
                <c:pt idx="341">
                  <c:v>184</c:v>
                </c:pt>
                <c:pt idx="342">
                  <c:v>184</c:v>
                </c:pt>
                <c:pt idx="343">
                  <c:v>184</c:v>
                </c:pt>
                <c:pt idx="344">
                  <c:v>184</c:v>
                </c:pt>
                <c:pt idx="345">
                  <c:v>184</c:v>
                </c:pt>
                <c:pt idx="346">
                  <c:v>184</c:v>
                </c:pt>
                <c:pt idx="347">
                  <c:v>184</c:v>
                </c:pt>
                <c:pt idx="348">
                  <c:v>184</c:v>
                </c:pt>
                <c:pt idx="349">
                  <c:v>184</c:v>
                </c:pt>
                <c:pt idx="350">
                  <c:v>184</c:v>
                </c:pt>
                <c:pt idx="351">
                  <c:v>184</c:v>
                </c:pt>
                <c:pt idx="352">
                  <c:v>184</c:v>
                </c:pt>
                <c:pt idx="353">
                  <c:v>184</c:v>
                </c:pt>
                <c:pt idx="354">
                  <c:v>184</c:v>
                </c:pt>
                <c:pt idx="355">
                  <c:v>184</c:v>
                </c:pt>
                <c:pt idx="356">
                  <c:v>184</c:v>
                </c:pt>
                <c:pt idx="357">
                  <c:v>184</c:v>
                </c:pt>
                <c:pt idx="358">
                  <c:v>184</c:v>
                </c:pt>
                <c:pt idx="359">
                  <c:v>184</c:v>
                </c:pt>
                <c:pt idx="360">
                  <c:v>184</c:v>
                </c:pt>
                <c:pt idx="361">
                  <c:v>184</c:v>
                </c:pt>
                <c:pt idx="362">
                  <c:v>184</c:v>
                </c:pt>
                <c:pt idx="363">
                  <c:v>184</c:v>
                </c:pt>
                <c:pt idx="364">
                  <c:v>184</c:v>
                </c:pt>
              </c:numCache>
            </c:numRef>
          </c:val>
          <c:smooth val="0"/>
          <c:extLst>
            <c:ext xmlns:c16="http://schemas.microsoft.com/office/drawing/2014/chart" uri="{C3380CC4-5D6E-409C-BE32-E72D297353CC}">
              <c16:uniqueId val="{00000005-E2BE-4CE9-B150-8CCA0F9981EA}"/>
            </c:ext>
          </c:extLst>
        </c:ser>
        <c:dLbls>
          <c:showLegendKey val="0"/>
          <c:showVal val="0"/>
          <c:showCatName val="0"/>
          <c:showSerName val="0"/>
          <c:showPercent val="0"/>
          <c:showBubbleSize val="0"/>
        </c:dLbls>
        <c:marker val="1"/>
        <c:smooth val="0"/>
        <c:axId val="156137487"/>
        <c:axId val="1"/>
      </c:lineChart>
      <c:dateAx>
        <c:axId val="156137487"/>
        <c:scaling>
          <c:orientation val="minMax"/>
        </c:scaling>
        <c:delete val="0"/>
        <c:axPos val="b"/>
        <c:numFmt formatCode="m/d/yyyy" sourceLinked="0"/>
        <c:majorTickMark val="out"/>
        <c:minorTickMark val="none"/>
        <c:tickLblPos val="nextTo"/>
        <c:spPr>
          <a:noFill/>
          <a:ln w="9525" cap="flat" cmpd="sng" algn="ctr">
            <a:solidFill>
              <a:schemeClr val="tx1">
                <a:lumMod val="15000"/>
                <a:lumOff val="85000"/>
              </a:schemeClr>
            </a:solidFill>
            <a:round/>
          </a:ln>
          <a:effectLst/>
        </c:spPr>
        <c:txPr>
          <a:bodyPr rot="-5400000" vert="horz"/>
          <a:lstStyle/>
          <a:p>
            <a:pPr>
              <a:defRPr sz="900" b="0" i="0" u="none" strike="noStrike" baseline="0">
                <a:solidFill>
                  <a:srgbClr val="333333"/>
                </a:solidFill>
                <a:latin typeface="Arial"/>
                <a:ea typeface="Arial"/>
                <a:cs typeface="Arial"/>
              </a:defRPr>
            </a:pPr>
            <a:endParaRPr lang="en-US"/>
          </a:p>
        </c:txPr>
        <c:crossAx val="1"/>
        <c:crosses val="autoZero"/>
        <c:auto val="1"/>
        <c:lblOffset val="100"/>
        <c:baseTimeUnit val="days"/>
        <c:majorUnit val="4"/>
        <c:minorUnit val="1"/>
      </c:dateAx>
      <c:valAx>
        <c:axId val="1"/>
        <c:scaling>
          <c:orientation val="minMax"/>
        </c:scaling>
        <c:delete val="0"/>
        <c:axPos val="l"/>
        <c:majorGridlines>
          <c:spPr>
            <a:ln w="9525" cap="flat" cmpd="sng" algn="ct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round/>
            </a:ln>
            <a:effectLst/>
          </c:spPr>
        </c:majorGridlines>
        <c:numFmt formatCode="_(* #,##0_);_(* \(#,##0\);_(* &quot;-&quot;_);_(@_)" sourceLinked="1"/>
        <c:majorTickMark val="none"/>
        <c:minorTickMark val="none"/>
        <c:tickLblPos val="nextTo"/>
        <c:spPr>
          <a:ln w="9525">
            <a:noFill/>
          </a:ln>
        </c:spPr>
        <c:txPr>
          <a:bodyPr rot="0" vert="horz"/>
          <a:lstStyle/>
          <a:p>
            <a:pPr>
              <a:defRPr sz="1200" b="0" i="0" u="none" strike="noStrike" baseline="0">
                <a:solidFill>
                  <a:srgbClr val="333333"/>
                </a:solidFill>
                <a:latin typeface="Calibri"/>
                <a:ea typeface="Calibri"/>
                <a:cs typeface="Calibri"/>
              </a:defRPr>
            </a:pPr>
            <a:endParaRPr lang="en-US"/>
          </a:p>
        </c:txPr>
        <c:crossAx val="156137487"/>
        <c:crosses val="autoZero"/>
        <c:crossBetween val="between"/>
      </c:valAx>
      <c:spPr>
        <a:noFill/>
        <a:ln w="25400">
          <a:noFill/>
        </a:ln>
      </c:spPr>
    </c:plotArea>
    <c:legend>
      <c:legendPos val="b"/>
      <c:layout>
        <c:manualLayout>
          <c:xMode val="edge"/>
          <c:yMode val="edge"/>
          <c:x val="0.19204986996543205"/>
          <c:y val="0.95796303434098717"/>
          <c:w val="0.60907246804291082"/>
          <c:h val="3.0049006111998233E-2"/>
        </c:manualLayout>
      </c:layout>
      <c:overlay val="0"/>
      <c:spPr>
        <a:noFill/>
        <a:ln w="25400">
          <a:noFill/>
        </a:ln>
      </c:spPr>
      <c:txPr>
        <a:bodyPr/>
        <a:lstStyle/>
        <a:p>
          <a:pPr>
            <a:defRPr sz="925" b="0" i="0" u="none" strike="noStrike" baseline="0">
              <a:solidFill>
                <a:srgbClr val="333333"/>
              </a:solidFill>
              <a:latin typeface="Arial"/>
              <a:ea typeface="Arial"/>
              <a:cs typeface="Aria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Contents!A1"/><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 Id="rId5" Type="http://schemas.openxmlformats.org/officeDocument/2006/relationships/image" Target="../media/image2.png"/><Relationship Id="rId4" Type="http://schemas.openxmlformats.org/officeDocument/2006/relationships/hyperlink" Target="#Contents!A1"/></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7.jpeg"/></Relationships>
</file>

<file path=xl/drawings/_rels/drawing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1</xdr:col>
      <xdr:colOff>273050</xdr:colOff>
      <xdr:row>0</xdr:row>
      <xdr:rowOff>723900</xdr:rowOff>
    </xdr:to>
    <xdr:pic>
      <xdr:nvPicPr>
        <xdr:cNvPr id="2970697" name="Picture 2">
          <a:extLst>
            <a:ext uri="{FF2B5EF4-FFF2-40B4-BE49-F238E27FC236}">
              <a16:creationId xmlns:a16="http://schemas.microsoft.com/office/drawing/2014/main" id="{17161DE6-4C9B-6679-52BD-724D381188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38100"/>
          <a:ext cx="29432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85725</xdr:rowOff>
    </xdr:to>
    <xdr:pic>
      <xdr:nvPicPr>
        <xdr:cNvPr id="1728882" name="Picture 1">
          <a:hlinkClick xmlns:r="http://schemas.openxmlformats.org/officeDocument/2006/relationships" r:id="rId1"/>
          <a:extLst>
            <a:ext uri="{FF2B5EF4-FFF2-40B4-BE49-F238E27FC236}">
              <a16:creationId xmlns:a16="http://schemas.microsoft.com/office/drawing/2014/main" id="{5F3506D4-78F9-30AD-BB97-8F96D7BC614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21</xdr:row>
      <xdr:rowOff>0</xdr:rowOff>
    </xdr:from>
    <xdr:to>
      <xdr:col>6</xdr:col>
      <xdr:colOff>742950</xdr:colOff>
      <xdr:row>91</xdr:row>
      <xdr:rowOff>133350</xdr:rowOff>
    </xdr:to>
    <xdr:graphicFrame macro="">
      <xdr:nvGraphicFramePr>
        <xdr:cNvPr id="2816221" name="Chart 1">
          <a:extLst>
            <a:ext uri="{FF2B5EF4-FFF2-40B4-BE49-F238E27FC236}">
              <a16:creationId xmlns:a16="http://schemas.microsoft.com/office/drawing/2014/main" id="{308F8304-0468-8185-99FB-AE9C1C74B9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0</xdr:col>
      <xdr:colOff>781050</xdr:colOff>
      <xdr:row>3</xdr:row>
      <xdr:rowOff>85725</xdr:rowOff>
    </xdr:to>
    <xdr:pic>
      <xdr:nvPicPr>
        <xdr:cNvPr id="2816222" name="Picture 1">
          <a:hlinkClick xmlns:r="http://schemas.openxmlformats.org/officeDocument/2006/relationships" r:id="rId2"/>
          <a:extLst>
            <a:ext uri="{FF2B5EF4-FFF2-40B4-BE49-F238E27FC236}">
              <a16:creationId xmlns:a16="http://schemas.microsoft.com/office/drawing/2014/main" id="{8B424785-B6E1-5D27-9D18-98950AB942C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7</xdr:row>
      <xdr:rowOff>0</xdr:rowOff>
    </xdr:from>
    <xdr:to>
      <xdr:col>6</xdr:col>
      <xdr:colOff>266700</xdr:colOff>
      <xdr:row>56</xdr:row>
      <xdr:rowOff>133350</xdr:rowOff>
    </xdr:to>
    <xdr:graphicFrame macro="">
      <xdr:nvGraphicFramePr>
        <xdr:cNvPr id="2798024" name="Chart 7">
          <a:extLst>
            <a:ext uri="{FF2B5EF4-FFF2-40B4-BE49-F238E27FC236}">
              <a16:creationId xmlns:a16="http://schemas.microsoft.com/office/drawing/2014/main" id="{61C3555C-D27C-09B5-9FAF-72440AD955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276225</xdr:colOff>
      <xdr:row>7</xdr:row>
      <xdr:rowOff>9525</xdr:rowOff>
    </xdr:from>
    <xdr:to>
      <xdr:col>9</xdr:col>
      <xdr:colOff>4962525</xdr:colOff>
      <xdr:row>56</xdr:row>
      <xdr:rowOff>133350</xdr:rowOff>
    </xdr:to>
    <xdr:graphicFrame macro="">
      <xdr:nvGraphicFramePr>
        <xdr:cNvPr id="2798025" name="Chart 8">
          <a:extLst>
            <a:ext uri="{FF2B5EF4-FFF2-40B4-BE49-F238E27FC236}">
              <a16:creationId xmlns:a16="http://schemas.microsoft.com/office/drawing/2014/main" id="{BD2B2C09-8074-905A-C187-3B5666211A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9525</xdr:colOff>
      <xdr:row>59</xdr:row>
      <xdr:rowOff>57150</xdr:rowOff>
    </xdr:from>
    <xdr:to>
      <xdr:col>9</xdr:col>
      <xdr:colOff>390525</xdr:colOff>
      <xdr:row>108</xdr:row>
      <xdr:rowOff>9525</xdr:rowOff>
    </xdr:to>
    <xdr:graphicFrame macro="">
      <xdr:nvGraphicFramePr>
        <xdr:cNvPr id="2798026" name="Chart 11">
          <a:extLst>
            <a:ext uri="{FF2B5EF4-FFF2-40B4-BE49-F238E27FC236}">
              <a16:creationId xmlns:a16="http://schemas.microsoft.com/office/drawing/2014/main" id="{641F3F6E-6536-6490-78A6-4ECF62D5E9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0</xdr:row>
      <xdr:rowOff>0</xdr:rowOff>
    </xdr:from>
    <xdr:to>
      <xdr:col>0</xdr:col>
      <xdr:colOff>781050</xdr:colOff>
      <xdr:row>3</xdr:row>
      <xdr:rowOff>57150</xdr:rowOff>
    </xdr:to>
    <xdr:pic>
      <xdr:nvPicPr>
        <xdr:cNvPr id="2798027" name="Picture 1">
          <a:hlinkClick xmlns:r="http://schemas.openxmlformats.org/officeDocument/2006/relationships" r:id="rId4"/>
          <a:extLst>
            <a:ext uri="{FF2B5EF4-FFF2-40B4-BE49-F238E27FC236}">
              <a16:creationId xmlns:a16="http://schemas.microsoft.com/office/drawing/2014/main" id="{B2EAA51E-F1A6-B808-20FB-2A68A5B28DEC}"/>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2953762" name="Group 1">
          <a:extLst>
            <a:ext uri="{FF2B5EF4-FFF2-40B4-BE49-F238E27FC236}">
              <a16:creationId xmlns:a16="http://schemas.microsoft.com/office/drawing/2014/main" id="{8BB94F19-5C48-FA47-169F-89D18B7EBA29}"/>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EAC9F4F0-7005-2654-11D5-5E8A63B10664}"/>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953768" name="Picture 3">
            <a:extLst>
              <a:ext uri="{FF2B5EF4-FFF2-40B4-BE49-F238E27FC236}">
                <a16:creationId xmlns:a16="http://schemas.microsoft.com/office/drawing/2014/main" id="{75FF5DCE-509E-2E00-A441-628F12FFA47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2953763" name="Group 7">
          <a:extLst>
            <a:ext uri="{FF2B5EF4-FFF2-40B4-BE49-F238E27FC236}">
              <a16:creationId xmlns:a16="http://schemas.microsoft.com/office/drawing/2014/main" id="{C5596BB0-51D0-E9CE-B99B-8FECEFE171A1}"/>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F0C7782F-5F20-BE4A-9E42-C53049F5DB20}"/>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953766" name="Picture 9">
            <a:extLst>
              <a:ext uri="{FF2B5EF4-FFF2-40B4-BE49-F238E27FC236}">
                <a16:creationId xmlns:a16="http://schemas.microsoft.com/office/drawing/2014/main" id="{0553CB28-D2E4-2F48-AC5C-4A95D930DDA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0</xdr:col>
      <xdr:colOff>781050</xdr:colOff>
      <xdr:row>3</xdr:row>
      <xdr:rowOff>44450</xdr:rowOff>
    </xdr:to>
    <xdr:pic>
      <xdr:nvPicPr>
        <xdr:cNvPr id="2953764" name="Picture 1">
          <a:hlinkClick xmlns:r="http://schemas.openxmlformats.org/officeDocument/2006/relationships" r:id="rId1"/>
          <a:extLst>
            <a:ext uri="{FF2B5EF4-FFF2-40B4-BE49-F238E27FC236}">
              <a16:creationId xmlns:a16="http://schemas.microsoft.com/office/drawing/2014/main" id="{0BBC8137-117D-56B7-0686-FCCFD893AE6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104775</xdr:rowOff>
    </xdr:to>
    <xdr:pic>
      <xdr:nvPicPr>
        <xdr:cNvPr id="1736050" name="Picture 1">
          <a:hlinkClick xmlns:r="http://schemas.openxmlformats.org/officeDocument/2006/relationships" r:id="rId1"/>
          <a:extLst>
            <a:ext uri="{FF2B5EF4-FFF2-40B4-BE49-F238E27FC236}">
              <a16:creationId xmlns:a16="http://schemas.microsoft.com/office/drawing/2014/main" id="{1B1490F4-C08D-44A3-1552-B33FA92DAD1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82550</xdr:rowOff>
    </xdr:to>
    <xdr:pic>
      <xdr:nvPicPr>
        <xdr:cNvPr id="1737074" name="Picture 1">
          <a:hlinkClick xmlns:r="http://schemas.openxmlformats.org/officeDocument/2006/relationships" r:id="rId1"/>
          <a:extLst>
            <a:ext uri="{FF2B5EF4-FFF2-40B4-BE49-F238E27FC236}">
              <a16:creationId xmlns:a16="http://schemas.microsoft.com/office/drawing/2014/main" id="{4A7BFD61-A866-A519-90B3-866957443B9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85725</xdr:rowOff>
    </xdr:to>
    <xdr:pic>
      <xdr:nvPicPr>
        <xdr:cNvPr id="1738104" name="Picture 3">
          <a:hlinkClick xmlns:r="http://schemas.openxmlformats.org/officeDocument/2006/relationships" r:id="rId1"/>
          <a:extLst>
            <a:ext uri="{FF2B5EF4-FFF2-40B4-BE49-F238E27FC236}">
              <a16:creationId xmlns:a16="http://schemas.microsoft.com/office/drawing/2014/main" id="{86643923-7D13-D53E-A6CD-59D013AFE8C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2803144" name="Group 1">
          <a:extLst>
            <a:ext uri="{FF2B5EF4-FFF2-40B4-BE49-F238E27FC236}">
              <a16:creationId xmlns:a16="http://schemas.microsoft.com/office/drawing/2014/main" id="{FD3B95E3-C93F-6944-7DF2-3FCBC16F7469}"/>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4230E749-AD7E-8C17-2711-2B4F8CA3C36E}"/>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803147" name="Picture 3">
            <a:extLst>
              <a:ext uri="{FF2B5EF4-FFF2-40B4-BE49-F238E27FC236}">
                <a16:creationId xmlns:a16="http://schemas.microsoft.com/office/drawing/2014/main" id="{6226AE81-A193-98C5-B355-87B2B16B463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0</xdr:col>
      <xdr:colOff>781050</xdr:colOff>
      <xdr:row>3</xdr:row>
      <xdr:rowOff>82550</xdr:rowOff>
    </xdr:to>
    <xdr:pic>
      <xdr:nvPicPr>
        <xdr:cNvPr id="2803145" name="Picture 1">
          <a:hlinkClick xmlns:r="http://schemas.openxmlformats.org/officeDocument/2006/relationships" r:id="rId1"/>
          <a:extLst>
            <a:ext uri="{FF2B5EF4-FFF2-40B4-BE49-F238E27FC236}">
              <a16:creationId xmlns:a16="http://schemas.microsoft.com/office/drawing/2014/main" id="{FA1B3C23-516A-9BAF-EF59-E5AC18C3286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76200</xdr:rowOff>
    </xdr:to>
    <xdr:pic>
      <xdr:nvPicPr>
        <xdr:cNvPr id="1740146" name="Picture 1">
          <a:hlinkClick xmlns:r="http://schemas.openxmlformats.org/officeDocument/2006/relationships" r:id="rId1"/>
          <a:extLst>
            <a:ext uri="{FF2B5EF4-FFF2-40B4-BE49-F238E27FC236}">
              <a16:creationId xmlns:a16="http://schemas.microsoft.com/office/drawing/2014/main" id="{6D19F9DF-2605-838A-340B-CDEF6FDE9F0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742950</xdr:colOff>
      <xdr:row>3</xdr:row>
      <xdr:rowOff>38100</xdr:rowOff>
    </xdr:to>
    <xdr:pic>
      <xdr:nvPicPr>
        <xdr:cNvPr id="1741170" name="Picture 1">
          <a:hlinkClick xmlns:r="http://schemas.openxmlformats.org/officeDocument/2006/relationships" r:id="rId1"/>
          <a:extLst>
            <a:ext uri="{FF2B5EF4-FFF2-40B4-BE49-F238E27FC236}">
              <a16:creationId xmlns:a16="http://schemas.microsoft.com/office/drawing/2014/main" id="{40043F41-A894-624B-59A6-AAFF9A2864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42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85725</xdr:rowOff>
    </xdr:to>
    <xdr:pic>
      <xdr:nvPicPr>
        <xdr:cNvPr id="1742223" name="Picture 1">
          <a:hlinkClick xmlns:r="http://schemas.openxmlformats.org/officeDocument/2006/relationships" r:id="rId1"/>
          <a:extLst>
            <a:ext uri="{FF2B5EF4-FFF2-40B4-BE49-F238E27FC236}">
              <a16:creationId xmlns:a16="http://schemas.microsoft.com/office/drawing/2014/main" id="{0770E3AB-528B-8CA6-80ED-182A478ACAD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85725</xdr:rowOff>
    </xdr:to>
    <xdr:pic>
      <xdr:nvPicPr>
        <xdr:cNvPr id="1360306" name="Picture 1">
          <a:hlinkClick xmlns:r="http://schemas.openxmlformats.org/officeDocument/2006/relationships" r:id="rId1"/>
          <a:extLst>
            <a:ext uri="{FF2B5EF4-FFF2-40B4-BE49-F238E27FC236}">
              <a16:creationId xmlns:a16="http://schemas.microsoft.com/office/drawing/2014/main" id="{846E43C0-9B19-339A-D840-3BBF7A34394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85725</xdr:rowOff>
    </xdr:to>
    <xdr:pic>
      <xdr:nvPicPr>
        <xdr:cNvPr id="1743218" name="Picture 1">
          <a:hlinkClick xmlns:r="http://schemas.openxmlformats.org/officeDocument/2006/relationships" r:id="rId1"/>
          <a:extLst>
            <a:ext uri="{FF2B5EF4-FFF2-40B4-BE49-F238E27FC236}">
              <a16:creationId xmlns:a16="http://schemas.microsoft.com/office/drawing/2014/main" id="{9FBC56D9-83AE-5216-A899-CB201E51737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2875045" name="Group 1">
          <a:extLst>
            <a:ext uri="{FF2B5EF4-FFF2-40B4-BE49-F238E27FC236}">
              <a16:creationId xmlns:a16="http://schemas.microsoft.com/office/drawing/2014/main" id="{5B022642-6CE3-F7AB-75A8-B7F700E2D5AA}"/>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A3898D47-83E4-F6C9-BFBD-50D5A98C11B9}"/>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875051" name="Picture 3">
            <a:extLst>
              <a:ext uri="{FF2B5EF4-FFF2-40B4-BE49-F238E27FC236}">
                <a16:creationId xmlns:a16="http://schemas.microsoft.com/office/drawing/2014/main" id="{4613E9BE-3099-C27C-1398-D3B948E6B4E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2875046" name="Group 7">
          <a:extLst>
            <a:ext uri="{FF2B5EF4-FFF2-40B4-BE49-F238E27FC236}">
              <a16:creationId xmlns:a16="http://schemas.microsoft.com/office/drawing/2014/main" id="{7D97F5DB-C24D-0B89-2C12-114FE93EC509}"/>
            </a:ext>
          </a:extLst>
        </xdr:cNvPr>
        <xdr:cNvGrpSpPr>
          <a:grpSpLocks/>
        </xdr:cNvGrpSpPr>
      </xdr:nvGrpSpPr>
      <xdr:grpSpPr bwMode="auto">
        <a:xfrm>
          <a:off x="0" y="0"/>
          <a:ext cx="80010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F8858E92-EE2E-3B1D-CAF3-B3626CC41A3D}"/>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875049" name="Picture 9">
            <a:extLst>
              <a:ext uri="{FF2B5EF4-FFF2-40B4-BE49-F238E27FC236}">
                <a16:creationId xmlns:a16="http://schemas.microsoft.com/office/drawing/2014/main" id="{7C6FEDA9-6A6D-9233-F867-2CC0FAF8CC1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0</xdr:col>
      <xdr:colOff>781050</xdr:colOff>
      <xdr:row>3</xdr:row>
      <xdr:rowOff>114300</xdr:rowOff>
    </xdr:to>
    <xdr:pic>
      <xdr:nvPicPr>
        <xdr:cNvPr id="2875047" name="Picture 1">
          <a:hlinkClick xmlns:r="http://schemas.openxmlformats.org/officeDocument/2006/relationships" r:id="rId1"/>
          <a:extLst>
            <a:ext uri="{FF2B5EF4-FFF2-40B4-BE49-F238E27FC236}">
              <a16:creationId xmlns:a16="http://schemas.microsoft.com/office/drawing/2014/main" id="{9D5E568C-BAFE-AC6D-4D6B-D77B74E57F2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3</xdr:row>
      <xdr:rowOff>76200</xdr:rowOff>
    </xdr:to>
    <xdr:pic>
      <xdr:nvPicPr>
        <xdr:cNvPr id="1744247" name="Picture 1">
          <a:hlinkClick xmlns:r="http://schemas.openxmlformats.org/officeDocument/2006/relationships" r:id="rId1"/>
          <a:extLst>
            <a:ext uri="{FF2B5EF4-FFF2-40B4-BE49-F238E27FC236}">
              <a16:creationId xmlns:a16="http://schemas.microsoft.com/office/drawing/2014/main" id="{8C1420CE-766A-4119-86BF-3809BD56064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85725</xdr:rowOff>
    </xdr:to>
    <xdr:pic>
      <xdr:nvPicPr>
        <xdr:cNvPr id="1745267" name="Picture 1">
          <a:hlinkClick xmlns:r="http://schemas.openxmlformats.org/officeDocument/2006/relationships" r:id="rId1"/>
          <a:extLst>
            <a:ext uri="{FF2B5EF4-FFF2-40B4-BE49-F238E27FC236}">
              <a16:creationId xmlns:a16="http://schemas.microsoft.com/office/drawing/2014/main" id="{2F102689-CD67-449D-5FB6-B6E0C6E206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572165</xdr:colOff>
      <xdr:row>64</xdr:row>
      <xdr:rowOff>76800</xdr:rowOff>
    </xdr:to>
    <xdr:pic>
      <xdr:nvPicPr>
        <xdr:cNvPr id="2" name="Picture 1">
          <a:extLst>
            <a:ext uri="{FF2B5EF4-FFF2-40B4-BE49-F238E27FC236}">
              <a16:creationId xmlns:a16="http://schemas.microsoft.com/office/drawing/2014/main" id="{2B598134-0167-44D7-B825-DBB8A8493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696865"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590550</xdr:colOff>
      <xdr:row>0</xdr:row>
      <xdr:rowOff>0</xdr:rowOff>
    </xdr:from>
    <xdr:to>
      <xdr:col>23</xdr:col>
      <xdr:colOff>543590</xdr:colOff>
      <xdr:row>64</xdr:row>
      <xdr:rowOff>76800</xdr:rowOff>
    </xdr:to>
    <xdr:pic>
      <xdr:nvPicPr>
        <xdr:cNvPr id="3" name="Picture 2">
          <a:extLst>
            <a:ext uri="{FF2B5EF4-FFF2-40B4-BE49-F238E27FC236}">
              <a16:creationId xmlns:a16="http://schemas.microsoft.com/office/drawing/2014/main" id="{3D4864CD-88D3-4155-8410-943C6B9AA4D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15250" y="0"/>
          <a:ext cx="7722265"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0</xdr:row>
      <xdr:rowOff>0</xdr:rowOff>
    </xdr:from>
    <xdr:to>
      <xdr:col>35</xdr:col>
      <xdr:colOff>572165</xdr:colOff>
      <xdr:row>64</xdr:row>
      <xdr:rowOff>76800</xdr:rowOff>
    </xdr:to>
    <xdr:pic>
      <xdr:nvPicPr>
        <xdr:cNvPr id="4" name="Picture 3">
          <a:extLst>
            <a:ext uri="{FF2B5EF4-FFF2-40B4-BE49-F238E27FC236}">
              <a16:creationId xmlns:a16="http://schemas.microsoft.com/office/drawing/2014/main" id="{E08D2860-DAE2-4E1E-8EBF-02A39BA1F65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5544800" y="0"/>
          <a:ext cx="7696865"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3</xdr:row>
      <xdr:rowOff>104775</xdr:rowOff>
    </xdr:to>
    <xdr:pic>
      <xdr:nvPicPr>
        <xdr:cNvPr id="1746291" name="Picture 1">
          <a:hlinkClick xmlns:r="http://schemas.openxmlformats.org/officeDocument/2006/relationships" r:id="rId1"/>
          <a:extLst>
            <a:ext uri="{FF2B5EF4-FFF2-40B4-BE49-F238E27FC236}">
              <a16:creationId xmlns:a16="http://schemas.microsoft.com/office/drawing/2014/main" id="{9A939B91-5834-4EFA-BBA5-84B7B6F67EA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57150</xdr:rowOff>
    </xdr:to>
    <xdr:pic>
      <xdr:nvPicPr>
        <xdr:cNvPr id="1747314" name="Picture 1">
          <a:hlinkClick xmlns:r="http://schemas.openxmlformats.org/officeDocument/2006/relationships" r:id="rId1"/>
          <a:extLst>
            <a:ext uri="{FF2B5EF4-FFF2-40B4-BE49-F238E27FC236}">
              <a16:creationId xmlns:a16="http://schemas.microsoft.com/office/drawing/2014/main" id="{7890FCD5-F8FD-6739-0B2A-04C801C25C6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572165</xdr:colOff>
      <xdr:row>64</xdr:row>
      <xdr:rowOff>76800</xdr:rowOff>
    </xdr:to>
    <xdr:pic>
      <xdr:nvPicPr>
        <xdr:cNvPr id="2" name="Picture 1">
          <a:extLst>
            <a:ext uri="{FF2B5EF4-FFF2-40B4-BE49-F238E27FC236}">
              <a16:creationId xmlns:a16="http://schemas.microsoft.com/office/drawing/2014/main" id="{541F695C-9CD0-45F0-B566-10433CD5A3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696865"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581025</xdr:colOff>
      <xdr:row>0</xdr:row>
      <xdr:rowOff>0</xdr:rowOff>
    </xdr:from>
    <xdr:to>
      <xdr:col>23</xdr:col>
      <xdr:colOff>534065</xdr:colOff>
      <xdr:row>64</xdr:row>
      <xdr:rowOff>76800</xdr:rowOff>
    </xdr:to>
    <xdr:pic>
      <xdr:nvPicPr>
        <xdr:cNvPr id="3" name="Picture 2">
          <a:extLst>
            <a:ext uri="{FF2B5EF4-FFF2-40B4-BE49-F238E27FC236}">
              <a16:creationId xmlns:a16="http://schemas.microsoft.com/office/drawing/2014/main" id="{844D2CB5-7933-43F6-B7EE-4B02D44602C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02550" y="0"/>
          <a:ext cx="7728615"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3</xdr:row>
      <xdr:rowOff>28575</xdr:rowOff>
    </xdr:to>
    <xdr:pic>
      <xdr:nvPicPr>
        <xdr:cNvPr id="1748338" name="Picture 1">
          <a:hlinkClick xmlns:r="http://schemas.openxmlformats.org/officeDocument/2006/relationships" r:id="rId1"/>
          <a:extLst>
            <a:ext uri="{FF2B5EF4-FFF2-40B4-BE49-F238E27FC236}">
              <a16:creationId xmlns:a16="http://schemas.microsoft.com/office/drawing/2014/main" id="{94AA3150-5608-F811-B925-75875B0BBB6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85725</xdr:rowOff>
    </xdr:to>
    <xdr:pic>
      <xdr:nvPicPr>
        <xdr:cNvPr id="1749363" name="Picture 1">
          <a:hlinkClick xmlns:r="http://schemas.openxmlformats.org/officeDocument/2006/relationships" r:id="rId1"/>
          <a:extLst>
            <a:ext uri="{FF2B5EF4-FFF2-40B4-BE49-F238E27FC236}">
              <a16:creationId xmlns:a16="http://schemas.microsoft.com/office/drawing/2014/main" id="{AC0FE17B-BC00-C2DF-9C36-2484F789461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 xr:uid="{1CEE2658-DC86-4DFE-8744-4F83ADE5A810}" name="Table141" displayName="Table141" ref="A1:G4" totalsRowShown="0" headerRowDxfId="96" tableBorderDxfId="95">
  <autoFilter ref="A1:G4" xr:uid="{511B22D7-1696-4D99-B615-683FC8DC6800}"/>
  <tableColumns count="7">
    <tableColumn id="1" xr3:uid="{00000000-0010-0000-0100-000001000000}" name="Date"/>
    <tableColumn id="2" xr3:uid="{00000000-0010-0000-0100-000002000000}" name="AER amendment#"/>
    <tableColumn id="3" xr3:uid="{00000000-0010-0000-0100-000003000000}" name="Worksheet" dataDxfId="94"/>
    <tableColumn id="4" xr3:uid="{00000000-0010-0000-0100-000004000000}" name="Table"/>
    <tableColumn id="5" xr3:uid="{00000000-0010-0000-0100-000005000000}" name="Cell" dataDxfId="93"/>
    <tableColumn id="6" xr3:uid="{00000000-0010-0000-0100-000006000000}" name="Change"/>
    <tableColumn id="7" xr3:uid="{00000000-0010-0000-0100-000007000000}" name="Reaso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5907136-D47E-4263-A1AE-4B66371F6A59}" name="APA_FIN___Workday_Worksheet_for_Journal_Summary___CCM_and_Asset_view4" displayName="APA_FIN___Workday_Worksheet_for_Journal_Summary___CCM_and_Asset_view4" ref="A12:R1201">
  <autoFilter ref="A12:R1201" xr:uid="{B5907136-D47E-4263-A1AE-4B66371F6A59}"/>
  <tableColumns count="18">
    <tableColumn id="1" xr3:uid="{52D44544-4A06-4946-861E-6917B0C0DB3C}" name="Journal Accounting Month"/>
    <tableColumn id="2" xr3:uid="{98A56753-420F-4959-9D5A-3FAC3847D996}" name="Company ID"/>
    <tableColumn id="3" xr3:uid="{C346FEC4-8F5E-4C1A-B91D-3B0D4D3B420F}" name="Company"/>
    <tableColumn id="4" xr3:uid="{47676149-A40C-4796-B73B-C53057A764A1}" name="Journal Source"/>
    <tableColumn id="5" xr3:uid="{735F250E-037E-4429-BB8C-56BADFE92CE2}" name="APA Asset ID"/>
    <tableColumn id="6" xr3:uid="{94FBC18B-0197-41EC-A4EE-AD6D605B6A54}" name="APA Asset"/>
    <tableColumn id="7" xr3:uid="{0FAC53F9-DE6D-4123-A4D9-F68C4E35F94E}" name="Cost Center ID"/>
    <tableColumn id="8" xr3:uid="{DA403E9B-982A-422C-8E74-8748CA423259}" name="Cost Center"/>
    <tableColumn id="9" xr3:uid="{95D81C3A-7D3C-4E02-86A9-8CF07F387B63}" name="Ledger Account ID"/>
    <tableColumn id="10" xr3:uid="{E5E36BA1-A14F-4E6B-A5DD-0498E299190D}" name="Ledger Account"/>
    <tableColumn id="11" xr3:uid="{44DEE5F1-5473-44B6-90D2-FC6177150602}" name="Spend Category ID"/>
    <tableColumn id="12" xr3:uid="{33F70F3C-99C8-40DF-90A7-47CFF93054DE}" name="Spend Category"/>
    <tableColumn id="13" xr3:uid="{6F18E705-E87A-41B8-8751-3078A1848FC5}" name="Revenue Category ID"/>
    <tableColumn id="14" xr3:uid="{F079308A-9689-4E0D-9BBE-21716DA57672}" name="Revenue Category"/>
    <tableColumn id="15" xr3:uid="{035740CB-3576-4DDD-824C-B4EA5C7D0993}" name="Part 10 Category"/>
    <tableColumn id="16" xr3:uid="{219AA366-8F29-4B99-B97B-19D660CAF302}" name="Supplier"/>
    <tableColumn id="17" xr3:uid="{4029883E-8D48-4E4F-BD67-97CCF7764985}" name="Customer"/>
    <tableColumn id="18" xr3:uid="{08CB146A-33FA-454D-86CE-BAB8BB9BB745}" name="Ledger/Budget Debit minus Credit"/>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C03E422-E01D-46A7-B98D-754E926B2F5A}" name="APA_FIN___Workday_Worksheet_for_Journal_Summary___CCM_and_Asset_view2" displayName="APA_FIN___Workday_Worksheet_for_Journal_Summary___CCM_and_Asset_view2" ref="A1203:R1207">
  <tableColumns count="18">
    <tableColumn id="1" xr3:uid="{9A30E82F-7A9E-44C1-85F1-F5D0114CF886}" name="Journal Accounting Month"/>
    <tableColumn id="2" xr3:uid="{2A6B8736-DFEB-42E5-83D2-1C5819C857CA}" name="Company ID"/>
    <tableColumn id="3" xr3:uid="{642DF8EB-C498-40DE-8210-55EA1926B48D}" name="Company"/>
    <tableColumn id="4" xr3:uid="{90964DC0-3E5A-41D3-9C62-335DD87B6BC9}" name="Journal Source"/>
    <tableColumn id="5" xr3:uid="{91012750-0557-45B5-B309-3FC6188A051B}" name="APA Asset ID"/>
    <tableColumn id="6" xr3:uid="{DDC8406C-BA3E-4832-9F3E-970FA170A379}" name="APA Asset"/>
    <tableColumn id="7" xr3:uid="{17F708B1-98E7-4E9C-A267-23CD59BE5E07}" name="Cost Center ID"/>
    <tableColumn id="8" xr3:uid="{2812BFC7-E034-4D7B-9AA0-7483BE346012}" name="Cost Center"/>
    <tableColumn id="9" xr3:uid="{879AC48F-C83B-4943-8E11-02A59B904676}" name="Ledger Account ID"/>
    <tableColumn id="10" xr3:uid="{C8B72588-252B-4116-B509-4A4B5077EF83}" name="Ledger Account"/>
    <tableColumn id="11" xr3:uid="{08347A78-D908-40E8-BF29-5F15783E4A70}" name="Spend Category ID"/>
    <tableColumn id="12" xr3:uid="{8A74AFE7-81B6-42A9-8DC4-E326C408A48D}" name="Spend Category"/>
    <tableColumn id="13" xr3:uid="{67792A06-9B63-4860-93F4-3DBCBE8E19A8}" name="Revenue Category ID"/>
    <tableColumn id="14" xr3:uid="{ED565228-F925-45D6-A969-95361BDE7DD2}" name="Revenue Category"/>
    <tableColumn id="15" xr3:uid="{2D983135-BE5C-4D63-8D44-F558D70F4B48}" name="Part 10 Category"/>
    <tableColumn id="16" xr3:uid="{043E1ED7-6C38-4432-A73C-8397CA5598E4}" name="Supplier"/>
    <tableColumn id="17" xr3:uid="{1B555AC6-5BFB-4270-9B04-1605A6122AC5}" name="Customer"/>
    <tableColumn id="18" xr3:uid="{A256B272-3DDB-4F3E-9E14-27CF20E8C525}" name="Ledger/Budget Debit minus Credit"/>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EDA5BA9-2590-4E41-9E22-C114B74587CD}" name="Table1" displayName="Table1" ref="A1:G123" totalsRowShown="0" headerRowDxfId="92" dataDxfId="91">
  <autoFilter ref="A1:G123" xr:uid="{DA53109E-62A3-4A78-8D73-64967599F825}"/>
  <tableColumns count="7">
    <tableColumn id="1" xr3:uid="{00000000-0010-0000-0300-000001000000}" name="Date" dataDxfId="90"/>
    <tableColumn id="2" xr3:uid="{00000000-0010-0000-0300-000002000000}" name="AER amendment#" dataDxfId="89"/>
    <tableColumn id="3" xr3:uid="{00000000-0010-0000-0300-000003000000}" name="Worksheet" dataDxfId="88"/>
    <tableColumn id="4" xr3:uid="{00000000-0010-0000-0300-000004000000}" name="Table" dataDxfId="87"/>
    <tableColumn id="5" xr3:uid="{00000000-0010-0000-0300-000005000000}" name="Cell" dataDxfId="86"/>
    <tableColumn id="6" xr3:uid="{00000000-0010-0000-0300-000006000000}" name="Change" dataDxfId="85"/>
    <tableColumn id="7" xr3:uid="{00000000-0010-0000-0300-000007000000}" name="Reason" dataDxfId="84"/>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spDef>
    <a:ln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3.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3.xml"/><Relationship Id="rId1" Type="http://schemas.openxmlformats.org/officeDocument/2006/relationships/printerSettings" Target="../printerSettings/printerSettings23.bin"/><Relationship Id="rId4" Type="http://schemas.openxmlformats.org/officeDocument/2006/relationships/comments" Target="../comments4.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8.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hyperlink" Target="Support/CGP%20AER%20Part%2010%20Workings%20-%20FY25.xlsx" TargetMode="External"/></Relationships>
</file>

<file path=xl/worksheets/_rels/sheet29.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70B28-308B-48B0-862F-4B96140CF95A}">
  <sheetPr codeName="Sheet1"/>
  <dimension ref="A1:K51"/>
  <sheetViews>
    <sheetView tabSelected="1" zoomScale="85" zoomScaleNormal="85" workbookViewId="0">
      <pane ySplit="6" topLeftCell="A7" activePane="bottomLeft" state="frozen"/>
      <selection activeCell="G47" sqref="G47"/>
      <selection pane="bottomLeft"/>
    </sheetView>
  </sheetViews>
  <sheetFormatPr defaultColWidth="9.140625" defaultRowHeight="12.75" x14ac:dyDescent="0.2"/>
  <cols>
    <col min="1" max="1" width="41" style="230" customWidth="1"/>
    <col min="2" max="2" width="23.5703125" style="230" customWidth="1"/>
    <col min="3" max="6" width="20.7109375" style="230" customWidth="1"/>
    <col min="7" max="8" width="11.140625" style="230" customWidth="1"/>
    <col min="9" max="11" width="20.7109375" style="230" customWidth="1"/>
    <col min="12" max="13" width="9.140625" style="230"/>
    <col min="14" max="14" width="27.140625" style="230" customWidth="1"/>
    <col min="15" max="16384" width="9.140625" style="230"/>
  </cols>
  <sheetData>
    <row r="1" spans="1:11" ht="66" customHeight="1" x14ac:dyDescent="0.2"/>
    <row r="2" spans="1:11" ht="20.25" customHeight="1" x14ac:dyDescent="0.2">
      <c r="A2" s="231" t="s">
        <v>0</v>
      </c>
      <c r="B2" s="231"/>
      <c r="C2" s="231"/>
      <c r="D2" s="231"/>
      <c r="E2" s="231"/>
      <c r="F2" s="231"/>
      <c r="G2" s="231"/>
      <c r="H2" s="231"/>
      <c r="I2" s="231"/>
      <c r="J2" s="231"/>
      <c r="K2" s="231"/>
    </row>
    <row r="3" spans="1:11" ht="20.25" x14ac:dyDescent="0.2">
      <c r="A3" s="231" t="s">
        <v>1</v>
      </c>
      <c r="B3" s="231"/>
      <c r="C3" s="231"/>
      <c r="D3" s="231"/>
      <c r="E3" s="231"/>
      <c r="F3" s="231"/>
      <c r="G3" s="231"/>
      <c r="H3" s="231"/>
      <c r="I3" s="231"/>
      <c r="J3" s="231"/>
      <c r="K3" s="231"/>
    </row>
    <row r="4" spans="1:11" x14ac:dyDescent="0.2">
      <c r="A4" s="232"/>
      <c r="B4" s="232"/>
      <c r="C4" s="232"/>
      <c r="D4" s="232"/>
      <c r="E4" s="232"/>
      <c r="F4" s="232"/>
      <c r="G4" s="232"/>
      <c r="H4" s="232"/>
      <c r="I4" s="232"/>
      <c r="J4" s="232"/>
      <c r="K4" s="232"/>
    </row>
    <row r="5" spans="1:11" s="236" customFormat="1" ht="15.75" x14ac:dyDescent="0.2">
      <c r="A5" s="233" t="s">
        <v>2</v>
      </c>
      <c r="B5" s="234"/>
      <c r="C5" s="234"/>
      <c r="D5" s="234"/>
      <c r="E5" s="234"/>
      <c r="F5" s="234"/>
      <c r="G5" s="234"/>
      <c r="H5" s="234"/>
      <c r="I5" s="234"/>
      <c r="J5" s="235"/>
      <c r="K5" s="235"/>
    </row>
    <row r="6" spans="1:11" s="236" customFormat="1" ht="15.75" x14ac:dyDescent="0.2">
      <c r="A6" s="233" t="s">
        <v>3</v>
      </c>
      <c r="B6" s="234"/>
      <c r="C6" s="234"/>
      <c r="D6" s="234"/>
      <c r="E6" s="234"/>
      <c r="F6" s="234"/>
      <c r="G6" s="234"/>
      <c r="H6" s="234"/>
      <c r="I6" s="234"/>
      <c r="J6" s="235"/>
      <c r="K6" s="235"/>
    </row>
    <row r="7" spans="1:11" ht="15.75" thickBot="1" x14ac:dyDescent="0.25">
      <c r="A7" s="309"/>
      <c r="B7" s="309"/>
      <c r="C7" s="309"/>
      <c r="D7" s="309"/>
      <c r="E7" s="309"/>
      <c r="F7" s="309"/>
      <c r="G7" s="309"/>
      <c r="H7" s="309"/>
      <c r="I7" s="309"/>
      <c r="J7" s="232"/>
      <c r="K7" s="232"/>
    </row>
    <row r="8" spans="1:11" ht="12.75" customHeight="1" x14ac:dyDescent="0.2">
      <c r="A8" s="414" t="s">
        <v>4</v>
      </c>
      <c r="B8" s="415"/>
      <c r="C8" s="415"/>
      <c r="D8" s="415"/>
      <c r="E8" s="415"/>
      <c r="F8" s="415"/>
      <c r="G8" s="415"/>
      <c r="H8" s="415"/>
      <c r="I8" s="416"/>
      <c r="J8" s="232"/>
      <c r="K8" s="232"/>
    </row>
    <row r="9" spans="1:11" ht="15.75" x14ac:dyDescent="0.2">
      <c r="A9" s="237" t="s">
        <v>5</v>
      </c>
      <c r="B9" s="238"/>
      <c r="C9" s="238"/>
      <c r="D9" s="239"/>
      <c r="E9" s="239"/>
      <c r="F9" s="239"/>
      <c r="G9" s="239"/>
      <c r="H9" s="239"/>
      <c r="I9" s="240"/>
      <c r="J9" s="232"/>
      <c r="K9" s="232"/>
    </row>
    <row r="10" spans="1:11" ht="15.75" x14ac:dyDescent="0.2">
      <c r="A10" s="420" t="s">
        <v>6</v>
      </c>
      <c r="B10" s="421"/>
      <c r="C10" s="421"/>
      <c r="D10" s="421"/>
      <c r="E10" s="421"/>
      <c r="F10" s="421"/>
      <c r="G10" s="421"/>
      <c r="H10" s="421"/>
      <c r="I10" s="422"/>
      <c r="J10" s="232"/>
      <c r="K10" s="232"/>
    </row>
    <row r="11" spans="1:11" ht="16.5" thickBot="1" x14ac:dyDescent="0.25">
      <c r="A11" s="417" t="s">
        <v>7</v>
      </c>
      <c r="B11" s="418"/>
      <c r="C11" s="418"/>
      <c r="D11" s="418"/>
      <c r="E11" s="418"/>
      <c r="F11" s="418"/>
      <c r="G11" s="418"/>
      <c r="H11" s="418"/>
      <c r="I11" s="419"/>
      <c r="J11" s="232"/>
      <c r="K11" s="232"/>
    </row>
    <row r="12" spans="1:11" ht="15" x14ac:dyDescent="0.2">
      <c r="A12" s="423"/>
      <c r="B12" s="424"/>
      <c r="C12" s="424"/>
      <c r="D12" s="424"/>
      <c r="E12" s="424"/>
      <c r="F12" s="424"/>
      <c r="G12" s="424"/>
      <c r="H12" s="424"/>
      <c r="I12" s="424"/>
      <c r="J12" s="232"/>
      <c r="K12" s="232"/>
    </row>
    <row r="13" spans="1:11" ht="15.75" x14ac:dyDescent="0.2">
      <c r="A13" s="241" t="s">
        <v>8</v>
      </c>
      <c r="B13" s="309"/>
      <c r="C13" s="309"/>
      <c r="D13" s="309"/>
      <c r="E13" s="309"/>
      <c r="F13" s="309"/>
      <c r="G13" s="309"/>
      <c r="H13" s="309"/>
      <c r="I13" s="309"/>
      <c r="J13" s="232"/>
      <c r="K13" s="232"/>
    </row>
    <row r="14" spans="1:11" ht="15.75" x14ac:dyDescent="0.2">
      <c r="A14" s="242" t="s">
        <v>9</v>
      </c>
      <c r="B14" s="309"/>
      <c r="C14" s="309"/>
      <c r="D14" s="309"/>
      <c r="E14" s="309"/>
      <c r="F14" s="309"/>
      <c r="G14" s="309"/>
      <c r="H14" s="309"/>
      <c r="I14" s="309"/>
      <c r="J14" s="232"/>
      <c r="K14" s="232"/>
    </row>
    <row r="15" spans="1:11" x14ac:dyDescent="0.2">
      <c r="A15" s="232"/>
      <c r="B15" s="232"/>
      <c r="C15" s="333"/>
      <c r="D15" s="333"/>
      <c r="E15" s="333"/>
      <c r="F15" s="232"/>
      <c r="G15" s="232"/>
      <c r="H15" s="232"/>
      <c r="I15" s="232"/>
      <c r="J15" s="232"/>
      <c r="K15" s="232"/>
    </row>
    <row r="16" spans="1:11" x14ac:dyDescent="0.2">
      <c r="A16" s="232"/>
      <c r="B16" s="232"/>
      <c r="C16" s="333"/>
      <c r="D16" s="333"/>
      <c r="E16" s="333"/>
      <c r="F16" s="232"/>
      <c r="G16" s="232"/>
      <c r="H16" s="232"/>
      <c r="I16" s="232"/>
      <c r="J16" s="232"/>
      <c r="K16" s="232"/>
    </row>
    <row r="17" spans="1:11" ht="15.75" x14ac:dyDescent="0.25">
      <c r="A17" s="386" t="s">
        <v>10</v>
      </c>
      <c r="B17" s="387"/>
      <c r="C17" s="430" t="s">
        <v>787</v>
      </c>
      <c r="D17" s="431"/>
      <c r="E17" s="431"/>
      <c r="F17" s="309"/>
      <c r="G17" s="309"/>
      <c r="H17" s="309"/>
      <c r="I17" s="309"/>
      <c r="J17" s="309"/>
      <c r="K17" s="309"/>
    </row>
    <row r="18" spans="1:11" ht="15.75" x14ac:dyDescent="0.2">
      <c r="A18" s="242"/>
      <c r="B18" s="242"/>
      <c r="C18" s="334"/>
      <c r="D18" s="334"/>
      <c r="E18" s="334"/>
      <c r="F18" s="309"/>
      <c r="G18" s="309"/>
      <c r="H18" s="309"/>
      <c r="I18" s="309"/>
      <c r="J18" s="309"/>
      <c r="K18" s="309"/>
    </row>
    <row r="19" spans="1:11" ht="18" customHeight="1" x14ac:dyDescent="0.2">
      <c r="A19" s="386" t="s">
        <v>11</v>
      </c>
      <c r="B19" s="387"/>
      <c r="C19" s="391" t="s">
        <v>786</v>
      </c>
      <c r="D19" s="392"/>
      <c r="E19" s="392"/>
      <c r="F19" s="309"/>
      <c r="G19" s="309"/>
      <c r="H19" s="309"/>
      <c r="I19" s="309"/>
      <c r="J19" s="309"/>
      <c r="K19" s="309"/>
    </row>
    <row r="20" spans="1:11" ht="15.75" x14ac:dyDescent="0.2">
      <c r="A20" s="242"/>
      <c r="B20" s="242"/>
      <c r="C20" s="425"/>
      <c r="D20" s="426"/>
      <c r="E20" s="426"/>
      <c r="F20" s="309"/>
      <c r="G20" s="309"/>
      <c r="H20" s="309"/>
      <c r="I20" s="309"/>
      <c r="J20" s="309"/>
      <c r="K20" s="309"/>
    </row>
    <row r="21" spans="1:11" ht="15.75" x14ac:dyDescent="0.2">
      <c r="A21" s="386" t="s">
        <v>12</v>
      </c>
      <c r="B21" s="393"/>
      <c r="C21" s="427" t="s">
        <v>788</v>
      </c>
      <c r="D21" s="428"/>
      <c r="E21" s="429"/>
      <c r="F21" s="309"/>
      <c r="G21" s="309"/>
      <c r="H21" s="309"/>
      <c r="I21" s="309"/>
      <c r="J21" s="309"/>
      <c r="K21" s="309"/>
    </row>
    <row r="22" spans="1:11" ht="15" x14ac:dyDescent="0.2">
      <c r="A22" s="309"/>
      <c r="B22" s="309"/>
      <c r="C22" s="334"/>
      <c r="D22" s="334"/>
      <c r="E22" s="334"/>
      <c r="F22" s="309"/>
      <c r="G22" s="309"/>
      <c r="H22" s="309"/>
      <c r="I22" s="309"/>
      <c r="J22" s="309"/>
      <c r="K22" s="309"/>
    </row>
    <row r="23" spans="1:11" ht="18" customHeight="1" x14ac:dyDescent="0.2">
      <c r="A23" s="386" t="s">
        <v>13</v>
      </c>
      <c r="B23" s="393"/>
      <c r="C23" s="394" t="s">
        <v>743</v>
      </c>
      <c r="D23" s="395"/>
      <c r="E23" s="396"/>
      <c r="F23" s="309"/>
      <c r="G23" s="309"/>
      <c r="H23" s="309"/>
      <c r="I23" s="309"/>
      <c r="J23" s="309"/>
      <c r="K23" s="309"/>
    </row>
    <row r="24" spans="1:11" ht="15" x14ac:dyDescent="0.2">
      <c r="A24" s="309"/>
      <c r="B24" s="309"/>
      <c r="C24" s="334"/>
      <c r="D24" s="334"/>
      <c r="E24" s="334"/>
      <c r="F24" s="309"/>
      <c r="G24" s="309"/>
      <c r="H24" s="309"/>
      <c r="I24" s="309"/>
      <c r="J24" s="309"/>
      <c r="K24" s="309"/>
    </row>
    <row r="25" spans="1:11" ht="15.75" x14ac:dyDescent="0.2">
      <c r="A25" s="386" t="s">
        <v>14</v>
      </c>
      <c r="B25" s="393"/>
      <c r="C25" s="388">
        <v>45474</v>
      </c>
      <c r="D25" s="389"/>
      <c r="E25" s="390"/>
      <c r="F25" s="309"/>
      <c r="G25" s="309"/>
      <c r="H25" s="309"/>
      <c r="I25" s="309"/>
      <c r="J25" s="309"/>
      <c r="K25" s="309"/>
    </row>
    <row r="26" spans="1:11" ht="15" x14ac:dyDescent="0.2">
      <c r="A26" s="309"/>
      <c r="B26" s="309"/>
      <c r="C26" s="334"/>
      <c r="D26" s="334"/>
      <c r="E26" s="334"/>
      <c r="F26" s="309"/>
      <c r="G26" s="309"/>
      <c r="H26" s="309"/>
      <c r="I26" s="309"/>
      <c r="J26" s="309"/>
      <c r="K26" s="309"/>
    </row>
    <row r="27" spans="1:11" ht="15.75" x14ac:dyDescent="0.2">
      <c r="A27" s="386" t="s">
        <v>15</v>
      </c>
      <c r="B27" s="393"/>
      <c r="C27" s="388">
        <v>45838</v>
      </c>
      <c r="D27" s="389"/>
      <c r="E27" s="390"/>
      <c r="F27" s="309"/>
      <c r="G27" s="309"/>
      <c r="H27" s="309"/>
      <c r="I27" s="309"/>
      <c r="J27" s="309"/>
      <c r="K27" s="309"/>
    </row>
    <row r="28" spans="1:11" ht="15" x14ac:dyDescent="0.2">
      <c r="A28" s="309"/>
      <c r="B28" s="309"/>
      <c r="C28" s="334"/>
      <c r="D28" s="334"/>
      <c r="E28" s="334"/>
      <c r="F28" s="309"/>
      <c r="G28" s="309"/>
      <c r="H28" s="309"/>
      <c r="I28" s="309"/>
      <c r="J28" s="309"/>
      <c r="K28" s="309"/>
    </row>
    <row r="29" spans="1:11" ht="15.75" x14ac:dyDescent="0.2">
      <c r="A29" s="397" t="s">
        <v>16</v>
      </c>
      <c r="B29" s="397"/>
      <c r="C29" s="388">
        <v>46281</v>
      </c>
      <c r="D29" s="389"/>
      <c r="E29" s="390"/>
      <c r="F29" s="309"/>
      <c r="G29" s="309"/>
      <c r="H29" s="309"/>
      <c r="I29" s="309"/>
      <c r="J29" s="309"/>
      <c r="K29" s="309"/>
    </row>
    <row r="30" spans="1:11" ht="15" x14ac:dyDescent="0.2">
      <c r="A30" s="309"/>
      <c r="B30" s="309"/>
      <c r="C30" s="334"/>
      <c r="D30" s="334"/>
      <c r="E30" s="334"/>
      <c r="F30" s="309"/>
      <c r="G30" s="309"/>
      <c r="H30" s="309"/>
      <c r="I30" s="309"/>
      <c r="J30" s="309"/>
      <c r="K30" s="309"/>
    </row>
    <row r="31" spans="1:11" ht="15.75" x14ac:dyDescent="0.2">
      <c r="A31" s="397" t="s">
        <v>17</v>
      </c>
      <c r="B31" s="397"/>
      <c r="C31" s="388">
        <v>45838</v>
      </c>
      <c r="D31" s="389"/>
      <c r="E31" s="390"/>
      <c r="F31" s="309"/>
      <c r="G31" s="309"/>
      <c r="H31" s="309"/>
      <c r="I31" s="309"/>
      <c r="J31" s="309"/>
      <c r="K31" s="309"/>
    </row>
    <row r="32" spans="1:11" ht="15" x14ac:dyDescent="0.2">
      <c r="A32" s="309"/>
      <c r="B32" s="309"/>
      <c r="C32" s="334"/>
      <c r="D32" s="334"/>
      <c r="E32" s="334"/>
      <c r="F32" s="309"/>
      <c r="G32" s="309"/>
      <c r="H32" s="309"/>
      <c r="I32" s="309"/>
      <c r="J32" s="309"/>
      <c r="K32" s="309"/>
    </row>
    <row r="33" spans="1:11" ht="60" customHeight="1" x14ac:dyDescent="0.2">
      <c r="A33" s="385" t="s">
        <v>18</v>
      </c>
      <c r="B33" s="385"/>
      <c r="C33" s="381" t="s">
        <v>752</v>
      </c>
      <c r="D33" s="382"/>
      <c r="E33" s="383"/>
      <c r="F33" s="384" t="s">
        <v>19</v>
      </c>
      <c r="G33" s="385"/>
      <c r="H33" s="385"/>
      <c r="I33" s="381" t="s">
        <v>909</v>
      </c>
      <c r="J33" s="382"/>
      <c r="K33" s="383"/>
    </row>
    <row r="34" spans="1:11" ht="15.75" thickBot="1" x14ac:dyDescent="0.25">
      <c r="A34" s="243"/>
      <c r="B34" s="243"/>
      <c r="C34" s="243"/>
      <c r="D34" s="243"/>
      <c r="E34" s="243"/>
      <c r="F34" s="243"/>
      <c r="G34" s="243"/>
      <c r="H34" s="243"/>
      <c r="I34" s="243"/>
      <c r="J34" s="243"/>
      <c r="K34" s="243"/>
    </row>
    <row r="35" spans="1:11" ht="15" x14ac:dyDescent="0.2">
      <c r="A35" s="377"/>
      <c r="B35" s="378"/>
      <c r="C35" s="378"/>
      <c r="D35" s="378"/>
      <c r="E35" s="378"/>
      <c r="F35" s="378"/>
      <c r="G35" s="378"/>
      <c r="H35" s="379"/>
      <c r="I35" s="243"/>
      <c r="J35" s="243"/>
      <c r="K35" s="243"/>
    </row>
    <row r="36" spans="1:11" ht="15" x14ac:dyDescent="0.2">
      <c r="A36" s="380" t="s">
        <v>20</v>
      </c>
      <c r="B36" s="398" t="s">
        <v>21</v>
      </c>
      <c r="C36" s="399"/>
      <c r="D36" s="374" t="s">
        <v>899</v>
      </c>
      <c r="E36" s="375"/>
      <c r="F36" s="375"/>
      <c r="G36" s="376"/>
      <c r="H36" s="406"/>
      <c r="I36" s="243"/>
      <c r="J36" s="243"/>
      <c r="K36" s="243"/>
    </row>
    <row r="37" spans="1:11" ht="15" x14ac:dyDescent="0.2">
      <c r="A37" s="380"/>
      <c r="B37" s="398" t="s">
        <v>22</v>
      </c>
      <c r="C37" s="399"/>
      <c r="D37" s="374" t="s">
        <v>745</v>
      </c>
      <c r="E37" s="375"/>
      <c r="F37" s="375"/>
      <c r="G37" s="376"/>
      <c r="H37" s="406"/>
      <c r="I37" s="243"/>
      <c r="J37" s="243"/>
      <c r="K37" s="243"/>
    </row>
    <row r="38" spans="1:11" ht="15" x14ac:dyDescent="0.2">
      <c r="A38" s="380"/>
      <c r="B38" s="244"/>
      <c r="C38" s="310" t="s">
        <v>23</v>
      </c>
      <c r="D38" s="168" t="s">
        <v>746</v>
      </c>
      <c r="E38" s="310" t="s">
        <v>24</v>
      </c>
      <c r="F38" s="168">
        <v>2000</v>
      </c>
      <c r="G38" s="245"/>
      <c r="H38" s="406"/>
      <c r="I38" s="243"/>
      <c r="J38" s="243"/>
      <c r="K38" s="243"/>
    </row>
    <row r="39" spans="1:11" ht="15" x14ac:dyDescent="0.2">
      <c r="A39" s="380"/>
      <c r="B39" s="407"/>
      <c r="C39" s="407"/>
      <c r="D39" s="407"/>
      <c r="E39" s="407"/>
      <c r="F39" s="407"/>
      <c r="G39" s="407"/>
      <c r="H39" s="406"/>
      <c r="I39" s="243"/>
      <c r="J39" s="243"/>
      <c r="K39" s="243"/>
    </row>
    <row r="40" spans="1:11" ht="15" x14ac:dyDescent="0.2">
      <c r="A40" s="380" t="s">
        <v>25</v>
      </c>
      <c r="B40" s="398" t="s">
        <v>21</v>
      </c>
      <c r="C40" s="399"/>
      <c r="D40" s="408" t="s">
        <v>747</v>
      </c>
      <c r="E40" s="408"/>
      <c r="F40" s="408"/>
      <c r="G40" s="408"/>
      <c r="H40" s="406"/>
      <c r="I40" s="243"/>
      <c r="J40" s="243"/>
      <c r="K40" s="243"/>
    </row>
    <row r="41" spans="1:11" ht="15" x14ac:dyDescent="0.2">
      <c r="A41" s="380"/>
      <c r="B41" s="398" t="s">
        <v>22</v>
      </c>
      <c r="C41" s="399"/>
      <c r="D41" s="408" t="s">
        <v>748</v>
      </c>
      <c r="E41" s="408"/>
      <c r="F41" s="408"/>
      <c r="G41" s="408"/>
      <c r="H41" s="406"/>
      <c r="I41" s="243"/>
      <c r="J41" s="243"/>
      <c r="K41" s="243"/>
    </row>
    <row r="42" spans="1:11" ht="15" x14ac:dyDescent="0.2">
      <c r="A42" s="380"/>
      <c r="B42" s="244"/>
      <c r="C42" s="310" t="s">
        <v>23</v>
      </c>
      <c r="D42" s="168" t="s">
        <v>746</v>
      </c>
      <c r="E42" s="310" t="s">
        <v>24</v>
      </c>
      <c r="F42" s="168">
        <v>1225</v>
      </c>
      <c r="G42" s="245"/>
      <c r="H42" s="406"/>
      <c r="I42" s="243"/>
      <c r="J42" s="243"/>
      <c r="K42" s="243"/>
    </row>
    <row r="43" spans="1:11" ht="15.75" thickBot="1" x14ac:dyDescent="0.25">
      <c r="A43" s="403"/>
      <c r="B43" s="404"/>
      <c r="C43" s="404"/>
      <c r="D43" s="404"/>
      <c r="E43" s="404"/>
      <c r="F43" s="404"/>
      <c r="G43" s="404"/>
      <c r="H43" s="405"/>
      <c r="I43" s="243"/>
      <c r="J43" s="243"/>
      <c r="K43" s="243"/>
    </row>
    <row r="44" spans="1:11" ht="15" x14ac:dyDescent="0.2">
      <c r="A44" s="377"/>
      <c r="B44" s="378"/>
      <c r="C44" s="378"/>
      <c r="D44" s="378"/>
      <c r="E44" s="378"/>
      <c r="F44" s="378"/>
      <c r="G44" s="378"/>
      <c r="H44" s="379"/>
      <c r="I44" s="243"/>
      <c r="J44" s="243"/>
      <c r="K44" s="243"/>
    </row>
    <row r="45" spans="1:11" ht="15.75" x14ac:dyDescent="0.25">
      <c r="A45" s="246" t="s">
        <v>26</v>
      </c>
      <c r="B45" s="374" t="s">
        <v>749</v>
      </c>
      <c r="C45" s="375"/>
      <c r="D45" s="411"/>
      <c r="E45" s="411"/>
      <c r="F45" s="412"/>
      <c r="G45" s="409"/>
      <c r="H45" s="410"/>
      <c r="I45" s="243"/>
      <c r="J45" s="243"/>
      <c r="K45" s="243"/>
    </row>
    <row r="46" spans="1:11" ht="15.75" x14ac:dyDescent="0.25">
      <c r="A46" s="246" t="s">
        <v>27</v>
      </c>
      <c r="B46" s="413" t="s">
        <v>750</v>
      </c>
      <c r="C46" s="375"/>
      <c r="D46" s="375"/>
      <c r="E46" s="375"/>
      <c r="F46" s="376"/>
      <c r="G46" s="409"/>
      <c r="H46" s="410"/>
      <c r="I46" s="243"/>
      <c r="J46" s="243"/>
      <c r="K46" s="243"/>
    </row>
    <row r="47" spans="1:11" ht="15.75" x14ac:dyDescent="0.25">
      <c r="A47" s="246" t="s">
        <v>28</v>
      </c>
      <c r="B47" s="374" t="s">
        <v>751</v>
      </c>
      <c r="C47" s="375"/>
      <c r="D47" s="375"/>
      <c r="E47" s="375"/>
      <c r="F47" s="376"/>
      <c r="G47" s="409"/>
      <c r="H47" s="410"/>
      <c r="I47" s="243"/>
      <c r="J47" s="243"/>
      <c r="K47" s="243"/>
    </row>
    <row r="48" spans="1:11" ht="15.75" thickBot="1" x14ac:dyDescent="0.25">
      <c r="A48" s="400"/>
      <c r="B48" s="401"/>
      <c r="C48" s="401"/>
      <c r="D48" s="401"/>
      <c r="E48" s="401"/>
      <c r="F48" s="401"/>
      <c r="G48" s="401"/>
      <c r="H48" s="402"/>
      <c r="I48" s="243"/>
      <c r="J48" s="243"/>
      <c r="K48" s="243"/>
    </row>
    <row r="49" spans="1:11" ht="15" x14ac:dyDescent="0.2">
      <c r="A49" s="243"/>
      <c r="B49" s="243"/>
      <c r="C49" s="243"/>
      <c r="D49" s="243"/>
      <c r="E49" s="243"/>
      <c r="F49" s="243"/>
      <c r="G49" s="243"/>
      <c r="H49" s="243"/>
      <c r="I49" s="243"/>
      <c r="J49" s="243"/>
      <c r="K49" s="243"/>
    </row>
    <row r="50" spans="1:11" ht="15" x14ac:dyDescent="0.2">
      <c r="A50" s="243"/>
      <c r="B50" s="243"/>
      <c r="C50" s="243"/>
      <c r="D50" s="243"/>
      <c r="E50" s="243"/>
      <c r="F50" s="243"/>
      <c r="G50" s="243"/>
      <c r="H50" s="243"/>
      <c r="I50" s="243"/>
      <c r="J50" s="243"/>
      <c r="K50" s="243"/>
    </row>
    <row r="51" spans="1:11" ht="15" x14ac:dyDescent="0.2">
      <c r="A51" s="243"/>
      <c r="B51" s="243"/>
      <c r="C51" s="243"/>
      <c r="D51" s="243"/>
      <c r="E51" s="243"/>
      <c r="F51" s="243"/>
      <c r="G51" s="243"/>
      <c r="H51" s="243"/>
      <c r="I51" s="243"/>
      <c r="J51" s="243"/>
      <c r="K51" s="243"/>
    </row>
  </sheetData>
  <sheetProtection sheet="1" objects="1" scenarios="1"/>
  <mergeCells count="45">
    <mergeCell ref="A17:B17"/>
    <mergeCell ref="A23:B23"/>
    <mergeCell ref="A25:B25"/>
    <mergeCell ref="A8:I8"/>
    <mergeCell ref="A11:I11"/>
    <mergeCell ref="A10:I10"/>
    <mergeCell ref="A12:I12"/>
    <mergeCell ref="C20:E20"/>
    <mergeCell ref="C21:E21"/>
    <mergeCell ref="C17:E17"/>
    <mergeCell ref="C25:E25"/>
    <mergeCell ref="B40:C40"/>
    <mergeCell ref="A44:H44"/>
    <mergeCell ref="A48:H48"/>
    <mergeCell ref="A40:A43"/>
    <mergeCell ref="B43:H43"/>
    <mergeCell ref="H36:H42"/>
    <mergeCell ref="B39:G39"/>
    <mergeCell ref="D40:G40"/>
    <mergeCell ref="G45:H47"/>
    <mergeCell ref="B47:F47"/>
    <mergeCell ref="B41:C41"/>
    <mergeCell ref="D41:G41"/>
    <mergeCell ref="B45:F45"/>
    <mergeCell ref="B46:F46"/>
    <mergeCell ref="B37:C37"/>
    <mergeCell ref="B36:C36"/>
    <mergeCell ref="I33:K33"/>
    <mergeCell ref="F33:H33"/>
    <mergeCell ref="A19:B19"/>
    <mergeCell ref="C27:E27"/>
    <mergeCell ref="C19:E19"/>
    <mergeCell ref="A21:B21"/>
    <mergeCell ref="C23:E23"/>
    <mergeCell ref="C29:E29"/>
    <mergeCell ref="A33:B33"/>
    <mergeCell ref="C31:E31"/>
    <mergeCell ref="A27:B27"/>
    <mergeCell ref="A29:B29"/>
    <mergeCell ref="A31:B31"/>
    <mergeCell ref="D36:G36"/>
    <mergeCell ref="D37:G37"/>
    <mergeCell ref="A35:H35"/>
    <mergeCell ref="A36:A39"/>
    <mergeCell ref="C33:E33"/>
  </mergeCells>
  <phoneticPr fontId="11" type="noConversion"/>
  <dataValidations count="4">
    <dataValidation type="list" allowBlank="1" showInputMessage="1" showErrorMessage="1" sqref="C33:E33" xr:uid="{2741A6A6-D829-4C1A-AF78-60D7600BF04A}">
      <formula1>"Yes, No"</formula1>
    </dataValidation>
    <dataValidation type="list" allowBlank="1" showInputMessage="1" showErrorMessage="1" sqref="C23:E23" xr:uid="{5C24FFC0-A735-4601-841A-24252180B385}">
      <formula1>"Scheme pipeline, Non-scheme pipeline"</formula1>
    </dataValidation>
    <dataValidation type="date" operator="greaterThan" allowBlank="1" showInputMessage="1" showErrorMessage="1" sqref="C25:E25" xr:uid="{51BACAF7-35B6-49FA-8249-6F5244358B37}">
      <formula1>40179</formula1>
    </dataValidation>
    <dataValidation type="list" allowBlank="1" showInputMessage="1" showErrorMessage="1" sqref="D38 D42" xr:uid="{70BCF02B-A8AA-4FE7-AFE5-B302241373AE}">
      <formula1>"NSW, VIC, QLD, SA, TAS, NT, ACT, WA"</formula1>
    </dataValidation>
  </dataValidations>
  <pageMargins left="0.75" right="0.75" top="1" bottom="1" header="0.5" footer="0.5"/>
  <pageSetup paperSize="9" scale="80" orientation="portrait" verticalDpi="2" r:id="rId1"/>
  <headerFooter alignWithMargins="0">
    <oddHeader>&amp;C&amp;"Arial,Bold"&amp;12Non- Scheme Gas Pipeline - Financial Guideline Reporting template</oddHeader>
    <oddFooter>&amp;C&amp;A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07D92-9C0F-4579-9A12-A398D4D1ADA9}">
  <sheetPr codeName="Sheet9">
    <tabColor rgb="FF17415D"/>
    <pageSetUpPr fitToPage="1"/>
  </sheetPr>
  <dimension ref="A1:H50"/>
  <sheetViews>
    <sheetView showGridLines="0" zoomScale="66" zoomScaleNormal="85" workbookViewId="0"/>
  </sheetViews>
  <sheetFormatPr defaultColWidth="9.140625" defaultRowHeight="23.25" x14ac:dyDescent="0.35"/>
  <cols>
    <col min="1" max="1" width="6.140625" style="1" customWidth="1"/>
    <col min="2" max="2" width="10.7109375" style="1" customWidth="1"/>
    <col min="3" max="3" width="26.7109375" style="1" customWidth="1"/>
    <col min="4" max="4" width="135.7109375" style="1" customWidth="1"/>
    <col min="5" max="5" width="61.42578125" style="1" customWidth="1"/>
    <col min="6" max="6" width="27.7109375" style="1" customWidth="1"/>
    <col min="7" max="7" width="19.42578125" style="1" bestFit="1" customWidth="1"/>
    <col min="8" max="8" width="8.85546875" style="1" customWidth="1"/>
    <col min="9" max="16384" width="9.140625" style="1"/>
  </cols>
  <sheetData>
    <row r="1" spans="1:8" ht="26.25" x14ac:dyDescent="0.35">
      <c r="A1" s="1" t="s">
        <v>902</v>
      </c>
      <c r="C1" s="107" t="s">
        <v>1</v>
      </c>
      <c r="D1" s="107"/>
      <c r="E1" s="107"/>
      <c r="F1" s="107"/>
      <c r="G1" s="3"/>
      <c r="H1" s="3"/>
    </row>
    <row r="2" spans="1:8" ht="20.25" customHeight="1" x14ac:dyDescent="0.35">
      <c r="B2" s="3"/>
      <c r="C2" s="107" t="str">
        <f>IF(Tradingname=0," ",Tradingname)</f>
        <v>APT Pipelines (QLD) Pty Limited</v>
      </c>
      <c r="D2" s="107"/>
      <c r="E2" s="107"/>
      <c r="F2" s="107"/>
      <c r="G2" s="3"/>
    </row>
    <row r="3" spans="1:8" ht="33.75" customHeight="1" x14ac:dyDescent="0.4">
      <c r="B3" s="3"/>
      <c r="C3" s="107" t="s">
        <v>29</v>
      </c>
      <c r="D3" s="109">
        <f>IF(Yearending=0, "01/01/2000", Yearending)</f>
        <v>45838</v>
      </c>
      <c r="E3" s="107"/>
      <c r="F3" s="108"/>
    </row>
    <row r="4" spans="1:8" ht="15" customHeight="1" x14ac:dyDescent="0.35">
      <c r="B4" s="3"/>
      <c r="C4" s="3"/>
      <c r="D4" s="3"/>
      <c r="E4" s="3"/>
      <c r="F4" s="3"/>
      <c r="G4" s="3"/>
    </row>
    <row r="5" spans="1:8" s="3" customFormat="1" ht="15" customHeight="1" thickBot="1" x14ac:dyDescent="0.25"/>
    <row r="6" spans="1:8" s="3" customFormat="1" ht="15" customHeight="1" x14ac:dyDescent="0.35">
      <c r="C6" s="153"/>
      <c r="D6" s="154"/>
      <c r="E6" s="154"/>
      <c r="F6" s="155"/>
    </row>
    <row r="7" spans="1:8" s="3" customFormat="1" ht="26.25" x14ac:dyDescent="0.4">
      <c r="C7" s="156"/>
      <c r="D7" s="432" t="s">
        <v>30</v>
      </c>
      <c r="E7" s="432"/>
      <c r="F7" s="157"/>
    </row>
    <row r="8" spans="1:8" s="3" customFormat="1" ht="25.5" x14ac:dyDescent="0.35">
      <c r="C8" s="156"/>
      <c r="D8" s="158"/>
      <c r="E8" s="158"/>
      <c r="F8" s="157"/>
    </row>
    <row r="9" spans="1:8" s="3" customFormat="1" ht="26.25" x14ac:dyDescent="0.4">
      <c r="C9" s="156"/>
      <c r="D9" s="163" t="s">
        <v>31</v>
      </c>
      <c r="E9" s="167" t="s">
        <v>32</v>
      </c>
      <c r="F9" s="157"/>
    </row>
    <row r="10" spans="1:8" s="3" customFormat="1" ht="26.25" x14ac:dyDescent="0.4">
      <c r="C10" s="156"/>
      <c r="D10" s="163"/>
      <c r="E10" s="167" t="s">
        <v>33</v>
      </c>
      <c r="F10" s="157"/>
    </row>
    <row r="11" spans="1:8" s="3" customFormat="1" ht="26.25" x14ac:dyDescent="0.4">
      <c r="C11" s="156"/>
      <c r="D11" s="163"/>
      <c r="E11" s="167" t="s">
        <v>34</v>
      </c>
      <c r="F11" s="157"/>
    </row>
    <row r="12" spans="1:8" s="3" customFormat="1" ht="25.5" x14ac:dyDescent="0.35">
      <c r="C12" s="156"/>
      <c r="D12" s="158"/>
      <c r="E12" s="158"/>
      <c r="F12" s="157"/>
    </row>
    <row r="13" spans="1:8" s="3" customFormat="1" ht="26.25" x14ac:dyDescent="0.4">
      <c r="C13" s="156"/>
      <c r="D13" s="163" t="s">
        <v>35</v>
      </c>
      <c r="E13" s="164"/>
      <c r="F13" s="157"/>
    </row>
    <row r="14" spans="1:8" s="3" customFormat="1" ht="25.5" x14ac:dyDescent="0.35">
      <c r="C14" s="156"/>
      <c r="D14" s="103"/>
      <c r="E14" s="104"/>
      <c r="F14" s="157"/>
    </row>
    <row r="15" spans="1:8" s="3" customFormat="1" ht="26.25" x14ac:dyDescent="0.4">
      <c r="C15" s="156"/>
      <c r="D15" s="163" t="s">
        <v>36</v>
      </c>
      <c r="E15" s="166" t="s">
        <v>37</v>
      </c>
      <c r="F15" s="157"/>
    </row>
    <row r="16" spans="1:8" s="3" customFormat="1" ht="26.25" x14ac:dyDescent="0.4">
      <c r="C16" s="156"/>
      <c r="D16" s="163"/>
      <c r="E16" s="166" t="s">
        <v>38</v>
      </c>
      <c r="F16" s="157"/>
    </row>
    <row r="17" spans="3:6" s="3" customFormat="1" ht="26.25" x14ac:dyDescent="0.4">
      <c r="C17" s="156"/>
      <c r="D17" s="163"/>
      <c r="E17" s="166" t="s">
        <v>39</v>
      </c>
      <c r="F17" s="157"/>
    </row>
    <row r="18" spans="3:6" s="3" customFormat="1" ht="26.25" x14ac:dyDescent="0.4">
      <c r="C18" s="156"/>
      <c r="D18" s="163"/>
      <c r="E18" s="166" t="s">
        <v>40</v>
      </c>
      <c r="F18" s="157"/>
    </row>
    <row r="19" spans="3:6" s="3" customFormat="1" ht="26.25" x14ac:dyDescent="0.4">
      <c r="C19" s="156"/>
      <c r="D19" s="163"/>
      <c r="E19" s="166" t="s">
        <v>41</v>
      </c>
      <c r="F19" s="157"/>
    </row>
    <row r="20" spans="3:6" s="3" customFormat="1" ht="25.5" customHeight="1" x14ac:dyDescent="0.35">
      <c r="C20" s="105"/>
      <c r="D20" s="103"/>
      <c r="E20" s="104"/>
      <c r="F20" s="106"/>
    </row>
    <row r="21" spans="3:6" s="3" customFormat="1" ht="25.5" customHeight="1" x14ac:dyDescent="0.4">
      <c r="C21" s="156"/>
      <c r="D21" s="163" t="s">
        <v>42</v>
      </c>
      <c r="E21" s="166" t="s">
        <v>43</v>
      </c>
      <c r="F21" s="157"/>
    </row>
    <row r="22" spans="3:6" s="3" customFormat="1" ht="25.5" customHeight="1" x14ac:dyDescent="0.4">
      <c r="C22" s="156"/>
      <c r="D22" s="163" t="s">
        <v>44</v>
      </c>
      <c r="E22" s="166" t="s">
        <v>45</v>
      </c>
      <c r="F22" s="157"/>
    </row>
    <row r="23" spans="3:6" s="3" customFormat="1" ht="25.5" customHeight="1" x14ac:dyDescent="0.4">
      <c r="C23" s="156"/>
      <c r="D23" s="163"/>
      <c r="E23" s="166" t="s">
        <v>46</v>
      </c>
      <c r="F23" s="157"/>
    </row>
    <row r="24" spans="3:6" s="3" customFormat="1" ht="25.5" customHeight="1" x14ac:dyDescent="0.4">
      <c r="C24" s="156"/>
      <c r="D24" s="163"/>
      <c r="E24" s="166" t="s">
        <v>47</v>
      </c>
      <c r="F24" s="157"/>
    </row>
    <row r="25" spans="3:6" s="3" customFormat="1" ht="25.5" x14ac:dyDescent="0.35">
      <c r="C25" s="105"/>
      <c r="D25" s="103"/>
      <c r="E25" s="104"/>
      <c r="F25" s="106"/>
    </row>
    <row r="26" spans="3:6" s="3" customFormat="1" ht="26.25" x14ac:dyDescent="0.4">
      <c r="C26" s="156"/>
      <c r="D26" s="163" t="s">
        <v>48</v>
      </c>
      <c r="E26" s="166" t="s">
        <v>49</v>
      </c>
      <c r="F26" s="157"/>
    </row>
    <row r="27" spans="3:6" s="3" customFormat="1" ht="25.5" x14ac:dyDescent="0.35">
      <c r="C27" s="105"/>
      <c r="D27" s="103"/>
      <c r="E27" s="104"/>
      <c r="F27" s="106"/>
    </row>
    <row r="28" spans="3:6" s="3" customFormat="1" ht="26.25" x14ac:dyDescent="0.4">
      <c r="C28" s="105"/>
      <c r="D28" s="163" t="s">
        <v>50</v>
      </c>
      <c r="E28" s="165"/>
      <c r="F28" s="106"/>
    </row>
    <row r="29" spans="3:6" s="3" customFormat="1" ht="25.5" x14ac:dyDescent="0.35">
      <c r="C29" s="105"/>
      <c r="D29" s="103"/>
      <c r="E29" s="104"/>
      <c r="F29" s="106"/>
    </row>
    <row r="30" spans="3:6" s="3" customFormat="1" ht="26.25" x14ac:dyDescent="0.4">
      <c r="C30" s="156"/>
      <c r="D30" s="163" t="s">
        <v>51</v>
      </c>
      <c r="E30" s="164"/>
      <c r="F30" s="157"/>
    </row>
    <row r="31" spans="3:6" s="3" customFormat="1" ht="26.25" thickBot="1" x14ac:dyDescent="0.4">
      <c r="C31" s="159"/>
      <c r="D31" s="160"/>
      <c r="E31" s="161"/>
      <c r="F31" s="162"/>
    </row>
    <row r="32" spans="3:6" s="3" customFormat="1" x14ac:dyDescent="0.2">
      <c r="C32" s="2"/>
      <c r="D32" s="2"/>
      <c r="E32" s="2"/>
      <c r="F32" s="2"/>
    </row>
    <row r="33" spans="2:6" s="3" customFormat="1" x14ac:dyDescent="0.35">
      <c r="B33" s="2"/>
      <c r="C33" s="2"/>
      <c r="D33" s="1"/>
      <c r="E33" s="1"/>
      <c r="F33" s="2"/>
    </row>
    <row r="34" spans="2:6" s="3" customFormat="1" x14ac:dyDescent="0.35">
      <c r="B34" s="2"/>
      <c r="C34" s="2"/>
      <c r="D34" s="1"/>
      <c r="E34" s="2"/>
    </row>
    <row r="35" spans="2:6" s="3" customFormat="1" x14ac:dyDescent="0.35">
      <c r="B35" s="2"/>
      <c r="C35" s="2"/>
      <c r="D35" s="1"/>
      <c r="E35" s="1"/>
      <c r="F35" s="2"/>
    </row>
    <row r="36" spans="2:6" s="3" customFormat="1" x14ac:dyDescent="0.35">
      <c r="B36" s="2"/>
      <c r="C36" s="2"/>
      <c r="D36" s="1"/>
      <c r="E36" s="1"/>
      <c r="F36" s="2"/>
    </row>
    <row r="37" spans="2:6" s="3" customFormat="1" x14ac:dyDescent="0.35">
      <c r="B37" s="2"/>
      <c r="C37" s="2"/>
      <c r="D37" s="1"/>
      <c r="E37" s="1"/>
      <c r="F37" s="2"/>
    </row>
    <row r="38" spans="2:6" s="3" customFormat="1" x14ac:dyDescent="0.35">
      <c r="B38" s="2"/>
      <c r="C38" s="2"/>
      <c r="D38" s="1"/>
      <c r="E38" s="1"/>
      <c r="F38" s="2"/>
    </row>
    <row r="39" spans="2:6" s="3" customFormat="1" x14ac:dyDescent="0.35">
      <c r="B39" s="2"/>
      <c r="C39" s="2"/>
      <c r="D39" s="1"/>
      <c r="E39" s="1"/>
      <c r="F39" s="2"/>
    </row>
    <row r="40" spans="2:6" s="3" customFormat="1" x14ac:dyDescent="0.35">
      <c r="B40" s="2"/>
      <c r="C40" s="2"/>
      <c r="D40" s="1"/>
      <c r="E40" s="1"/>
      <c r="F40" s="2"/>
    </row>
    <row r="41" spans="2:6" s="3" customFormat="1" x14ac:dyDescent="0.35">
      <c r="B41" s="2"/>
      <c r="C41" s="2"/>
      <c r="D41" s="1"/>
      <c r="E41" s="1"/>
      <c r="F41" s="2"/>
    </row>
    <row r="42" spans="2:6" s="3" customFormat="1" x14ac:dyDescent="0.35">
      <c r="B42" s="2"/>
      <c r="C42" s="2"/>
      <c r="D42" s="1"/>
      <c r="E42" s="1"/>
      <c r="F42" s="2"/>
    </row>
    <row r="43" spans="2:6" s="3" customFormat="1" x14ac:dyDescent="0.35">
      <c r="B43" s="2"/>
      <c r="C43" s="2"/>
      <c r="D43" s="1"/>
      <c r="E43" s="1"/>
      <c r="F43" s="2"/>
    </row>
    <row r="44" spans="2:6" s="3" customFormat="1" x14ac:dyDescent="0.35">
      <c r="B44" s="2"/>
      <c r="C44" s="2"/>
      <c r="D44" s="1"/>
      <c r="E44" s="1"/>
      <c r="F44" s="2"/>
    </row>
    <row r="45" spans="2:6" s="3" customFormat="1" x14ac:dyDescent="0.35">
      <c r="B45" s="2"/>
      <c r="C45" s="2"/>
      <c r="D45" s="1"/>
      <c r="E45" s="1"/>
      <c r="F45" s="2"/>
    </row>
    <row r="46" spans="2:6" s="3" customFormat="1" x14ac:dyDescent="0.35">
      <c r="B46" s="2"/>
      <c r="C46" s="2"/>
      <c r="D46" s="1"/>
      <c r="E46" s="1"/>
      <c r="F46" s="2"/>
    </row>
    <row r="47" spans="2:6" s="3" customFormat="1" x14ac:dyDescent="0.35">
      <c r="B47" s="2"/>
      <c r="C47" s="1"/>
      <c r="D47" s="1"/>
      <c r="E47" s="1"/>
      <c r="F47" s="1"/>
    </row>
    <row r="48" spans="2:6" s="3" customFormat="1" x14ac:dyDescent="0.35">
      <c r="B48" s="2"/>
      <c r="C48" s="1"/>
      <c r="D48" s="1"/>
      <c r="E48" s="1"/>
      <c r="F48" s="1"/>
    </row>
    <row r="49" spans="2:6" s="3" customFormat="1" x14ac:dyDescent="0.35">
      <c r="B49" s="2"/>
      <c r="C49" s="1"/>
      <c r="D49" s="1"/>
      <c r="E49" s="1"/>
      <c r="F49" s="1"/>
    </row>
    <row r="50" spans="2:6" s="3" customFormat="1" x14ac:dyDescent="0.35">
      <c r="B50" s="2"/>
      <c r="C50" s="1"/>
      <c r="D50" s="1"/>
      <c r="E50" s="1"/>
      <c r="F50" s="1"/>
    </row>
  </sheetData>
  <sheetProtection sheet="1" objects="1" scenarios="1"/>
  <mergeCells count="1">
    <mergeCell ref="D7:E7"/>
  </mergeCells>
  <phoneticPr fontId="33" type="noConversion"/>
  <hyperlinks>
    <hyperlink ref="D13" location="'1. Pipeline information'!A1" display="1. PIPELINE INFORMATION" xr:uid="{A0064B38-EA5D-4FDE-941E-7A9116EA0972}"/>
    <hyperlink ref="E26" location="'4.1 Pipelines capex'!A1" display="4.1 Pipelines capex" xr:uid="{8EFC25D8-2CC1-4685-8A87-5888B6EC654D}"/>
    <hyperlink ref="D28" location="'5. Historical demand'!A1" display="5. Historical demand" xr:uid="{CEFCC412-7CF1-41E4-8D8F-E74B2B356724}"/>
    <hyperlink ref="D30" location="'6. Pricing template'!A1" display="6. PRICING TEMPLATE" xr:uid="{6F7BA62B-2BAC-4AF2-B730-65E23B4C9BEA}"/>
    <hyperlink ref="D15" location="'2. Revenue and expenses'!A1" display="2. REVENUE AND EXPENSES" xr:uid="{20E78B47-AB88-45A7-A5B3-52DCE090F8E4}"/>
    <hyperlink ref="E9" location="'Financial summary'!A1" display="Financial summary" xr:uid="{1B2E15EF-2C08-4570-B04E-11F7163B834B}"/>
    <hyperlink ref="E10" location="'Data visualisation'!A1" display="Data visualisation" xr:uid="{2F072A19-56B7-4C7C-ABDF-917CE6AF8067}"/>
    <hyperlink ref="E11" location="'Pricing benchmarks summary'!A1" display="Pricing benchmarks summary" xr:uid="{13EA51B2-D3B4-43C8-B872-B5D65131BA63}"/>
    <hyperlink ref="E15" location="'2.1 Profit &amp; Loss by component'!A1" display="2.1 Profit &amp; Loss by component" xr:uid="{C46B164F-84E5-4BEC-9612-4046AAFD1F32}"/>
    <hyperlink ref="E17" location="'2.3 Revenue contributions '!A1" display="2.3 Revenue contributions " xr:uid="{52C71311-620C-4F28-A0CE-292BBD0C33C0}"/>
    <hyperlink ref="E18" location="'2.4 Indirect revenue'!A1" display="2.4 Indirect revenue" xr:uid="{7E2DA6F7-D414-4858-AB81-2850E94AD220}"/>
    <hyperlink ref="E19" location="'2.5 Shared expenses'!A1" display="2.5 Shared expenses" xr:uid="{9408B455-4226-4288-8331-22C94AA0E440}"/>
    <hyperlink ref="D26" location="'4. Recovered Capital'!A1" display="4. ASSET - RECOVERED CAPITAL METHOD (RCM)" xr:uid="{05F201D8-1BF8-4D8F-AB13-AEDCE2795C74}"/>
    <hyperlink ref="D21" location="'3.1 Depreciated Book Value'!Print_Area" display="3.1 ASSET VALUE - DEPRICIATED BOOK VALUE METHOD (DBVM)" xr:uid="{8D503E90-42E3-4429-BD33-2DFF9691DDDA}"/>
    <hyperlink ref="D22" location="'3.2 Regulatory Asset Base'!Print_Area" display="3.2 ASSET VALUE - REGULATORY ASSET BASE (RAB)" xr:uid="{2C292C3B-AEF2-4D03-B170-9532764CF988}"/>
    <hyperlink ref="E21" location="'3.3 Asset useful life'!Print_Area" display="3.3 Asset useful life" xr:uid="{8A1353EB-BA55-4E12-B051-B0DEC3C15D5D}"/>
    <hyperlink ref="E22" location="'3.4 Asset impairment'!Print_Area" display="3.4 Asset impairment" xr:uid="{44BC79A9-1EE6-4293-841D-397176E4B3DE}"/>
    <hyperlink ref="E23" location="'3.5 Depreciation amortisation'!Print_Area" display="3.5 Depreciation amortisation" xr:uid="{986ED7F3-A38F-495F-BCFC-B8F57DE5E8D2}"/>
    <hyperlink ref="E24" location="'3.6 Shared supporting assets'!Print_Area" display="3.6 Shared supporting assets" xr:uid="{1FEA28C2-25B5-46E7-8178-D150A67CC577}"/>
    <hyperlink ref="E16" location="'2.2 Allocation to services'!Print_Area" display="2.2 Allocation to pipeline services" xr:uid="{0EFF4E22-B5DF-40B3-BAC2-EC8454E7109D}"/>
  </hyperlinks>
  <pageMargins left="0.25" right="0.25" top="0.75" bottom="0.75" header="0.3" footer="0.3"/>
  <pageSetup paperSize="9" scale="10" orientation="portrait" r:id="rId1"/>
  <headerFooter alignWithMargins="0">
    <oddFooter>&amp;L&amp;D&amp;C&amp; Template: &amp;A
&amp;F&amp;R&amp;P o&amp;Of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6D05E-CFB5-496A-B54D-BD6C5763DFCE}">
  <sheetPr codeName="Sheet4">
    <tabColor rgb="FF17415D"/>
  </sheetPr>
  <dimension ref="A1:G48"/>
  <sheetViews>
    <sheetView showGridLines="0" zoomScaleNormal="100" workbookViewId="0">
      <pane xSplit="1" ySplit="6" topLeftCell="B7" activePane="bottomRight" state="frozen"/>
      <selection activeCell="G47" sqref="G47"/>
      <selection pane="topRight" activeCell="G47" sqref="G47"/>
      <selection pane="bottomLeft" activeCell="G47" sqref="G47"/>
      <selection pane="bottomRight"/>
    </sheetView>
  </sheetViews>
  <sheetFormatPr defaultRowHeight="12.75" x14ac:dyDescent="0.2"/>
  <cols>
    <col min="1" max="1" width="11.85546875" customWidth="1"/>
    <col min="2" max="2" width="69.28515625" customWidth="1"/>
    <col min="3" max="3" width="38.85546875" customWidth="1"/>
    <col min="4" max="4" width="40.140625" customWidth="1"/>
    <col min="5" max="5" width="55" customWidth="1"/>
    <col min="6" max="6" width="39.7109375" customWidth="1"/>
    <col min="7" max="7" width="38.42578125" customWidth="1"/>
    <col min="8" max="8" width="37.140625" customWidth="1"/>
  </cols>
  <sheetData>
    <row r="1" spans="1:7" ht="20.25" x14ac:dyDescent="0.2">
      <c r="A1" s="4"/>
      <c r="B1" s="146" t="s">
        <v>52</v>
      </c>
      <c r="C1" s="146"/>
    </row>
    <row r="2" spans="1:7" ht="20.25" customHeight="1" x14ac:dyDescent="0.2">
      <c r="A2" s="4"/>
      <c r="B2" s="146" t="str">
        <f>IF(Tradingname=0," ",Tradingname)</f>
        <v>APT Pipelines (QLD) Pty Limited</v>
      </c>
      <c r="C2" s="146"/>
    </row>
    <row r="3" spans="1:7" ht="20.25" x14ac:dyDescent="0.3">
      <c r="B3" s="146" t="s">
        <v>29</v>
      </c>
      <c r="C3" s="110">
        <f>IF(Yearending=0, "01/01/2000", Yearending)</f>
        <v>45838</v>
      </c>
    </row>
    <row r="4" spans="1:7" ht="20.25" x14ac:dyDescent="0.2">
      <c r="B4" s="102" t="s">
        <v>32</v>
      </c>
      <c r="C4" s="102"/>
      <c r="F4" s="15"/>
      <c r="G4" s="15"/>
    </row>
    <row r="5" spans="1:7" x14ac:dyDescent="0.2">
      <c r="C5" s="15"/>
    </row>
    <row r="6" spans="1:7" ht="15.75" x14ac:dyDescent="0.25">
      <c r="B6" s="117" t="s">
        <v>53</v>
      </c>
      <c r="C6" s="116"/>
    </row>
    <row r="9" spans="1:7" x14ac:dyDescent="0.2">
      <c r="B9" s="32" t="s">
        <v>54</v>
      </c>
      <c r="C9" s="32" t="s">
        <v>55</v>
      </c>
    </row>
    <row r="10" spans="1:7" x14ac:dyDescent="0.2">
      <c r="B10" s="130" t="s">
        <v>56</v>
      </c>
      <c r="C10" s="132">
        <f>'2.1 Profit &amp; Loss by component'!$F$18</f>
        <v>62022245.225255191</v>
      </c>
    </row>
    <row r="11" spans="1:7" x14ac:dyDescent="0.2">
      <c r="B11" s="130" t="s">
        <v>57</v>
      </c>
      <c r="C11" s="132">
        <f>'2.1 Profit &amp; Loss by component'!$F$21</f>
        <v>0</v>
      </c>
    </row>
    <row r="12" spans="1:7" x14ac:dyDescent="0.2">
      <c r="B12" s="131" t="s">
        <v>58</v>
      </c>
      <c r="C12" s="132">
        <f>'2.1 Profit &amp; Loss by component'!$F$22</f>
        <v>62022245.225255191</v>
      </c>
    </row>
    <row r="13" spans="1:7" x14ac:dyDescent="0.2">
      <c r="B13" s="30" t="s">
        <v>59</v>
      </c>
      <c r="C13" s="132">
        <f>'2.1 Profit &amp; Loss by component'!$F$32</f>
        <v>23159494.511045869</v>
      </c>
    </row>
    <row r="14" spans="1:7" x14ac:dyDescent="0.2">
      <c r="B14" s="31" t="s">
        <v>60</v>
      </c>
      <c r="C14" s="132">
        <f>'2.1 Profit &amp; Loss by component'!$F$43</f>
        <v>8464370.6513699125</v>
      </c>
    </row>
    <row r="15" spans="1:7" x14ac:dyDescent="0.2">
      <c r="B15" s="131" t="s">
        <v>61</v>
      </c>
      <c r="C15" s="132">
        <f>'2.1 Profit &amp; Loss by component'!$F$44</f>
        <v>31623865.16241578</v>
      </c>
    </row>
    <row r="16" spans="1:7" x14ac:dyDescent="0.2">
      <c r="B16" s="131" t="s">
        <v>62</v>
      </c>
      <c r="C16" s="132">
        <f>'2.1 Profit &amp; Loss by component'!$F$45</f>
        <v>30398380.062839411</v>
      </c>
    </row>
    <row r="17" spans="2:5" x14ac:dyDescent="0.2">
      <c r="B17" s="17"/>
      <c r="C17" s="17"/>
      <c r="D17" s="17"/>
      <c r="E17" s="17"/>
    </row>
    <row r="19" spans="2:5" x14ac:dyDescent="0.2">
      <c r="B19" s="32" t="s">
        <v>63</v>
      </c>
      <c r="C19" s="32" t="s">
        <v>64</v>
      </c>
    </row>
    <row r="20" spans="2:5" ht="15.75" x14ac:dyDescent="0.2">
      <c r="B20" s="93" t="s">
        <v>65</v>
      </c>
      <c r="C20" s="18">
        <f>'3.1 Depreciated Book Value'!$D$125</f>
        <v>70640993.326623127</v>
      </c>
    </row>
    <row r="21" spans="2:5" ht="15.75" x14ac:dyDescent="0.2">
      <c r="B21" s="93" t="s">
        <v>66</v>
      </c>
      <c r="C21" s="94">
        <f>IFERROR(C16/C20,0)</f>
        <v>0.43032209247520437</v>
      </c>
    </row>
    <row r="22" spans="2:5" x14ac:dyDescent="0.2">
      <c r="B22" s="32" t="s">
        <v>67</v>
      </c>
      <c r="C22" s="32" t="s">
        <v>64</v>
      </c>
    </row>
    <row r="23" spans="2:5" ht="15.75" x14ac:dyDescent="0.2">
      <c r="B23" s="93" t="s">
        <v>65</v>
      </c>
      <c r="C23" s="18">
        <f>'3.2 Regulatory Asset Base'!$H$95</f>
        <v>0</v>
      </c>
    </row>
    <row r="24" spans="2:5" ht="15.75" x14ac:dyDescent="0.2">
      <c r="B24" s="93" t="s">
        <v>66</v>
      </c>
      <c r="C24" s="94">
        <f>IFERROR(C16/C23,0)</f>
        <v>0</v>
      </c>
    </row>
    <row r="25" spans="2:5" x14ac:dyDescent="0.2">
      <c r="B25" s="32" t="s">
        <v>68</v>
      </c>
      <c r="C25" s="32" t="s">
        <v>64</v>
      </c>
    </row>
    <row r="26" spans="2:5" ht="15.75" x14ac:dyDescent="0.2">
      <c r="B26" s="93" t="s">
        <v>69</v>
      </c>
      <c r="C26" s="132">
        <f>'4. Recovered Capital'!$E$29</f>
        <v>0</v>
      </c>
    </row>
    <row r="27" spans="2:5" ht="15.75" x14ac:dyDescent="0.2">
      <c r="B27" s="93" t="s">
        <v>66</v>
      </c>
      <c r="C27" s="94">
        <f>IFERROR(C16/INDEX('4. Recovered Capital'!$F$12:$BH$39,27,MATCH(VALUE(RIGHT(TEXT(C3,"dd/mm/yyyy"),4)),'4. Recovered Capital'!$F$12:$BH$12,0)),0)</f>
        <v>0</v>
      </c>
    </row>
    <row r="41" ht="27" customHeight="1" x14ac:dyDescent="0.2"/>
    <row r="48" ht="31.7" customHeight="1" x14ac:dyDescent="0.2"/>
  </sheetData>
  <sheetProtection sheet="1" objects="1" scenarios="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F166B-6BE9-4EA8-B5AB-A6B7FBD35A1D}">
  <sheetPr codeName="Sheet19">
    <tabColor rgb="FF17415D"/>
  </sheetPr>
  <dimension ref="A1:G42"/>
  <sheetViews>
    <sheetView showGridLines="0" zoomScale="97" zoomScaleNormal="55" workbookViewId="0">
      <pane xSplit="1" ySplit="6" topLeftCell="B7" activePane="bottomRight" state="frozen"/>
      <selection activeCell="G47" sqref="G47"/>
      <selection pane="topRight" activeCell="G47" sqref="G47"/>
      <selection pane="bottomLeft" activeCell="G47" sqref="G47"/>
      <selection pane="bottomRight"/>
    </sheetView>
  </sheetViews>
  <sheetFormatPr defaultRowHeight="12.75" x14ac:dyDescent="0.2"/>
  <cols>
    <col min="1" max="1" width="11.85546875" customWidth="1"/>
    <col min="2" max="2" width="60.140625" customWidth="1"/>
    <col min="3" max="3" width="38.85546875" customWidth="1"/>
    <col min="4" max="4" width="40.140625" customWidth="1"/>
    <col min="5" max="5" width="55" customWidth="1"/>
    <col min="6" max="6" width="39.7109375" customWidth="1"/>
    <col min="7" max="7" width="38.42578125" customWidth="1"/>
    <col min="8" max="8" width="37.140625" customWidth="1"/>
  </cols>
  <sheetData>
    <row r="1" spans="1:7" ht="20.25" x14ac:dyDescent="0.2">
      <c r="A1" s="4"/>
      <c r="B1" s="146" t="s">
        <v>52</v>
      </c>
      <c r="C1" s="146"/>
    </row>
    <row r="2" spans="1:7" ht="20.25" customHeight="1" x14ac:dyDescent="0.2">
      <c r="A2" s="4"/>
      <c r="B2" s="146" t="str">
        <f>IF(Tradingname=0," ",Tradingname)</f>
        <v>APT Pipelines (QLD) Pty Limited</v>
      </c>
      <c r="C2" s="146"/>
    </row>
    <row r="3" spans="1:7" ht="20.25" x14ac:dyDescent="0.3">
      <c r="B3" s="146" t="s">
        <v>29</v>
      </c>
      <c r="C3" s="110">
        <f>IF(Yearending=0, "01/01/2000", Yearending)</f>
        <v>45838</v>
      </c>
    </row>
    <row r="4" spans="1:7" ht="20.25" x14ac:dyDescent="0.2">
      <c r="B4" s="102" t="s">
        <v>34</v>
      </c>
      <c r="C4" s="102"/>
      <c r="F4" s="15"/>
      <c r="G4" s="15"/>
    </row>
    <row r="5" spans="1:7" x14ac:dyDescent="0.2">
      <c r="C5" s="15"/>
    </row>
    <row r="6" spans="1:7" ht="15.75" x14ac:dyDescent="0.25">
      <c r="B6" s="117" t="s">
        <v>53</v>
      </c>
      <c r="C6" s="116"/>
    </row>
    <row r="9" spans="1:7" x14ac:dyDescent="0.2">
      <c r="B9" s="32" t="s">
        <v>72</v>
      </c>
      <c r="C9" s="433" t="s">
        <v>73</v>
      </c>
      <c r="D9" s="434"/>
      <c r="E9" s="435" t="s">
        <v>74</v>
      </c>
    </row>
    <row r="10" spans="1:7" x14ac:dyDescent="0.2">
      <c r="B10" s="123"/>
      <c r="C10" s="120" t="s">
        <v>75</v>
      </c>
      <c r="D10" s="120" t="s">
        <v>76</v>
      </c>
      <c r="E10" s="436"/>
    </row>
    <row r="11" spans="1:7" x14ac:dyDescent="0.2">
      <c r="B11" s="123" t="s">
        <v>77</v>
      </c>
      <c r="C11" s="149">
        <f>IFERROR('6. Pricing template'!$G37,)</f>
        <v>0.54714131538045063</v>
      </c>
      <c r="D11" s="149">
        <f>IFERROR('6. Pricing template'!$G38,)</f>
        <v>0.90228968305707236</v>
      </c>
      <c r="E11" s="150" t="s">
        <v>78</v>
      </c>
    </row>
    <row r="12" spans="1:7" ht="12.75" customHeight="1" x14ac:dyDescent="0.2">
      <c r="B12" s="123" t="s">
        <v>79</v>
      </c>
      <c r="C12" s="149">
        <f>IFERROR('6. Pricing template'!$G39,)</f>
        <v>0</v>
      </c>
      <c r="D12" s="149">
        <f>IFERROR('6. Pricing template'!$G40,)</f>
        <v>0</v>
      </c>
      <c r="E12" s="150" t="s">
        <v>78</v>
      </c>
    </row>
    <row r="13" spans="1:7" x14ac:dyDescent="0.2">
      <c r="B13" s="123" t="s">
        <v>80</v>
      </c>
      <c r="C13" s="149">
        <f>IFERROR('6. Pricing template'!$G41,)</f>
        <v>0</v>
      </c>
      <c r="D13" s="149">
        <f>IFERROR('6. Pricing template'!$G42,)</f>
        <v>0</v>
      </c>
      <c r="E13" s="150" t="s">
        <v>78</v>
      </c>
    </row>
    <row r="14" spans="1:7" x14ac:dyDescent="0.2">
      <c r="B14" s="123" t="s">
        <v>81</v>
      </c>
      <c r="C14" s="149">
        <f>IFERROR('6. Pricing template'!$G43,)</f>
        <v>0</v>
      </c>
      <c r="D14" s="149">
        <f>IFERROR('6. Pricing template'!$G44,)</f>
        <v>0</v>
      </c>
      <c r="E14" s="150" t="s">
        <v>78</v>
      </c>
    </row>
    <row r="15" spans="1:7" x14ac:dyDescent="0.2">
      <c r="B15" s="204" t="s">
        <v>82</v>
      </c>
      <c r="C15" s="149">
        <f>IFERROR('6. Pricing template'!$G45,)</f>
        <v>0</v>
      </c>
      <c r="D15" s="149">
        <f>IFERROR('6. Pricing template'!$G46,)</f>
        <v>0</v>
      </c>
      <c r="E15" s="150" t="s">
        <v>78</v>
      </c>
    </row>
    <row r="16" spans="1:7" ht="12.75" customHeight="1" x14ac:dyDescent="0.2">
      <c r="B16" s="123" t="s">
        <v>83</v>
      </c>
      <c r="C16" s="149">
        <f>IFERROR('6. Pricing template'!$G47,)</f>
        <v>0</v>
      </c>
      <c r="D16" s="149">
        <f>IFERROR('6. Pricing template'!$G48,)</f>
        <v>0</v>
      </c>
      <c r="E16" s="150" t="s">
        <v>78</v>
      </c>
    </row>
    <row r="17" spans="2:5" x14ac:dyDescent="0.2">
      <c r="B17" s="123" t="s">
        <v>84</v>
      </c>
      <c r="C17" s="149">
        <f>IFERROR('6. Pricing template'!$G49,)</f>
        <v>0</v>
      </c>
      <c r="D17" s="149">
        <f>IFERROR('6. Pricing template'!$G50,)</f>
        <v>0</v>
      </c>
      <c r="E17" s="150" t="s">
        <v>78</v>
      </c>
    </row>
    <row r="18" spans="2:5" x14ac:dyDescent="0.2">
      <c r="B18" s="123" t="s">
        <v>85</v>
      </c>
      <c r="C18" s="149">
        <f>IFERROR('6. Pricing template'!$G51,)</f>
        <v>0</v>
      </c>
      <c r="D18" s="149">
        <f>IFERROR('6. Pricing template'!$G52,)</f>
        <v>0</v>
      </c>
      <c r="E18" s="150" t="s">
        <v>86</v>
      </c>
    </row>
    <row r="19" spans="2:5" x14ac:dyDescent="0.2">
      <c r="B19" s="123" t="s">
        <v>87</v>
      </c>
      <c r="C19" s="149">
        <f>IFERROR('6. Pricing template'!$G53,)</f>
        <v>0</v>
      </c>
      <c r="D19" s="149">
        <f>IFERROR('6. Pricing template'!$G54,)</f>
        <v>0</v>
      </c>
      <c r="E19" s="150" t="s">
        <v>88</v>
      </c>
    </row>
    <row r="20" spans="2:5" x14ac:dyDescent="0.2">
      <c r="B20" s="123" t="s">
        <v>89</v>
      </c>
      <c r="C20" s="149">
        <f>IFERROR('6. Pricing template'!$G55,)</f>
        <v>0.41391441294695608</v>
      </c>
      <c r="D20" s="149">
        <f>IFERROR('6. Pricing template'!$G56,)</f>
        <v>0.68258545639342372</v>
      </c>
      <c r="E20" s="150"/>
    </row>
    <row r="35" ht="27" customHeight="1" x14ac:dyDescent="0.2"/>
    <row r="42" ht="31.7" customHeight="1" x14ac:dyDescent="0.2"/>
  </sheetData>
  <sheetProtection sheet="1" objects="1" scenarios="1"/>
  <mergeCells count="2">
    <mergeCell ref="C9:D9"/>
    <mergeCell ref="E9:E10"/>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7BF01-357C-418A-983A-56FEFAD4EB9A}">
  <sheetPr codeName="Sheet18">
    <tabColor rgb="FF17415D"/>
  </sheetPr>
  <dimension ref="B1:E60"/>
  <sheetViews>
    <sheetView zoomScale="85" zoomScaleNormal="85" workbookViewId="0">
      <pane xSplit="1" ySplit="4" topLeftCell="B5" activePane="bottomRight" state="frozen"/>
      <selection activeCell="G47" sqref="G47"/>
      <selection pane="topRight" activeCell="G47" sqref="G47"/>
      <selection pane="bottomLeft" activeCell="G47" sqref="G47"/>
      <selection pane="bottomRight"/>
    </sheetView>
  </sheetViews>
  <sheetFormatPr defaultColWidth="9.140625" defaultRowHeight="12.75" x14ac:dyDescent="0.2"/>
  <cols>
    <col min="1" max="1" width="12.140625" style="215" customWidth="1"/>
    <col min="2" max="2" width="21" style="215" customWidth="1"/>
    <col min="3" max="5" width="42.28515625" style="215" customWidth="1"/>
    <col min="6" max="6" width="34.85546875" style="215" customWidth="1"/>
    <col min="7" max="7" width="44" style="215" customWidth="1"/>
    <col min="8" max="8" width="9.140625" style="215"/>
    <col min="9" max="9" width="70.85546875" style="215" customWidth="1"/>
    <col min="10" max="10" width="108.7109375" style="215" bestFit="1" customWidth="1"/>
    <col min="11" max="16384" width="9.140625" style="215"/>
  </cols>
  <sheetData>
    <row r="1" spans="2:5" ht="20.25" customHeight="1" x14ac:dyDescent="0.3">
      <c r="B1" s="146" t="s">
        <v>52</v>
      </c>
      <c r="C1" s="146"/>
      <c r="D1" s="214"/>
      <c r="E1" s="214"/>
    </row>
    <row r="2" spans="2:5" ht="20.25" x14ac:dyDescent="0.3">
      <c r="B2" s="146" t="str">
        <f>IF(Tradingname=0," ",Tradingname)</f>
        <v>APT Pipelines (QLD) Pty Limited</v>
      </c>
      <c r="C2" s="146"/>
      <c r="D2" s="216"/>
    </row>
    <row r="3" spans="2:5" ht="22.7" customHeight="1" x14ac:dyDescent="0.3">
      <c r="B3" s="146" t="s">
        <v>29</v>
      </c>
      <c r="C3" s="110">
        <f>IF(Yearending=0, "01/01/2000", Yearending)</f>
        <v>45838</v>
      </c>
    </row>
    <row r="4" spans="2:5" ht="20.25" x14ac:dyDescent="0.2">
      <c r="B4" s="102" t="s">
        <v>33</v>
      </c>
      <c r="C4" s="102"/>
    </row>
    <row r="7" spans="2:5" ht="15.75" x14ac:dyDescent="0.25">
      <c r="B7" s="217" t="s">
        <v>70</v>
      </c>
    </row>
    <row r="59" spans="2:5" ht="15.75" x14ac:dyDescent="0.25">
      <c r="B59" s="217" t="s">
        <v>71</v>
      </c>
      <c r="C59" s="218"/>
      <c r="D59" s="218"/>
      <c r="E59" s="218"/>
    </row>
    <row r="60" spans="2:5" ht="15.75" x14ac:dyDescent="0.25">
      <c r="B60" s="217"/>
      <c r="C60" s="218"/>
      <c r="D60" s="218"/>
      <c r="E60" s="218"/>
    </row>
  </sheetData>
  <sheetProtection sheet="1" objects="1" scenarios="1"/>
  <pageMargins left="0.75" right="0.75" top="1" bottom="1" header="0.5" footer="0.5"/>
  <pageSetup paperSize="9" scale="3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0C5D9-5891-45BC-AF49-2593C587E027}">
  <sheetPr codeName="Sheet5">
    <tabColor rgb="FF17415D"/>
  </sheetPr>
  <dimension ref="B1:H42"/>
  <sheetViews>
    <sheetView zoomScaleNormal="100" workbookViewId="0">
      <pane xSplit="1" ySplit="4" topLeftCell="B5" activePane="bottomRight" state="frozen"/>
      <selection activeCell="G47" sqref="G47"/>
      <selection pane="topRight" activeCell="G47" sqref="G47"/>
      <selection pane="bottomLeft" activeCell="G47" sqref="G47"/>
      <selection pane="bottomRight"/>
    </sheetView>
  </sheetViews>
  <sheetFormatPr defaultColWidth="9.140625" defaultRowHeight="12.75" x14ac:dyDescent="0.2"/>
  <cols>
    <col min="1" max="1" width="12" style="4" customWidth="1"/>
    <col min="2" max="2" width="42.7109375" style="4" customWidth="1"/>
    <col min="3" max="4" width="42.85546875" style="4" customWidth="1"/>
    <col min="5" max="5" width="10.85546875" style="4" customWidth="1"/>
    <col min="6" max="8" width="19.85546875" style="4" customWidth="1"/>
    <col min="9" max="9" width="18.28515625" style="4" customWidth="1"/>
    <col min="10" max="16384" width="9.140625" style="4"/>
  </cols>
  <sheetData>
    <row r="1" spans="2:8" ht="22.7" customHeight="1" x14ac:dyDescent="0.45">
      <c r="B1" s="146" t="s">
        <v>52</v>
      </c>
      <c r="C1" s="146"/>
      <c r="D1" s="247"/>
    </row>
    <row r="2" spans="2:8" ht="20.25" x14ac:dyDescent="0.2">
      <c r="B2" s="146" t="str">
        <f>IF(Tradingname=0," ",Tradingname)</f>
        <v>APT Pipelines (QLD) Pty Limited</v>
      </c>
      <c r="C2" s="146"/>
    </row>
    <row r="3" spans="2:8" ht="20.25" x14ac:dyDescent="0.3">
      <c r="B3" s="146" t="s">
        <v>29</v>
      </c>
      <c r="C3" s="110">
        <f>IF(Yearending=0, "01/01/2000", Yearending)</f>
        <v>45838</v>
      </c>
    </row>
    <row r="4" spans="2:8" ht="20.25" x14ac:dyDescent="0.2">
      <c r="B4" s="102" t="s">
        <v>90</v>
      </c>
      <c r="C4" s="102"/>
    </row>
    <row r="5" spans="2:8" ht="20.25" x14ac:dyDescent="0.3">
      <c r="B5" s="248"/>
    </row>
    <row r="6" spans="2:8" ht="20.25" x14ac:dyDescent="0.3">
      <c r="B6" s="248"/>
    </row>
    <row r="7" spans="2:8" ht="15.75" x14ac:dyDescent="0.25">
      <c r="B7" s="224" t="s">
        <v>91</v>
      </c>
    </row>
    <row r="8" spans="2:8" x14ac:dyDescent="0.2">
      <c r="B8" s="225"/>
      <c r="C8" s="226"/>
      <c r="D8" s="226"/>
      <c r="E8" s="249"/>
      <c r="F8" s="250"/>
      <c r="G8" s="251"/>
      <c r="H8" s="251"/>
    </row>
    <row r="9" spans="2:8" ht="13.7" customHeight="1" x14ac:dyDescent="0.2">
      <c r="B9" s="33" t="s">
        <v>92</v>
      </c>
      <c r="C9" s="133" t="s">
        <v>782</v>
      </c>
    </row>
    <row r="10" spans="2:8" ht="13.7" customHeight="1" x14ac:dyDescent="0.2">
      <c r="B10" s="33" t="s">
        <v>93</v>
      </c>
      <c r="C10" s="134">
        <v>840</v>
      </c>
    </row>
    <row r="11" spans="2:8" ht="13.7" customHeight="1" x14ac:dyDescent="0.2">
      <c r="B11" s="33" t="s">
        <v>94</v>
      </c>
      <c r="C11" s="80">
        <v>17</v>
      </c>
    </row>
    <row r="12" spans="2:8" ht="13.7" customHeight="1" x14ac:dyDescent="0.2">
      <c r="B12" s="33" t="s">
        <v>95</v>
      </c>
      <c r="C12" s="80" t="s">
        <v>775</v>
      </c>
    </row>
    <row r="13" spans="2:8" ht="25.5" customHeight="1" x14ac:dyDescent="0.2">
      <c r="B13" s="33" t="s">
        <v>96</v>
      </c>
      <c r="C13" s="373" t="s">
        <v>908</v>
      </c>
    </row>
    <row r="14" spans="2:8" ht="13.7" customHeight="1" x14ac:dyDescent="0.2">
      <c r="B14" s="33" t="s">
        <v>97</v>
      </c>
      <c r="C14" s="151">
        <v>35869</v>
      </c>
    </row>
    <row r="15" spans="2:8" ht="13.7" customHeight="1" x14ac:dyDescent="0.2">
      <c r="B15" s="33" t="str">
        <f>IF(Cover!C23="Scheme pipeline", "Date opening RAB established","")</f>
        <v/>
      </c>
      <c r="C15" s="151"/>
    </row>
    <row r="16" spans="2:8" ht="13.7" customHeight="1" x14ac:dyDescent="0.2">
      <c r="B16" s="33" t="str">
        <f>IF(Cover!C23="Scheme pipeline", "Open RAB value on date established","")</f>
        <v/>
      </c>
      <c r="C16" s="79"/>
    </row>
    <row r="18" spans="2:4" ht="15.75" x14ac:dyDescent="0.25">
      <c r="B18" s="224" t="s">
        <v>98</v>
      </c>
    </row>
    <row r="20" spans="2:4" ht="51" customHeight="1" x14ac:dyDescent="0.2">
      <c r="B20" s="147" t="s">
        <v>99</v>
      </c>
      <c r="C20" s="118" t="s">
        <v>100</v>
      </c>
      <c r="D20" s="118" t="s">
        <v>101</v>
      </c>
    </row>
    <row r="21" spans="2:4" ht="14.25" x14ac:dyDescent="0.2">
      <c r="B21" s="35" t="s">
        <v>102</v>
      </c>
      <c r="C21" s="252"/>
      <c r="D21" s="252"/>
    </row>
    <row r="22" spans="2:4" x14ac:dyDescent="0.2">
      <c r="B22" s="36" t="s">
        <v>77</v>
      </c>
      <c r="C22" s="75" t="s">
        <v>752</v>
      </c>
      <c r="D22" s="75" t="s">
        <v>752</v>
      </c>
    </row>
    <row r="23" spans="2:4" x14ac:dyDescent="0.2">
      <c r="B23" s="36" t="s">
        <v>103</v>
      </c>
      <c r="C23" s="75" t="s">
        <v>744</v>
      </c>
      <c r="D23" s="75" t="s">
        <v>744</v>
      </c>
    </row>
    <row r="24" spans="2:4" ht="25.5" x14ac:dyDescent="0.2">
      <c r="B24" s="36" t="s">
        <v>80</v>
      </c>
      <c r="C24" s="75" t="s">
        <v>752</v>
      </c>
      <c r="D24" s="75" t="s">
        <v>752</v>
      </c>
    </row>
    <row r="25" spans="2:4" ht="14.25" x14ac:dyDescent="0.2">
      <c r="B25" s="37" t="s">
        <v>104</v>
      </c>
      <c r="C25" s="252"/>
      <c r="D25" s="252"/>
    </row>
    <row r="26" spans="2:4" x14ac:dyDescent="0.2">
      <c r="B26" s="38" t="s">
        <v>81</v>
      </c>
      <c r="C26" s="75" t="s">
        <v>744</v>
      </c>
      <c r="D26" s="75" t="s">
        <v>744</v>
      </c>
    </row>
    <row r="27" spans="2:4" ht="25.5" x14ac:dyDescent="0.2">
      <c r="B27" s="39" t="s">
        <v>82</v>
      </c>
      <c r="C27" s="75" t="s">
        <v>744</v>
      </c>
      <c r="D27" s="75" t="s">
        <v>744</v>
      </c>
    </row>
    <row r="28" spans="2:4" ht="14.25" x14ac:dyDescent="0.2">
      <c r="B28" s="37" t="s">
        <v>105</v>
      </c>
      <c r="C28" s="252"/>
      <c r="D28" s="252"/>
    </row>
    <row r="29" spans="2:4" x14ac:dyDescent="0.2">
      <c r="B29" s="36" t="s">
        <v>106</v>
      </c>
      <c r="C29" s="75" t="s">
        <v>752</v>
      </c>
      <c r="D29" s="75" t="s">
        <v>752</v>
      </c>
    </row>
    <row r="30" spans="2:4" x14ac:dyDescent="0.2">
      <c r="B30" s="36" t="s">
        <v>84</v>
      </c>
      <c r="C30" s="75" t="s">
        <v>752</v>
      </c>
      <c r="D30" s="75" t="s">
        <v>752</v>
      </c>
    </row>
    <row r="31" spans="2:4" ht="14.25" x14ac:dyDescent="0.2">
      <c r="B31" s="35" t="s">
        <v>107</v>
      </c>
      <c r="C31" s="252"/>
      <c r="D31" s="252"/>
    </row>
    <row r="32" spans="2:4" x14ac:dyDescent="0.2">
      <c r="B32" s="36" t="s">
        <v>85</v>
      </c>
      <c r="C32" s="75" t="s">
        <v>752</v>
      </c>
      <c r="D32" s="75" t="s">
        <v>752</v>
      </c>
    </row>
    <row r="33" spans="2:4" x14ac:dyDescent="0.2">
      <c r="B33" s="36" t="s">
        <v>87</v>
      </c>
      <c r="C33" s="75" t="s">
        <v>752</v>
      </c>
      <c r="D33" s="75" t="s">
        <v>752</v>
      </c>
    </row>
    <row r="34" spans="2:4" ht="14.25" x14ac:dyDescent="0.2">
      <c r="B34" s="35" t="s">
        <v>108</v>
      </c>
      <c r="C34" s="252"/>
      <c r="D34" s="252"/>
    </row>
    <row r="35" spans="2:4" x14ac:dyDescent="0.2">
      <c r="B35" s="315" t="s">
        <v>776</v>
      </c>
      <c r="C35" s="316" t="s">
        <v>752</v>
      </c>
      <c r="D35" s="316" t="s">
        <v>744</v>
      </c>
    </row>
    <row r="36" spans="2:4" x14ac:dyDescent="0.2">
      <c r="B36" s="76" t="s">
        <v>109</v>
      </c>
      <c r="C36" s="74"/>
      <c r="D36" s="74"/>
    </row>
    <row r="37" spans="2:4" x14ac:dyDescent="0.2">
      <c r="B37" s="76" t="s">
        <v>109</v>
      </c>
      <c r="C37" s="74"/>
      <c r="D37" s="74"/>
    </row>
    <row r="38" spans="2:4" x14ac:dyDescent="0.2">
      <c r="B38" s="76" t="s">
        <v>109</v>
      </c>
      <c r="C38" s="74"/>
      <c r="D38" s="74"/>
    </row>
    <row r="39" spans="2:4" x14ac:dyDescent="0.2">
      <c r="B39" s="76" t="s">
        <v>109</v>
      </c>
      <c r="C39" s="74"/>
      <c r="D39" s="74"/>
    </row>
    <row r="40" spans="2:4" x14ac:dyDescent="0.2">
      <c r="B40" s="76" t="s">
        <v>109</v>
      </c>
      <c r="C40" s="74"/>
      <c r="D40" s="74"/>
    </row>
    <row r="41" spans="2:4" x14ac:dyDescent="0.2">
      <c r="B41" s="76" t="s">
        <v>109</v>
      </c>
      <c r="C41" s="74"/>
      <c r="D41" s="74"/>
    </row>
    <row r="42" spans="2:4" x14ac:dyDescent="0.2">
      <c r="B42" s="76" t="s">
        <v>109</v>
      </c>
      <c r="C42" s="74"/>
      <c r="D42" s="74"/>
    </row>
  </sheetData>
  <sheetProtection sheet="1" insertRows="0"/>
  <dataValidations count="2">
    <dataValidation type="list" allowBlank="1" showInputMessage="1" showErrorMessage="1" sqref="C12" xr:uid="{3891202F-41F0-47C1-9CF1-F9B06A7D54DC}">
      <formula1>"Distribution,Transmission"</formula1>
    </dataValidation>
    <dataValidation type="list" allowBlank="1" showInputMessage="1" showErrorMessage="1" sqref="C22:D24 C26:D27 C29:D30 C32:D33" xr:uid="{01B2D7B1-322B-476A-9500-A75E45FE0BCA}">
      <formula1>"Yes,No"</formula1>
    </dataValidation>
  </dataValidations>
  <pageMargins left="0.75" right="0.75" top="1" bottom="1" header="0.5" footer="0.5"/>
  <pageSetup paperSize="9" scale="59"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24410-7852-44AC-8B13-6149274C2724}">
  <sheetPr codeName="Sheet2">
    <tabColor rgb="FF17415D"/>
    <pageSetUpPr fitToPage="1"/>
  </sheetPr>
  <dimension ref="B1:G22"/>
  <sheetViews>
    <sheetView zoomScaleNormal="113" workbookViewId="0">
      <pane xSplit="1" ySplit="4" topLeftCell="B5" activePane="bottomRight" state="frozen"/>
      <selection activeCell="G47" sqref="G47"/>
      <selection pane="topRight" activeCell="G47" sqref="G47"/>
      <selection pane="bottomLeft" activeCell="G47" sqref="G47"/>
      <selection pane="bottomRight"/>
    </sheetView>
  </sheetViews>
  <sheetFormatPr defaultColWidth="9.140625" defaultRowHeight="12.75" x14ac:dyDescent="0.2"/>
  <cols>
    <col min="1" max="1" width="12" style="4" customWidth="1"/>
    <col min="2" max="2" width="19.28515625" style="4" customWidth="1"/>
    <col min="3" max="3" width="55.7109375" style="4" customWidth="1"/>
    <col min="4" max="4" width="30.7109375" style="4" customWidth="1"/>
    <col min="5" max="5" width="55.7109375" style="4" customWidth="1"/>
    <col min="6" max="7" width="30.7109375" style="4" customWidth="1"/>
    <col min="8" max="16384" width="9.140625" style="4"/>
  </cols>
  <sheetData>
    <row r="1" spans="2:7" ht="20.25" x14ac:dyDescent="0.3">
      <c r="B1" s="146" t="s">
        <v>52</v>
      </c>
      <c r="C1" s="146"/>
      <c r="D1" s="214"/>
      <c r="E1" s="214"/>
      <c r="F1" s="214"/>
      <c r="G1" s="214"/>
    </row>
    <row r="2" spans="2:7" ht="18" customHeight="1" x14ac:dyDescent="0.45">
      <c r="B2" s="146" t="str">
        <f>IF(Tradingname=0," ",Tradingname)</f>
        <v>APT Pipelines (QLD) Pty Limited</v>
      </c>
      <c r="C2" s="146"/>
      <c r="G2" s="247"/>
    </row>
    <row r="3" spans="2:7" ht="20.25" x14ac:dyDescent="0.3">
      <c r="B3" s="146" t="s">
        <v>29</v>
      </c>
      <c r="C3" s="110">
        <f>IF(Yearending=0, "01/01/2000", Yearending)</f>
        <v>45838</v>
      </c>
    </row>
    <row r="4" spans="2:7" ht="20.25" x14ac:dyDescent="0.2">
      <c r="B4" s="102" t="s">
        <v>110</v>
      </c>
      <c r="C4" s="102"/>
      <c r="E4" s="253"/>
    </row>
    <row r="7" spans="2:7" ht="15.75" x14ac:dyDescent="0.2">
      <c r="B7" s="254" t="s">
        <v>111</v>
      </c>
      <c r="C7" s="254"/>
      <c r="D7" s="201"/>
      <c r="E7" s="201"/>
      <c r="F7" s="201"/>
      <c r="G7" s="201"/>
    </row>
    <row r="8" spans="2:7" x14ac:dyDescent="0.2">
      <c r="B8" s="255"/>
      <c r="C8" s="256"/>
      <c r="D8" s="257"/>
      <c r="E8" s="201"/>
      <c r="F8" s="201"/>
      <c r="G8" s="201"/>
    </row>
    <row r="9" spans="2:7" ht="25.5" x14ac:dyDescent="0.2">
      <c r="B9" s="55" t="s">
        <v>112</v>
      </c>
      <c r="C9" s="258" t="s">
        <v>113</v>
      </c>
      <c r="D9" s="311" t="s">
        <v>55</v>
      </c>
      <c r="E9" s="258" t="s">
        <v>113</v>
      </c>
      <c r="F9" s="311" t="s">
        <v>55</v>
      </c>
      <c r="G9" s="55" t="s">
        <v>114</v>
      </c>
    </row>
    <row r="10" spans="2:7" x14ac:dyDescent="0.2">
      <c r="B10" s="259"/>
      <c r="C10" s="260"/>
      <c r="D10" s="122" t="s">
        <v>115</v>
      </c>
      <c r="E10" s="260"/>
      <c r="F10" s="122" t="s">
        <v>115</v>
      </c>
      <c r="G10" s="122" t="s">
        <v>115</v>
      </c>
    </row>
    <row r="11" spans="2:7" x14ac:dyDescent="0.2">
      <c r="B11" s="356" t="s">
        <v>900</v>
      </c>
      <c r="C11" s="262" t="s">
        <v>116</v>
      </c>
      <c r="D11" s="122"/>
      <c r="E11" s="262" t="s">
        <v>117</v>
      </c>
      <c r="F11" s="122"/>
      <c r="G11" s="122"/>
    </row>
    <row r="12" spans="2:7" x14ac:dyDescent="0.2">
      <c r="B12" s="261"/>
      <c r="C12" s="123" t="s">
        <v>77</v>
      </c>
      <c r="D12" s="303">
        <f>IF('2.2 Allocation to services'!G13+'2.2 Allocation to services'!G25+'2.2 Allocation to services'!G37=0, ,'2.2 Allocation to services'!G13+'2.2 Allocation to services'!G25+'2.2 Allocation to services'!G37)</f>
        <v>28960963.077496499</v>
      </c>
      <c r="E12" s="123" t="s">
        <v>77</v>
      </c>
      <c r="F12" s="303">
        <f>IF('2.2 Allocation to services'!G56+'2.2 Allocation to services'!G68+'2.2 Allocation to services'!G80=0, ,'2.2 Allocation to services'!G56+'2.2 Allocation to services'!G68+'2.2 Allocation to services'!G80)</f>
        <v>14766598.46818183</v>
      </c>
      <c r="G12" s="303">
        <f>D12-ABS(F12)</f>
        <v>14194364.609314669</v>
      </c>
    </row>
    <row r="13" spans="2:7" x14ac:dyDescent="0.2">
      <c r="B13" s="261"/>
      <c r="C13" s="123" t="s">
        <v>79</v>
      </c>
      <c r="D13" s="303">
        <f>IF('2.2 Allocation to services'!G14+'2.2 Allocation to services'!G26+'2.2 Allocation to services'!G38=0, ,'2.2 Allocation to services'!G14+'2.2 Allocation to services'!G26+'2.2 Allocation to services'!G38)</f>
        <v>0</v>
      </c>
      <c r="E13" s="123" t="s">
        <v>79</v>
      </c>
      <c r="F13" s="303">
        <f>IF('2.2 Allocation to services'!G57+'2.2 Allocation to services'!G69+'2.2 Allocation to services'!G81=0, ,'2.2 Allocation to services'!G57+'2.2 Allocation to services'!G69+'2.2 Allocation to services'!G81)</f>
        <v>0</v>
      </c>
      <c r="G13" s="303">
        <f t="shared" ref="G13:G22" si="0">D13-ABS(F13)</f>
        <v>0</v>
      </c>
    </row>
    <row r="14" spans="2:7" x14ac:dyDescent="0.2">
      <c r="B14" s="261"/>
      <c r="C14" s="123" t="s">
        <v>80</v>
      </c>
      <c r="D14" s="303">
        <f>IF('2.2 Allocation to services'!G15+'2.2 Allocation to services'!G27+'2.2 Allocation to services'!G39=0, ,'2.2 Allocation to services'!G15+'2.2 Allocation to services'!G27+'2.2 Allocation to services'!G39)</f>
        <v>18648865.11639471</v>
      </c>
      <c r="E14" s="123" t="s">
        <v>80</v>
      </c>
      <c r="F14" s="303">
        <f>IF('2.2 Allocation to services'!G58+'2.2 Allocation to services'!G70+'2.2 Allocation to services'!G82=0, ,'2.2 Allocation to services'!G58+'2.2 Allocation to services'!G70+'2.2 Allocation to services'!G82)</f>
        <v>9508672.1503078099</v>
      </c>
      <c r="G14" s="303">
        <f t="shared" si="0"/>
        <v>9140192.9660868999</v>
      </c>
    </row>
    <row r="15" spans="2:7" x14ac:dyDescent="0.2">
      <c r="B15" s="261"/>
      <c r="C15" s="123" t="s">
        <v>81</v>
      </c>
      <c r="D15" s="303">
        <f>IF('2.2 Allocation to services'!G16+'2.2 Allocation to services'!G28+'2.2 Allocation to services'!G40=0, ,'2.2 Allocation to services'!G16+'2.2 Allocation to services'!G28+'2.2 Allocation to services'!G40)</f>
        <v>0</v>
      </c>
      <c r="E15" s="123" t="s">
        <v>81</v>
      </c>
      <c r="F15" s="303">
        <f>IF('2.2 Allocation to services'!G59+'2.2 Allocation to services'!G71+'2.2 Allocation to services'!G83=0, ,'2.2 Allocation to services'!G59+'2.2 Allocation to services'!G71+'2.2 Allocation to services'!G83)</f>
        <v>0</v>
      </c>
      <c r="G15" s="303">
        <f t="shared" si="0"/>
        <v>0</v>
      </c>
    </row>
    <row r="16" spans="2:7" x14ac:dyDescent="0.2">
      <c r="B16" s="261"/>
      <c r="C16" s="204" t="s">
        <v>82</v>
      </c>
      <c r="D16" s="303">
        <f>IF('2.2 Allocation to services'!G17+'2.2 Allocation to services'!G29+'2.2 Allocation to services'!G41=0, ,'2.2 Allocation to services'!G17+'2.2 Allocation to services'!G29+'2.2 Allocation to services'!G41)</f>
        <v>0</v>
      </c>
      <c r="E16" s="204" t="s">
        <v>82</v>
      </c>
      <c r="F16" s="303">
        <f>IF('2.2 Allocation to services'!G60+'2.2 Allocation to services'!G72+'2.2 Allocation to services'!G84=0, ,'2.2 Allocation to services'!G60+'2.2 Allocation to services'!G72+'2.2 Allocation to services'!G84)</f>
        <v>0</v>
      </c>
      <c r="G16" s="303">
        <f t="shared" si="0"/>
        <v>0</v>
      </c>
    </row>
    <row r="17" spans="2:7" x14ac:dyDescent="0.2">
      <c r="B17" s="261"/>
      <c r="C17" s="123" t="s">
        <v>83</v>
      </c>
      <c r="D17" s="303">
        <f>IF('2.2 Allocation to services'!G18+'2.2 Allocation to services'!G30+'2.2 Allocation to services'!G42=0, ,'2.2 Allocation to services'!G18+'2.2 Allocation to services'!G30+'2.2 Allocation to services'!G42)</f>
        <v>0</v>
      </c>
      <c r="E17" s="123" t="s">
        <v>83</v>
      </c>
      <c r="F17" s="303">
        <f>IF('2.2 Allocation to services'!G61+'2.2 Allocation to services'!G73+'2.2 Allocation to services'!G85=0, ,'2.2 Allocation to services'!G61+'2.2 Allocation to services'!G73+'2.2 Allocation to services'!G85)</f>
        <v>0</v>
      </c>
      <c r="G17" s="303">
        <f t="shared" si="0"/>
        <v>0</v>
      </c>
    </row>
    <row r="18" spans="2:7" x14ac:dyDescent="0.2">
      <c r="B18" s="261"/>
      <c r="C18" s="123" t="s">
        <v>84</v>
      </c>
      <c r="D18" s="303">
        <f>IF('2.2 Allocation to services'!G19+'2.2 Allocation to services'!G31+'2.2 Allocation to services'!G43=0, ,'2.2 Allocation to services'!G19+'2.2 Allocation to services'!G31+'2.2 Allocation to services'!G43)</f>
        <v>483763.73579886917</v>
      </c>
      <c r="E18" s="123" t="s">
        <v>84</v>
      </c>
      <c r="F18" s="303">
        <f>IF('2.2 Allocation to services'!G62+'2.2 Allocation to services'!G74+'2.2 Allocation to services'!G86=0, ,'2.2 Allocation to services'!G62+'2.2 Allocation to services'!G74+'2.2 Allocation to services'!G86)</f>
        <v>246661.16319730543</v>
      </c>
      <c r="G18" s="303">
        <f t="shared" si="0"/>
        <v>237102.57260156373</v>
      </c>
    </row>
    <row r="19" spans="2:7" x14ac:dyDescent="0.2">
      <c r="B19" s="261"/>
      <c r="C19" s="123" t="s">
        <v>85</v>
      </c>
      <c r="D19" s="303">
        <f>IF('2.2 Allocation to services'!G20+'2.2 Allocation to services'!G32+'2.2 Allocation to services'!G44=0, ,'2.2 Allocation to services'!G20+'2.2 Allocation to services'!G32+'2.2 Allocation to services'!G44)</f>
        <v>63952.154683982946</v>
      </c>
      <c r="E19" s="123" t="s">
        <v>85</v>
      </c>
      <c r="F19" s="303">
        <f>IF('2.2 Allocation to services'!G63+'2.2 Allocation to services'!G75+'2.2 Allocation to services'!G87=0, ,'2.2 Allocation to services'!G63+'2.2 Allocation to services'!G75+'2.2 Allocation to services'!G87)</f>
        <v>32607.88623867352</v>
      </c>
      <c r="G19" s="303">
        <f t="shared" si="0"/>
        <v>31344.268445309426</v>
      </c>
    </row>
    <row r="20" spans="2:7" x14ac:dyDescent="0.2">
      <c r="B20" s="261"/>
      <c r="C20" s="123" t="s">
        <v>87</v>
      </c>
      <c r="D20" s="303">
        <f>IF('2.2 Allocation to services'!G21+'2.2 Allocation to services'!G33+'2.2 Allocation to services'!G45=0, ,'2.2 Allocation to services'!G21+'2.2 Allocation to services'!G33+'2.2 Allocation to services'!G45)</f>
        <v>73219.255451609788</v>
      </c>
      <c r="E20" s="123" t="s">
        <v>87</v>
      </c>
      <c r="F20" s="303">
        <f>IF('2.2 Allocation to services'!G64+'2.2 Allocation to services'!G76+'2.2 Allocation to services'!G88=0, ,'2.2 Allocation to services'!G64+'2.2 Allocation to services'!G76+'2.2 Allocation to services'!G88)</f>
        <v>37332.990014868607</v>
      </c>
      <c r="G20" s="303">
        <f t="shared" si="0"/>
        <v>35886.265436741181</v>
      </c>
    </row>
    <row r="21" spans="2:7" x14ac:dyDescent="0.2">
      <c r="B21" s="261"/>
      <c r="C21" s="123" t="s">
        <v>89</v>
      </c>
      <c r="D21" s="303">
        <f>IF('2.2 Allocation to services'!G22+'2.2 Allocation to services'!G34+'2.2 Allocation to services'!G46=0, ,'2.2 Allocation to services'!G22+'2.2 Allocation to services'!G34+'2.2 Allocation to services'!G46)</f>
        <v>13791481.885429524</v>
      </c>
      <c r="E21" s="123" t="s">
        <v>89</v>
      </c>
      <c r="F21" s="303">
        <f>IF('2.2 Allocation to services'!G65+'2.2 Allocation to services'!G77+'2.2 Allocation to services'!G89=0, ,'2.2 Allocation to services'!G65+'2.2 Allocation to services'!G77+'2.2 Allocation to services'!G89)</f>
        <v>7031992.5044752937</v>
      </c>
      <c r="G21" s="303">
        <f t="shared" si="0"/>
        <v>6759489.3809542302</v>
      </c>
    </row>
    <row r="22" spans="2:7" x14ac:dyDescent="0.2">
      <c r="B22" s="261"/>
      <c r="C22" s="263" t="s">
        <v>118</v>
      </c>
      <c r="D22" s="303">
        <f t="array" ref="D22">SUM(IF(ISNA(D12:D21),0,D12:D21))</f>
        <v>62022245.225255199</v>
      </c>
      <c r="E22" s="263" t="s">
        <v>119</v>
      </c>
      <c r="F22" s="303">
        <f t="array" ref="F22">SUM(IF(ISNA(F12:F21),0,F12:F21))</f>
        <v>31623865.16241578</v>
      </c>
      <c r="G22" s="303">
        <f t="shared" si="0"/>
        <v>30398380.062839419</v>
      </c>
    </row>
  </sheetData>
  <sheetProtection sheet="1"/>
  <phoneticPr fontId="33" type="noConversion"/>
  <conditionalFormatting sqref="D12:D22 F12:G22">
    <cfRule type="containsErrors" dxfId="83" priority="1" stopIfTrue="1">
      <formula>ISERROR(D12)</formula>
    </cfRule>
  </conditionalFormatting>
  <pageMargins left="0.75" right="0.75" top="1" bottom="1" header="0.5" footer="0.5"/>
  <pageSetup paperSize="9" scale="64" orientation="landscape" verticalDpi="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2770F-8D22-4861-8541-53A4A62D1066}">
  <sheetPr codeName="Sheet22">
    <tabColor rgb="FF17415D"/>
    <pageSetUpPr fitToPage="1"/>
  </sheetPr>
  <dimension ref="B1:I115"/>
  <sheetViews>
    <sheetView zoomScaleNormal="100" workbookViewId="0">
      <pane xSplit="1" ySplit="4" topLeftCell="B5" activePane="bottomRight" state="frozen"/>
      <selection activeCell="G47" sqref="G47"/>
      <selection pane="topRight" activeCell="G47" sqref="G47"/>
      <selection pane="bottomLeft" activeCell="G47" sqref="G47"/>
      <selection pane="bottomRight"/>
    </sheetView>
  </sheetViews>
  <sheetFormatPr defaultColWidth="9.140625" defaultRowHeight="12.75" x14ac:dyDescent="0.2"/>
  <cols>
    <col min="1" max="1" width="12" style="4" customWidth="1"/>
    <col min="2" max="2" width="18.42578125" style="4" customWidth="1"/>
    <col min="3" max="3" width="43" style="4" bestFit="1" customWidth="1"/>
    <col min="4" max="9" width="20.7109375" style="4" customWidth="1"/>
    <col min="10" max="16384" width="9.140625" style="4"/>
  </cols>
  <sheetData>
    <row r="1" spans="2:9" ht="20.25" x14ac:dyDescent="0.2">
      <c r="B1" s="146" t="s">
        <v>52</v>
      </c>
      <c r="C1" s="146"/>
    </row>
    <row r="2" spans="2:9" ht="20.25" customHeight="1" x14ac:dyDescent="0.2">
      <c r="B2" s="146" t="str">
        <f>IF(Tradingname=0," ",Tradingname)</f>
        <v>APT Pipelines (QLD) Pty Limited</v>
      </c>
      <c r="C2" s="146"/>
    </row>
    <row r="3" spans="2:9" ht="20.25" x14ac:dyDescent="0.3">
      <c r="B3" s="146" t="s">
        <v>29</v>
      </c>
      <c r="C3" s="110">
        <f>IF(Yearending=0, "01/01/2000", Yearending)</f>
        <v>45838</v>
      </c>
    </row>
    <row r="4" spans="2:9" ht="20.25" x14ac:dyDescent="0.2">
      <c r="B4" s="102" t="s">
        <v>120</v>
      </c>
      <c r="C4" s="102"/>
    </row>
    <row r="7" spans="2:9" ht="21" customHeight="1" x14ac:dyDescent="0.2">
      <c r="B7" s="254" t="s">
        <v>121</v>
      </c>
    </row>
    <row r="8" spans="2:9" x14ac:dyDescent="0.2">
      <c r="B8" s="225"/>
      <c r="C8" s="264"/>
    </row>
    <row r="9" spans="2:9" ht="21" customHeight="1" x14ac:dyDescent="0.2">
      <c r="B9" s="437" t="s">
        <v>122</v>
      </c>
      <c r="C9" s="438"/>
      <c r="D9" s="438"/>
      <c r="E9" s="438"/>
      <c r="F9" s="438"/>
      <c r="G9" s="439" t="s">
        <v>123</v>
      </c>
      <c r="H9" s="440"/>
      <c r="I9" s="440"/>
    </row>
    <row r="10" spans="2:9" ht="51" customHeight="1" x14ac:dyDescent="0.2">
      <c r="B10" s="40" t="s">
        <v>112</v>
      </c>
      <c r="C10" s="34" t="s">
        <v>113</v>
      </c>
      <c r="D10" s="311" t="s">
        <v>124</v>
      </c>
      <c r="E10" s="311" t="s">
        <v>125</v>
      </c>
      <c r="F10" s="41" t="s">
        <v>55</v>
      </c>
      <c r="G10" s="311" t="s">
        <v>124</v>
      </c>
      <c r="H10" s="311" t="s">
        <v>125</v>
      </c>
      <c r="I10" s="41" t="s">
        <v>55</v>
      </c>
    </row>
    <row r="11" spans="2:9" x14ac:dyDescent="0.2">
      <c r="B11" s="40"/>
      <c r="C11" s="34"/>
      <c r="D11" s="42" t="s">
        <v>115</v>
      </c>
      <c r="E11" s="42" t="s">
        <v>115</v>
      </c>
      <c r="F11" s="42" t="s">
        <v>115</v>
      </c>
      <c r="G11" s="42" t="s">
        <v>115</v>
      </c>
      <c r="H11" s="42" t="s">
        <v>115</v>
      </c>
      <c r="I11" s="42" t="s">
        <v>115</v>
      </c>
    </row>
    <row r="12" spans="2:9" x14ac:dyDescent="0.2">
      <c r="B12" s="357" t="s">
        <v>891</v>
      </c>
      <c r="C12" s="118" t="s">
        <v>126</v>
      </c>
      <c r="D12" s="42"/>
      <c r="E12" s="42"/>
      <c r="F12" s="42"/>
      <c r="G12" s="42"/>
      <c r="H12" s="42"/>
      <c r="I12" s="42"/>
    </row>
    <row r="13" spans="2:9" x14ac:dyDescent="0.2">
      <c r="B13" s="357" t="s">
        <v>891</v>
      </c>
      <c r="C13" s="127" t="s">
        <v>127</v>
      </c>
      <c r="D13" s="77">
        <v>57191560.038400009</v>
      </c>
      <c r="E13" s="77">
        <v>3216459.41</v>
      </c>
      <c r="F13" s="101">
        <f>SUM(D13:E13)</f>
        <v>60408019.448400006</v>
      </c>
      <c r="G13" s="77">
        <v>54103802.830000006</v>
      </c>
      <c r="H13" s="77">
        <v>5461336.9550000001</v>
      </c>
      <c r="I13" s="101">
        <f>SUM(G13:H13)</f>
        <v>59565139.785000004</v>
      </c>
    </row>
    <row r="14" spans="2:9" x14ac:dyDescent="0.2">
      <c r="B14" s="357" t="s">
        <v>891</v>
      </c>
      <c r="C14" s="127" t="s">
        <v>128</v>
      </c>
      <c r="D14" s="101">
        <f>'2.3 Revenue contributions '!C17</f>
        <v>0</v>
      </c>
      <c r="E14" s="101">
        <f>'2.3 Revenue contributions '!D17</f>
        <v>0</v>
      </c>
      <c r="F14" s="101">
        <f>SUM(D14:E14)</f>
        <v>0</v>
      </c>
      <c r="G14" s="77">
        <v>0</v>
      </c>
      <c r="H14" s="77"/>
      <c r="I14" s="101">
        <f>SUM(G14:H14)</f>
        <v>0</v>
      </c>
    </row>
    <row r="15" spans="2:9" x14ac:dyDescent="0.2">
      <c r="B15" s="357" t="s">
        <v>891</v>
      </c>
      <c r="C15" s="127" t="s">
        <v>129</v>
      </c>
      <c r="D15" s="101">
        <f>'2.3 Revenue contributions '!D29</f>
        <v>0</v>
      </c>
      <c r="E15" s="101"/>
      <c r="F15" s="101">
        <f>SUM(D15:E15)</f>
        <v>0</v>
      </c>
      <c r="G15" s="77">
        <v>0</v>
      </c>
      <c r="H15" s="101"/>
      <c r="I15" s="101">
        <f>SUM(G15:H15)</f>
        <v>0</v>
      </c>
    </row>
    <row r="16" spans="2:9" x14ac:dyDescent="0.2">
      <c r="B16" s="357" t="s">
        <v>891</v>
      </c>
      <c r="C16" s="127" t="s">
        <v>130</v>
      </c>
      <c r="D16" s="77">
        <v>180903.42685519074</v>
      </c>
      <c r="E16" s="77"/>
      <c r="F16" s="101">
        <f>SUM(D16:E16)</f>
        <v>180903.42685519074</v>
      </c>
      <c r="G16" s="77">
        <v>900.44249059818412</v>
      </c>
      <c r="H16" s="77"/>
      <c r="I16" s="101">
        <f>SUM(G16:H16)</f>
        <v>900.44249059818412</v>
      </c>
    </row>
    <row r="17" spans="2:9" x14ac:dyDescent="0.2">
      <c r="B17" s="357" t="s">
        <v>891</v>
      </c>
      <c r="C17" s="127" t="s">
        <v>131</v>
      </c>
      <c r="D17" s="77">
        <v>908536.60999999731</v>
      </c>
      <c r="E17" s="77">
        <v>524785.74</v>
      </c>
      <c r="F17" s="101">
        <f>SUM(D17:E17)</f>
        <v>1433322.3499999973</v>
      </c>
      <c r="G17" s="77">
        <v>919917.08999999973</v>
      </c>
      <c r="H17" s="77">
        <v>506492.15</v>
      </c>
      <c r="I17" s="101">
        <f>SUM(G17:H17)</f>
        <v>1426409.2399999998</v>
      </c>
    </row>
    <row r="18" spans="2:9" x14ac:dyDescent="0.2">
      <c r="B18" s="357"/>
      <c r="C18" s="128" t="s">
        <v>132</v>
      </c>
      <c r="D18" s="101">
        <f t="shared" ref="D18:I18" si="0">SUM(D13:D17)</f>
        <v>58281000.0752552</v>
      </c>
      <c r="E18" s="101">
        <f t="shared" si="0"/>
        <v>3741245.1500000004</v>
      </c>
      <c r="F18" s="101">
        <f t="shared" si="0"/>
        <v>62022245.225255191</v>
      </c>
      <c r="G18" s="101">
        <f t="shared" si="0"/>
        <v>55024620.362490602</v>
      </c>
      <c r="H18" s="101">
        <f t="shared" si="0"/>
        <v>5967829.1050000004</v>
      </c>
      <c r="I18" s="101">
        <f t="shared" si="0"/>
        <v>60992449.467490606</v>
      </c>
    </row>
    <row r="19" spans="2:9" x14ac:dyDescent="0.2">
      <c r="B19" s="357"/>
      <c r="C19" s="44" t="s">
        <v>133</v>
      </c>
      <c r="D19" s="42"/>
      <c r="E19" s="42"/>
      <c r="F19" s="42"/>
      <c r="G19" s="42"/>
      <c r="H19" s="42"/>
      <c r="I19" s="42"/>
    </row>
    <row r="20" spans="2:9" x14ac:dyDescent="0.2">
      <c r="B20" s="357"/>
      <c r="C20" s="127" t="s">
        <v>134</v>
      </c>
      <c r="D20" s="101">
        <f>'2.4 Indirect revenue'!G42</f>
        <v>0</v>
      </c>
      <c r="E20" s="101">
        <f>'2.4 Indirect revenue'!H42</f>
        <v>0</v>
      </c>
      <c r="F20" s="101">
        <f>SUM(D20:E20)</f>
        <v>0</v>
      </c>
      <c r="G20" s="77">
        <v>0</v>
      </c>
      <c r="H20" s="77"/>
      <c r="I20" s="101">
        <f>SUM(G20:H20)</f>
        <v>0</v>
      </c>
    </row>
    <row r="21" spans="2:9" x14ac:dyDescent="0.2">
      <c r="B21" s="357"/>
      <c r="C21" s="128" t="s">
        <v>135</v>
      </c>
      <c r="D21" s="101">
        <f t="shared" ref="D21:I21" si="1">SUM(D20)</f>
        <v>0</v>
      </c>
      <c r="E21" s="101">
        <f t="shared" si="1"/>
        <v>0</v>
      </c>
      <c r="F21" s="101">
        <f t="shared" si="1"/>
        <v>0</v>
      </c>
      <c r="G21" s="101">
        <f t="shared" si="1"/>
        <v>0</v>
      </c>
      <c r="H21" s="101">
        <f t="shared" si="1"/>
        <v>0</v>
      </c>
      <c r="I21" s="101">
        <f t="shared" si="1"/>
        <v>0</v>
      </c>
    </row>
    <row r="22" spans="2:9" x14ac:dyDescent="0.2">
      <c r="B22" s="357"/>
      <c r="C22" s="128" t="s">
        <v>136</v>
      </c>
      <c r="D22" s="101">
        <f>D18+D21</f>
        <v>58281000.0752552</v>
      </c>
      <c r="E22" s="101">
        <f>E21+E18</f>
        <v>3741245.1500000004</v>
      </c>
      <c r="F22" s="101">
        <f>F18+F21</f>
        <v>62022245.225255191</v>
      </c>
      <c r="G22" s="101">
        <f>G18+G21</f>
        <v>55024620.362490602</v>
      </c>
      <c r="H22" s="101">
        <f>H18+H21</f>
        <v>5967829.1050000004</v>
      </c>
      <c r="I22" s="101">
        <f>I18+I21</f>
        <v>60992449.467490606</v>
      </c>
    </row>
    <row r="23" spans="2:9" x14ac:dyDescent="0.2">
      <c r="B23" s="357"/>
      <c r="C23" s="44" t="s">
        <v>137</v>
      </c>
      <c r="D23" s="42"/>
      <c r="E23" s="42"/>
      <c r="F23" s="42"/>
      <c r="G23" s="42"/>
      <c r="H23" s="42"/>
      <c r="I23" s="42"/>
    </row>
    <row r="24" spans="2:9" x14ac:dyDescent="0.2">
      <c r="B24" s="357" t="s">
        <v>891</v>
      </c>
      <c r="C24" s="30" t="s">
        <v>138</v>
      </c>
      <c r="D24" s="77">
        <v>0</v>
      </c>
      <c r="E24" s="77">
        <v>0</v>
      </c>
      <c r="F24" s="101">
        <f t="shared" ref="F24:F31" si="2">SUM(D24:E24)</f>
        <v>0</v>
      </c>
      <c r="G24" s="77">
        <v>47793.783093175967</v>
      </c>
      <c r="H24" s="77">
        <v>3068.0369068240234</v>
      </c>
      <c r="I24" s="101">
        <f t="shared" ref="I24:I31" si="3">SUM(G24:H24)</f>
        <v>50861.819999999992</v>
      </c>
    </row>
    <row r="25" spans="2:9" x14ac:dyDescent="0.2">
      <c r="B25" s="357" t="s">
        <v>891</v>
      </c>
      <c r="C25" s="30" t="s">
        <v>139</v>
      </c>
      <c r="D25" s="77">
        <v>8359801.3968181089</v>
      </c>
      <c r="E25" s="77">
        <v>536642.58318189182</v>
      </c>
      <c r="F25" s="101">
        <f t="shared" si="2"/>
        <v>8896443.9800000004</v>
      </c>
      <c r="G25" s="77">
        <v>7662477.3210663078</v>
      </c>
      <c r="H25" s="77">
        <v>491879.10429484502</v>
      </c>
      <c r="I25" s="101">
        <f t="shared" si="3"/>
        <v>8154356.4253611527</v>
      </c>
    </row>
    <row r="26" spans="2:9" x14ac:dyDescent="0.2">
      <c r="B26" s="357" t="s">
        <v>891</v>
      </c>
      <c r="C26" s="30" t="s">
        <v>140</v>
      </c>
      <c r="D26" s="77">
        <v>4981691.7019289834</v>
      </c>
      <c r="E26" s="77">
        <v>319790.83911688434</v>
      </c>
      <c r="F26" s="101">
        <f t="shared" si="2"/>
        <v>5301482.5410458678</v>
      </c>
      <c r="G26" s="77">
        <v>6178298.2443575384</v>
      </c>
      <c r="H26" s="77">
        <v>396604.86800345877</v>
      </c>
      <c r="I26" s="101">
        <f t="shared" si="3"/>
        <v>6574903.1123609971</v>
      </c>
    </row>
    <row r="27" spans="2:9" x14ac:dyDescent="0.2">
      <c r="B27" s="357" t="s">
        <v>891</v>
      </c>
      <c r="C27" s="30" t="s">
        <v>141</v>
      </c>
      <c r="D27" s="77">
        <v>195944.36966647897</v>
      </c>
      <c r="E27" s="77">
        <v>12578.300333521032</v>
      </c>
      <c r="F27" s="101">
        <f t="shared" si="2"/>
        <v>208522.67</v>
      </c>
      <c r="G27" s="77">
        <v>187390.07725448741</v>
      </c>
      <c r="H27" s="77">
        <v>12029.172745512582</v>
      </c>
      <c r="I27" s="101">
        <f t="shared" si="3"/>
        <v>199419.25</v>
      </c>
    </row>
    <row r="28" spans="2:9" x14ac:dyDescent="0.2">
      <c r="B28" s="358" t="s">
        <v>891</v>
      </c>
      <c r="C28" s="30" t="s">
        <v>142</v>
      </c>
      <c r="D28" s="77">
        <v>339449.09879596374</v>
      </c>
      <c r="E28" s="77">
        <v>21790.331204036214</v>
      </c>
      <c r="F28" s="101">
        <f t="shared" si="2"/>
        <v>361239.42999999993</v>
      </c>
      <c r="G28" s="77">
        <v>448217.43865757628</v>
      </c>
      <c r="H28" s="77">
        <v>28772.521342423744</v>
      </c>
      <c r="I28" s="101">
        <f t="shared" si="3"/>
        <v>476989.96</v>
      </c>
    </row>
    <row r="29" spans="2:9" x14ac:dyDescent="0.2">
      <c r="B29" s="358" t="s">
        <v>891</v>
      </c>
      <c r="C29" s="30" t="s">
        <v>143</v>
      </c>
      <c r="D29" s="77">
        <v>0</v>
      </c>
      <c r="E29" s="77">
        <v>0</v>
      </c>
      <c r="F29" s="101">
        <f t="shared" si="2"/>
        <v>0</v>
      </c>
      <c r="G29" s="77">
        <v>0</v>
      </c>
      <c r="H29" s="77">
        <v>0</v>
      </c>
      <c r="I29" s="101">
        <f t="shared" si="3"/>
        <v>0</v>
      </c>
    </row>
    <row r="30" spans="2:9" x14ac:dyDescent="0.2">
      <c r="B30" s="358" t="s">
        <v>891</v>
      </c>
      <c r="C30" s="30" t="s">
        <v>144</v>
      </c>
      <c r="D30" s="77">
        <v>43424.72688623365</v>
      </c>
      <c r="E30" s="77">
        <v>2787.5731137663547</v>
      </c>
      <c r="F30" s="101">
        <f t="shared" si="2"/>
        <v>46212.3</v>
      </c>
      <c r="G30" s="77">
        <v>28262.113863295555</v>
      </c>
      <c r="H30" s="77">
        <v>1814.2361367044421</v>
      </c>
      <c r="I30" s="101">
        <f t="shared" si="3"/>
        <v>30076.35</v>
      </c>
    </row>
    <row r="31" spans="2:9" x14ac:dyDescent="0.2">
      <c r="B31" s="358" t="s">
        <v>891</v>
      </c>
      <c r="C31" s="45" t="s">
        <v>145</v>
      </c>
      <c r="D31" s="77">
        <v>7842178.8647016538</v>
      </c>
      <c r="E31" s="77">
        <v>503414.72529834765</v>
      </c>
      <c r="F31" s="101">
        <f t="shared" si="2"/>
        <v>8345593.5900000017</v>
      </c>
      <c r="G31" s="77">
        <v>29012171.783417083</v>
      </c>
      <c r="H31" s="77">
        <v>635181.12391122617</v>
      </c>
      <c r="I31" s="101">
        <f t="shared" si="3"/>
        <v>29647352.907328308</v>
      </c>
    </row>
    <row r="32" spans="2:9" x14ac:dyDescent="0.2">
      <c r="B32" s="358"/>
      <c r="C32" s="98" t="s">
        <v>146</v>
      </c>
      <c r="D32" s="101">
        <f t="shared" ref="D32:I32" si="4">SUM(D24:D31)</f>
        <v>21762490.158797424</v>
      </c>
      <c r="E32" s="101">
        <f t="shared" si="4"/>
        <v>1397004.3522484475</v>
      </c>
      <c r="F32" s="101">
        <f>SUM(F24:F31)</f>
        <v>23159494.511045869</v>
      </c>
      <c r="G32" s="101">
        <f t="shared" si="4"/>
        <v>43564610.761709467</v>
      </c>
      <c r="H32" s="101">
        <f t="shared" si="4"/>
        <v>1569349.0633409948</v>
      </c>
      <c r="I32" s="101">
        <f t="shared" si="4"/>
        <v>45133959.825050458</v>
      </c>
    </row>
    <row r="33" spans="2:9" x14ac:dyDescent="0.2">
      <c r="B33" s="358"/>
      <c r="C33" s="44" t="s">
        <v>147</v>
      </c>
      <c r="D33" s="42"/>
      <c r="E33" s="42"/>
      <c r="F33" s="119"/>
      <c r="G33" s="42"/>
      <c r="H33" s="42"/>
      <c r="I33" s="119"/>
    </row>
    <row r="34" spans="2:9" x14ac:dyDescent="0.2">
      <c r="B34" s="358"/>
      <c r="C34" s="30" t="s">
        <v>148</v>
      </c>
      <c r="D34" s="101">
        <f>SUMIF('2.5 Shared expenses'!$C$15:$C$35,$C34,'2.5 Shared expenses'!H$15:H$35)</f>
        <v>0</v>
      </c>
      <c r="E34" s="101">
        <f>SUMIF('2.5 Shared expenses'!$C$15:$C$35,$C34,'2.5 Shared expenses'!I$15:I$35)</f>
        <v>0</v>
      </c>
      <c r="F34" s="101">
        <f t="shared" ref="F34:F42" si="5">SUM(D34:E34)</f>
        <v>0</v>
      </c>
      <c r="G34" s="77">
        <v>0</v>
      </c>
      <c r="H34" s="77"/>
      <c r="I34" s="101">
        <f t="shared" ref="I34:I42" si="6">SUM(G34:H34)</f>
        <v>0</v>
      </c>
    </row>
    <row r="35" spans="2:9" x14ac:dyDescent="0.2">
      <c r="B35" s="358"/>
      <c r="C35" s="30" t="s">
        <v>149</v>
      </c>
      <c r="D35" s="101">
        <f>SUMIF('2.5 Shared expenses'!$C$15:$C$35,$C35,'2.5 Shared expenses'!H$15:H$35)</f>
        <v>0</v>
      </c>
      <c r="E35" s="101">
        <f>SUMIF('2.5 Shared expenses'!$C$15:$C$35,$C35,'2.5 Shared expenses'!I$15:I$35)</f>
        <v>0</v>
      </c>
      <c r="F35" s="101">
        <f t="shared" si="5"/>
        <v>0</v>
      </c>
      <c r="G35" s="77">
        <v>0</v>
      </c>
      <c r="H35" s="77"/>
      <c r="I35" s="101">
        <f t="shared" si="6"/>
        <v>0</v>
      </c>
    </row>
    <row r="36" spans="2:9" x14ac:dyDescent="0.2">
      <c r="B36" s="358"/>
      <c r="C36" s="43" t="s">
        <v>150</v>
      </c>
      <c r="D36" s="101">
        <f>SUMIF('2.5 Shared expenses'!$C$15:$C$35,$C36,'2.5 Shared expenses'!H$15:H$35)</f>
        <v>0</v>
      </c>
      <c r="E36" s="101">
        <f>SUMIF('2.5 Shared expenses'!$C$15:$C$35,$C36,'2.5 Shared expenses'!I$15:I$35)</f>
        <v>0</v>
      </c>
      <c r="F36" s="101">
        <f t="shared" si="5"/>
        <v>0</v>
      </c>
      <c r="G36" s="77">
        <v>0</v>
      </c>
      <c r="H36" s="77"/>
      <c r="I36" s="101">
        <f t="shared" si="6"/>
        <v>0</v>
      </c>
    </row>
    <row r="37" spans="2:9" x14ac:dyDescent="0.2">
      <c r="B37" s="358" t="s">
        <v>891</v>
      </c>
      <c r="C37" s="45" t="s">
        <v>151</v>
      </c>
      <c r="D37" s="101">
        <f>SUMIF('2.5 Shared expenses'!$C$15:$C$35,$C37,'2.5 Shared expenses'!H$15:H$35)</f>
        <v>1797279.0361339676</v>
      </c>
      <c r="E37" s="101">
        <f>SUMIF('2.5 Shared expenses'!$C$15:$C$35,$C37,'2.5 Shared expenses'!I$15:I$35)</f>
        <v>0</v>
      </c>
      <c r="F37" s="101">
        <f t="shared" si="5"/>
        <v>1797279.0361339676</v>
      </c>
      <c r="G37" s="77">
        <v>1360511.9585005539</v>
      </c>
      <c r="H37" s="77"/>
      <c r="I37" s="101">
        <f t="shared" si="6"/>
        <v>1360511.9585005539</v>
      </c>
    </row>
    <row r="38" spans="2:9" x14ac:dyDescent="0.2">
      <c r="B38" s="358"/>
      <c r="C38" s="45" t="s">
        <v>152</v>
      </c>
      <c r="D38" s="101">
        <f>SUMIF('2.5 Shared expenses'!$C$15:$C$35,$C38,'2.5 Shared expenses'!H$15:H$35)</f>
        <v>0</v>
      </c>
      <c r="E38" s="101">
        <f>SUMIF('2.5 Shared expenses'!$C$15:$C$35,$C38,'2.5 Shared expenses'!I$15:I$35)</f>
        <v>0</v>
      </c>
      <c r="F38" s="101">
        <f t="shared" si="5"/>
        <v>0</v>
      </c>
      <c r="G38" s="77">
        <v>0</v>
      </c>
      <c r="H38" s="77"/>
      <c r="I38" s="101">
        <f t="shared" si="6"/>
        <v>0</v>
      </c>
    </row>
    <row r="39" spans="2:9" x14ac:dyDescent="0.2">
      <c r="B39" s="358"/>
      <c r="C39" s="43" t="s">
        <v>153</v>
      </c>
      <c r="D39" s="101">
        <f>SUMIF('2.5 Shared expenses'!$C$15:$C$35,$C39,'2.5 Shared expenses'!H$15:H$35)</f>
        <v>0</v>
      </c>
      <c r="E39" s="101">
        <f>SUMIF('2.5 Shared expenses'!$C$15:$C$35,$C39,'2.5 Shared expenses'!I$15:I$35)</f>
        <v>0</v>
      </c>
      <c r="F39" s="101">
        <f t="shared" si="5"/>
        <v>0</v>
      </c>
      <c r="G39" s="77">
        <v>0</v>
      </c>
      <c r="H39" s="77"/>
      <c r="I39" s="101">
        <f t="shared" si="6"/>
        <v>0</v>
      </c>
    </row>
    <row r="40" spans="2:9" x14ac:dyDescent="0.2">
      <c r="B40" s="358"/>
      <c r="C40" s="43" t="s">
        <v>154</v>
      </c>
      <c r="D40" s="101">
        <f>SUMIF('2.5 Shared expenses'!$C$15:$C$35,$C40,'2.5 Shared expenses'!H$15:H$35)</f>
        <v>0</v>
      </c>
      <c r="E40" s="101">
        <f>SUMIF('2.5 Shared expenses'!$C$15:$C$35,$C40,'2.5 Shared expenses'!I$15:I$35)</f>
        <v>0</v>
      </c>
      <c r="F40" s="101">
        <f t="shared" si="5"/>
        <v>0</v>
      </c>
      <c r="G40" s="77">
        <v>0</v>
      </c>
      <c r="H40" s="77"/>
      <c r="I40" s="101">
        <f t="shared" si="6"/>
        <v>0</v>
      </c>
    </row>
    <row r="41" spans="2:9" x14ac:dyDescent="0.2">
      <c r="B41" s="358"/>
      <c r="C41" s="43" t="s">
        <v>155</v>
      </c>
      <c r="D41" s="101">
        <f>SUMIF('2.5 Shared expenses'!$C$15:$C$35,$C41,'2.5 Shared expenses'!H$15:H$35)</f>
        <v>0</v>
      </c>
      <c r="E41" s="101">
        <f>SUMIF('2.5 Shared expenses'!$C$15:$C$35,$C41,'2.5 Shared expenses'!I$15:I$35)</f>
        <v>0</v>
      </c>
      <c r="F41" s="101">
        <f t="shared" si="5"/>
        <v>0</v>
      </c>
      <c r="G41" s="77">
        <v>0</v>
      </c>
      <c r="H41" s="77"/>
      <c r="I41" s="101">
        <f t="shared" si="6"/>
        <v>0</v>
      </c>
    </row>
    <row r="42" spans="2:9" x14ac:dyDescent="0.2">
      <c r="B42" s="358" t="s">
        <v>891</v>
      </c>
      <c r="C42" s="45" t="s">
        <v>156</v>
      </c>
      <c r="D42" s="101">
        <f>SUMIF('2.5 Shared expenses'!$C$15:$C$35,$C42,'2.5 Shared expenses'!H$15:H$35)</f>
        <v>6667091.6152359443</v>
      </c>
      <c r="E42" s="101">
        <f>SUMIF('2.5 Shared expenses'!$C$15:$C$35,$C42,'2.5 Shared expenses'!I$15:I$35)</f>
        <v>0</v>
      </c>
      <c r="F42" s="101">
        <f t="shared" si="5"/>
        <v>6667091.6152359443</v>
      </c>
      <c r="G42" s="77">
        <v>7549609.5163760604</v>
      </c>
      <c r="H42" s="77"/>
      <c r="I42" s="101">
        <f t="shared" si="6"/>
        <v>7549609.5163760604</v>
      </c>
    </row>
    <row r="43" spans="2:9" x14ac:dyDescent="0.2">
      <c r="B43" s="358"/>
      <c r="C43" s="98" t="s">
        <v>157</v>
      </c>
      <c r="D43" s="101">
        <f t="shared" ref="D43:I43" si="7">SUM(D34:D42)</f>
        <v>8464370.6513699125</v>
      </c>
      <c r="E43" s="101">
        <f t="shared" si="7"/>
        <v>0</v>
      </c>
      <c r="F43" s="101">
        <f>SUM(F34:F42)</f>
        <v>8464370.6513699125</v>
      </c>
      <c r="G43" s="101">
        <f t="shared" si="7"/>
        <v>8910121.4748766143</v>
      </c>
      <c r="H43" s="101">
        <f t="shared" si="7"/>
        <v>0</v>
      </c>
      <c r="I43" s="101">
        <f t="shared" si="7"/>
        <v>8910121.4748766143</v>
      </c>
    </row>
    <row r="44" spans="2:9" x14ac:dyDescent="0.2">
      <c r="B44" s="290"/>
      <c r="C44" s="98" t="s">
        <v>158</v>
      </c>
      <c r="D44" s="22">
        <f t="shared" ref="D44:I44" si="8">D43+D32</f>
        <v>30226860.810167335</v>
      </c>
      <c r="E44" s="22">
        <f t="shared" si="8"/>
        <v>1397004.3522484475</v>
      </c>
      <c r="F44" s="22">
        <f t="shared" si="8"/>
        <v>31623865.16241578</v>
      </c>
      <c r="G44" s="22">
        <f t="shared" si="8"/>
        <v>52474732.236586079</v>
      </c>
      <c r="H44" s="22">
        <f t="shared" si="8"/>
        <v>1569349.0633409948</v>
      </c>
      <c r="I44" s="22">
        <f t="shared" si="8"/>
        <v>54044081.299927071</v>
      </c>
    </row>
    <row r="45" spans="2:9" x14ac:dyDescent="0.2">
      <c r="B45" s="290"/>
      <c r="C45" s="148" t="s">
        <v>62</v>
      </c>
      <c r="D45" s="22">
        <f t="shared" ref="D45:I45" si="9">D22-ABS(D44)</f>
        <v>28054139.265087865</v>
      </c>
      <c r="E45" s="22">
        <f t="shared" si="9"/>
        <v>2344240.7977515529</v>
      </c>
      <c r="F45" s="22">
        <f t="shared" si="9"/>
        <v>30398380.062839411</v>
      </c>
      <c r="G45" s="22">
        <f t="shared" si="9"/>
        <v>2549888.1259045228</v>
      </c>
      <c r="H45" s="22">
        <f t="shared" si="9"/>
        <v>4398480.0416590059</v>
      </c>
      <c r="I45" s="22">
        <f t="shared" si="9"/>
        <v>6948368.1675635353</v>
      </c>
    </row>
    <row r="73" spans="2:2" ht="22.7" customHeight="1" x14ac:dyDescent="0.2"/>
    <row r="77" spans="2:2" x14ac:dyDescent="0.2">
      <c r="B77" s="111"/>
    </row>
    <row r="85" spans="2:2" x14ac:dyDescent="0.2">
      <c r="B85" s="111"/>
    </row>
    <row r="92" spans="2:2" x14ac:dyDescent="0.2">
      <c r="B92" s="111"/>
    </row>
    <row r="115" ht="16.5" customHeight="1" x14ac:dyDescent="0.2"/>
  </sheetData>
  <sheetProtection sheet="1"/>
  <mergeCells count="2">
    <mergeCell ref="B9:F9"/>
    <mergeCell ref="G9:I9"/>
  </mergeCells>
  <pageMargins left="0.75" right="0.75" top="1" bottom="1" header="0.5" footer="0.5"/>
  <pageSetup paperSize="9" scale="64" orientation="landscape" verticalDpi="2" r:id="rId1"/>
  <headerFooter alignWithMargins="0"/>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72350-7A51-4170-BBFA-169FA908E6E9}">
  <sheetPr codeName="Sheet7">
    <tabColor rgb="FF17415D"/>
    <pageSetUpPr fitToPage="1"/>
  </sheetPr>
  <dimension ref="B1:M93"/>
  <sheetViews>
    <sheetView zoomScaleNormal="100" workbookViewId="0">
      <pane xSplit="1" ySplit="4" topLeftCell="B5" activePane="bottomRight" state="frozen"/>
      <selection activeCell="G47" sqref="G47"/>
      <selection pane="topRight" activeCell="G47" sqref="G47"/>
      <selection pane="bottomLeft" activeCell="G47" sqref="G47"/>
      <selection pane="bottomRight"/>
    </sheetView>
  </sheetViews>
  <sheetFormatPr defaultColWidth="9.140625" defaultRowHeight="12.75" x14ac:dyDescent="0.2"/>
  <cols>
    <col min="1" max="1" width="12" style="4" customWidth="1"/>
    <col min="2" max="2" width="18.42578125" style="4" customWidth="1"/>
    <col min="3" max="3" width="52.7109375" style="4" customWidth="1"/>
    <col min="4" max="11" width="20.7109375" style="4" customWidth="1"/>
    <col min="12" max="16384" width="9.140625" style="4"/>
  </cols>
  <sheetData>
    <row r="1" spans="2:13" ht="20.25" customHeight="1" x14ac:dyDescent="0.3">
      <c r="B1" s="146" t="s">
        <v>52</v>
      </c>
      <c r="C1" s="146"/>
      <c r="D1" s="214"/>
      <c r="E1" s="214"/>
      <c r="F1" s="214"/>
      <c r="G1" s="214"/>
      <c r="H1" s="214"/>
      <c r="I1" s="214"/>
    </row>
    <row r="2" spans="2:13" ht="20.25" customHeight="1" x14ac:dyDescent="0.45">
      <c r="B2" s="146" t="str">
        <f>IF(Tradingname=0," ",Tradingname)</f>
        <v>APT Pipelines (QLD) Pty Limited</v>
      </c>
      <c r="C2" s="146"/>
      <c r="I2" s="247"/>
    </row>
    <row r="3" spans="2:13" ht="20.25" customHeight="1" x14ac:dyDescent="0.3">
      <c r="B3" s="146" t="s">
        <v>29</v>
      </c>
      <c r="C3" s="110">
        <f>IF(Yearending=0, "01/01/2000", Yearending)</f>
        <v>45838</v>
      </c>
    </row>
    <row r="4" spans="2:13" ht="20.25" x14ac:dyDescent="0.2">
      <c r="B4" s="102" t="s">
        <v>159</v>
      </c>
      <c r="C4" s="102"/>
      <c r="D4" s="253"/>
      <c r="G4" s="253"/>
    </row>
    <row r="5" spans="2:13" x14ac:dyDescent="0.2">
      <c r="B5" s="201"/>
      <c r="C5" s="201"/>
      <c r="D5" s="201"/>
      <c r="E5" s="201"/>
      <c r="F5" s="201"/>
      <c r="G5" s="201"/>
      <c r="H5" s="201"/>
      <c r="I5" s="201"/>
      <c r="J5" s="201"/>
      <c r="K5" s="201"/>
      <c r="L5" s="201"/>
      <c r="M5" s="201"/>
    </row>
    <row r="6" spans="2:13" x14ac:dyDescent="0.2">
      <c r="B6" s="201"/>
      <c r="C6" s="201"/>
      <c r="D6" s="201"/>
      <c r="E6" s="201"/>
      <c r="F6" s="201"/>
      <c r="G6" s="201"/>
      <c r="H6" s="201"/>
      <c r="I6" s="201"/>
      <c r="J6" s="201"/>
      <c r="K6" s="201"/>
      <c r="L6" s="201"/>
      <c r="M6" s="201"/>
    </row>
    <row r="7" spans="2:13" ht="15.75" x14ac:dyDescent="0.2">
      <c r="B7" s="254" t="s">
        <v>160</v>
      </c>
      <c r="C7" s="201"/>
      <c r="D7" s="201"/>
      <c r="E7" s="201"/>
      <c r="F7" s="201"/>
      <c r="G7" s="201"/>
      <c r="H7" s="201"/>
      <c r="I7" s="201"/>
      <c r="J7" s="201"/>
      <c r="K7" s="201"/>
      <c r="L7" s="201"/>
      <c r="M7" s="201"/>
    </row>
    <row r="8" spans="2:13" x14ac:dyDescent="0.2">
      <c r="B8" s="255"/>
      <c r="C8" s="256"/>
      <c r="D8" s="257"/>
      <c r="E8" s="257"/>
      <c r="F8" s="257"/>
      <c r="G8" s="257"/>
      <c r="H8" s="257"/>
      <c r="I8" s="257"/>
      <c r="J8" s="257"/>
      <c r="K8" s="257"/>
      <c r="L8" s="201"/>
      <c r="M8" s="201"/>
    </row>
    <row r="9" spans="2:13" ht="21" customHeight="1" x14ac:dyDescent="0.2">
      <c r="B9" s="258"/>
      <c r="C9" s="258"/>
      <c r="D9" s="441" t="s">
        <v>161</v>
      </c>
      <c r="E9" s="442"/>
      <c r="F9" s="442"/>
      <c r="G9" s="443"/>
      <c r="H9" s="441" t="s">
        <v>123</v>
      </c>
      <c r="I9" s="442"/>
      <c r="J9" s="442"/>
      <c r="K9" s="443"/>
      <c r="L9" s="201"/>
      <c r="M9" s="201"/>
    </row>
    <row r="10" spans="2:13" ht="51" customHeight="1" x14ac:dyDescent="0.2">
      <c r="B10" s="55" t="s">
        <v>112</v>
      </c>
      <c r="C10" s="258" t="s">
        <v>113</v>
      </c>
      <c r="D10" s="311" t="s">
        <v>162</v>
      </c>
      <c r="E10" s="311" t="s">
        <v>124</v>
      </c>
      <c r="F10" s="311" t="s">
        <v>125</v>
      </c>
      <c r="G10" s="311" t="s">
        <v>55</v>
      </c>
      <c r="H10" s="311" t="s">
        <v>162</v>
      </c>
      <c r="I10" s="311" t="s">
        <v>124</v>
      </c>
      <c r="J10" s="311" t="s">
        <v>125</v>
      </c>
      <c r="K10" s="311" t="s">
        <v>55</v>
      </c>
      <c r="L10" s="201"/>
      <c r="M10" s="201"/>
    </row>
    <row r="11" spans="2:13" ht="15.75" customHeight="1" x14ac:dyDescent="0.2">
      <c r="B11" s="55"/>
      <c r="C11" s="258"/>
      <c r="D11" s="122" t="s">
        <v>163</v>
      </c>
      <c r="E11" s="122" t="s">
        <v>115</v>
      </c>
      <c r="F11" s="122" t="s">
        <v>115</v>
      </c>
      <c r="G11" s="122" t="s">
        <v>115</v>
      </c>
      <c r="H11" s="122" t="s">
        <v>163</v>
      </c>
      <c r="I11" s="122" t="s">
        <v>115</v>
      </c>
      <c r="J11" s="122" t="s">
        <v>115</v>
      </c>
      <c r="K11" s="122" t="s">
        <v>115</v>
      </c>
      <c r="L11" s="201"/>
      <c r="M11" s="201"/>
    </row>
    <row r="12" spans="2:13" x14ac:dyDescent="0.2">
      <c r="B12" s="198"/>
      <c r="C12" s="265" t="s">
        <v>164</v>
      </c>
      <c r="D12" s="122"/>
      <c r="E12" s="122"/>
      <c r="F12" s="122"/>
      <c r="G12" s="122"/>
      <c r="H12" s="122"/>
      <c r="I12" s="122"/>
      <c r="J12" s="122"/>
      <c r="K12" s="122"/>
      <c r="L12" s="201"/>
      <c r="M12" s="201"/>
    </row>
    <row r="13" spans="2:13" x14ac:dyDescent="0.2">
      <c r="B13" s="359" t="s">
        <v>892</v>
      </c>
      <c r="C13" s="123" t="s">
        <v>77</v>
      </c>
      <c r="D13" s="83">
        <v>0.46694477074015556</v>
      </c>
      <c r="E13" s="266">
        <f t="shared" ref="E13:E22" si="0">D13*$E$23</f>
        <v>27214008.218647029</v>
      </c>
      <c r="F13" s="266">
        <f t="shared" ref="F13:F22" si="1">D13*$F$23</f>
        <v>1746954.8588494691</v>
      </c>
      <c r="G13" s="124">
        <f t="shared" ref="G13:G22" si="2">SUM(E13:F13)</f>
        <v>28960963.077496499</v>
      </c>
      <c r="H13" s="83">
        <v>0.72847946080246073</v>
      </c>
      <c r="I13" s="266">
        <f t="shared" ref="I13:I22" si="3">H13*$I$23</f>
        <v>40084305.772527255</v>
      </c>
      <c r="J13" s="266">
        <f t="shared" ref="J13:J22" si="4">H13*$J$23</f>
        <v>4347440.9285716321</v>
      </c>
      <c r="K13" s="124">
        <f t="shared" ref="K13:K22" si="5">SUM(I13:J13)</f>
        <v>44431746.701098889</v>
      </c>
      <c r="L13" s="201"/>
      <c r="M13" s="267"/>
    </row>
    <row r="14" spans="2:13" x14ac:dyDescent="0.2">
      <c r="B14" s="359" t="s">
        <v>892</v>
      </c>
      <c r="C14" s="123" t="s">
        <v>79</v>
      </c>
      <c r="D14" s="83">
        <v>0</v>
      </c>
      <c r="E14" s="266">
        <f t="shared" si="0"/>
        <v>0</v>
      </c>
      <c r="F14" s="266">
        <f t="shared" si="1"/>
        <v>0</v>
      </c>
      <c r="G14" s="124">
        <f t="shared" si="2"/>
        <v>0</v>
      </c>
      <c r="H14" s="83">
        <v>0</v>
      </c>
      <c r="I14" s="266">
        <f t="shared" si="3"/>
        <v>0</v>
      </c>
      <c r="J14" s="266">
        <f t="shared" si="4"/>
        <v>0</v>
      </c>
      <c r="K14" s="124">
        <f t="shared" si="5"/>
        <v>0</v>
      </c>
      <c r="L14" s="201"/>
      <c r="M14" s="267"/>
    </row>
    <row r="15" spans="2:13" x14ac:dyDescent="0.2">
      <c r="B15" s="359" t="s">
        <v>892</v>
      </c>
      <c r="C15" s="123" t="s">
        <v>80</v>
      </c>
      <c r="D15" s="83">
        <v>0.30068026477701537</v>
      </c>
      <c r="E15" s="266">
        <f t="shared" si="0"/>
        <v>17523946.534096986</v>
      </c>
      <c r="F15" s="266">
        <f t="shared" si="1"/>
        <v>1124918.5822977247</v>
      </c>
      <c r="G15" s="124">
        <f t="shared" si="2"/>
        <v>18648865.11639471</v>
      </c>
      <c r="H15" s="83">
        <v>0.13128790347385905</v>
      </c>
      <c r="I15" s="266">
        <f t="shared" si="3"/>
        <v>7224067.0468364051</v>
      </c>
      <c r="J15" s="266">
        <f t="shared" si="4"/>
        <v>783503.7714857267</v>
      </c>
      <c r="K15" s="124">
        <f t="shared" si="5"/>
        <v>8007570.8183221314</v>
      </c>
      <c r="L15" s="201"/>
      <c r="M15" s="267"/>
    </row>
    <row r="16" spans="2:13" x14ac:dyDescent="0.2">
      <c r="B16" s="359" t="s">
        <v>892</v>
      </c>
      <c r="C16" s="123" t="s">
        <v>81</v>
      </c>
      <c r="D16" s="83">
        <v>0</v>
      </c>
      <c r="E16" s="266">
        <f t="shared" si="0"/>
        <v>0</v>
      </c>
      <c r="F16" s="266">
        <f t="shared" si="1"/>
        <v>0</v>
      </c>
      <c r="G16" s="124">
        <f t="shared" si="2"/>
        <v>0</v>
      </c>
      <c r="H16" s="83">
        <v>0</v>
      </c>
      <c r="I16" s="266">
        <f t="shared" si="3"/>
        <v>0</v>
      </c>
      <c r="J16" s="266">
        <f t="shared" si="4"/>
        <v>0</v>
      </c>
      <c r="K16" s="124">
        <f t="shared" si="5"/>
        <v>0</v>
      </c>
      <c r="L16" s="201"/>
      <c r="M16" s="267"/>
    </row>
    <row r="17" spans="2:13" x14ac:dyDescent="0.2">
      <c r="B17" s="359" t="s">
        <v>892</v>
      </c>
      <c r="C17" s="204" t="s">
        <v>82</v>
      </c>
      <c r="D17" s="83">
        <v>0</v>
      </c>
      <c r="E17" s="266">
        <f t="shared" si="0"/>
        <v>0</v>
      </c>
      <c r="F17" s="266">
        <f t="shared" si="1"/>
        <v>0</v>
      </c>
      <c r="G17" s="124">
        <f t="shared" si="2"/>
        <v>0</v>
      </c>
      <c r="H17" s="83">
        <v>0</v>
      </c>
      <c r="I17" s="266">
        <f t="shared" si="3"/>
        <v>0</v>
      </c>
      <c r="J17" s="266">
        <f t="shared" si="4"/>
        <v>0</v>
      </c>
      <c r="K17" s="124">
        <f t="shared" si="5"/>
        <v>0</v>
      </c>
      <c r="L17" s="201"/>
      <c r="M17" s="267"/>
    </row>
    <row r="18" spans="2:13" x14ac:dyDescent="0.2">
      <c r="B18" s="359" t="s">
        <v>892</v>
      </c>
      <c r="C18" s="123" t="s">
        <v>83</v>
      </c>
      <c r="D18" s="83">
        <v>0</v>
      </c>
      <c r="E18" s="266">
        <f t="shared" si="0"/>
        <v>0</v>
      </c>
      <c r="F18" s="266">
        <f t="shared" si="1"/>
        <v>0</v>
      </c>
      <c r="G18" s="124">
        <f t="shared" si="2"/>
        <v>0</v>
      </c>
      <c r="H18" s="83">
        <v>0</v>
      </c>
      <c r="I18" s="266">
        <f t="shared" si="3"/>
        <v>0</v>
      </c>
      <c r="J18" s="266">
        <f t="shared" si="4"/>
        <v>0</v>
      </c>
      <c r="K18" s="124">
        <f t="shared" si="5"/>
        <v>0</v>
      </c>
      <c r="L18" s="201"/>
      <c r="M18" s="267"/>
    </row>
    <row r="19" spans="2:13" x14ac:dyDescent="0.2">
      <c r="B19" s="359" t="s">
        <v>892</v>
      </c>
      <c r="C19" s="123" t="s">
        <v>84</v>
      </c>
      <c r="D19" s="83">
        <v>7.7998423636860305E-3</v>
      </c>
      <c r="E19" s="266">
        <f t="shared" si="0"/>
        <v>454582.61338496424</v>
      </c>
      <c r="F19" s="266">
        <f t="shared" si="1"/>
        <v>29181.122413904901</v>
      </c>
      <c r="G19" s="124">
        <f t="shared" si="2"/>
        <v>483763.73579886917</v>
      </c>
      <c r="H19" s="83">
        <v>8.1720291727172337E-3</v>
      </c>
      <c r="I19" s="266">
        <f t="shared" si="3"/>
        <v>449662.80281996395</v>
      </c>
      <c r="J19" s="266">
        <f t="shared" si="4"/>
        <v>48769.273543850984</v>
      </c>
      <c r="K19" s="124">
        <f t="shared" si="5"/>
        <v>498432.07636381494</v>
      </c>
      <c r="L19" s="201"/>
      <c r="M19" s="267"/>
    </row>
    <row r="20" spans="2:13" x14ac:dyDescent="0.2">
      <c r="B20" s="359" t="s">
        <v>892</v>
      </c>
      <c r="C20" s="123" t="s">
        <v>85</v>
      </c>
      <c r="D20" s="83">
        <v>1.0311164075360157E-3</v>
      </c>
      <c r="E20" s="266">
        <f t="shared" si="0"/>
        <v>60094.4954252034</v>
      </c>
      <c r="F20" s="266">
        <f t="shared" si="1"/>
        <v>3857.6592587795426</v>
      </c>
      <c r="G20" s="124">
        <f t="shared" si="2"/>
        <v>63952.154683982946</v>
      </c>
      <c r="H20" s="83">
        <v>3.8646094146826651E-3</v>
      </c>
      <c r="I20" s="266">
        <f t="shared" si="3"/>
        <v>212648.66589222066</v>
      </c>
      <c r="J20" s="266">
        <f t="shared" si="4"/>
        <v>23063.328544400225</v>
      </c>
      <c r="K20" s="124">
        <f t="shared" si="5"/>
        <v>235711.99443662088</v>
      </c>
      <c r="L20" s="201"/>
      <c r="M20" s="267"/>
    </row>
    <row r="21" spans="2:13" x14ac:dyDescent="0.2">
      <c r="B21" s="359" t="s">
        <v>892</v>
      </c>
      <c r="C21" s="123" t="s">
        <v>87</v>
      </c>
      <c r="D21" s="83">
        <v>1.1805321652850324E-3</v>
      </c>
      <c r="E21" s="266">
        <f t="shared" si="0"/>
        <v>68802.59521381816</v>
      </c>
      <c r="F21" s="266">
        <f t="shared" si="1"/>
        <v>4416.6602377916261</v>
      </c>
      <c r="G21" s="124">
        <f t="shared" si="2"/>
        <v>73219.255451609788</v>
      </c>
      <c r="H21" s="83">
        <v>8.2581137520283579E-4</v>
      </c>
      <c r="I21" s="266">
        <f t="shared" si="3"/>
        <v>45439.957411562325</v>
      </c>
      <c r="J21" s="266">
        <f t="shared" si="4"/>
        <v>4928.3011601755588</v>
      </c>
      <c r="K21" s="124">
        <f t="shared" si="5"/>
        <v>50368.258571737882</v>
      </c>
      <c r="L21" s="201"/>
      <c r="M21" s="267"/>
    </row>
    <row r="22" spans="2:13" x14ac:dyDescent="0.2">
      <c r="B22" s="359" t="s">
        <v>892</v>
      </c>
      <c r="C22" s="123" t="s">
        <v>89</v>
      </c>
      <c r="D22" s="83">
        <v>0.22236347354632191</v>
      </c>
      <c r="E22" s="266">
        <f t="shared" si="0"/>
        <v>12959565.618487194</v>
      </c>
      <c r="F22" s="266">
        <f t="shared" si="1"/>
        <v>831916.26694233029</v>
      </c>
      <c r="G22" s="124">
        <f t="shared" si="2"/>
        <v>13791481.885429524</v>
      </c>
      <c r="H22" s="83">
        <v>0.12737018576107736</v>
      </c>
      <c r="I22" s="266">
        <f t="shared" si="3"/>
        <v>7008496.1170031885</v>
      </c>
      <c r="J22" s="266">
        <f t="shared" si="4"/>
        <v>760123.50169421418</v>
      </c>
      <c r="K22" s="124">
        <f t="shared" si="5"/>
        <v>7768619.618697403</v>
      </c>
      <c r="L22" s="201"/>
      <c r="M22" s="267"/>
    </row>
    <row r="23" spans="2:13" x14ac:dyDescent="0.2">
      <c r="B23" s="291"/>
      <c r="C23" s="196" t="s">
        <v>165</v>
      </c>
      <c r="D23" s="129">
        <f>SUM(D13:D22)</f>
        <v>1</v>
      </c>
      <c r="E23" s="125">
        <f>'2.1 Profit &amp; Loss by component'!D18-'2.1 Profit &amp; Loss by component'!D15-'2.1 Profit &amp; Loss by component'!D14</f>
        <v>58281000.0752552</v>
      </c>
      <c r="F23" s="125">
        <f>'2.1 Profit &amp; Loss by component'!E18-'2.1 Profit &amp; Loss by component'!E14</f>
        <v>3741245.1500000004</v>
      </c>
      <c r="G23" s="125">
        <f>SUM(G13:G22)</f>
        <v>62022245.225255199</v>
      </c>
      <c r="H23" s="129">
        <f>SUM(H13:H22)</f>
        <v>0.99999999999999989</v>
      </c>
      <c r="I23" s="125">
        <f>'2.1 Profit &amp; Loss by component'!G18-'2.1 Profit &amp; Loss by component'!G14-'2.1 Profit &amp; Loss by component'!G15</f>
        <v>55024620.362490602</v>
      </c>
      <c r="J23" s="125">
        <f>'2.1 Profit &amp; Loss by component'!H18-'2.1 Profit &amp; Loss by component'!H14-'2.1 Profit &amp; Loss by component'!H15</f>
        <v>5967829.1050000004</v>
      </c>
      <c r="K23" s="125">
        <f>SUM(K13:K22)</f>
        <v>60992449.467490599</v>
      </c>
      <c r="L23" s="201"/>
      <c r="M23" s="201"/>
    </row>
    <row r="24" spans="2:13" x14ac:dyDescent="0.2">
      <c r="B24" s="198"/>
      <c r="C24" s="265" t="s">
        <v>166</v>
      </c>
      <c r="D24" s="122"/>
      <c r="E24" s="122"/>
      <c r="F24" s="122"/>
      <c r="G24" s="122"/>
      <c r="H24" s="122"/>
      <c r="I24" s="122"/>
      <c r="J24" s="122"/>
      <c r="K24" s="122"/>
      <c r="L24" s="201"/>
      <c r="M24" s="201"/>
    </row>
    <row r="25" spans="2:13" x14ac:dyDescent="0.2">
      <c r="B25" s="359" t="s">
        <v>892</v>
      </c>
      <c r="C25" s="123" t="s">
        <v>77</v>
      </c>
      <c r="D25" s="83">
        <v>0</v>
      </c>
      <c r="E25" s="266">
        <f t="shared" ref="E25:F34" si="6">$D25*E$35</f>
        <v>0</v>
      </c>
      <c r="F25" s="266">
        <f t="shared" si="6"/>
        <v>0</v>
      </c>
      <c r="G25" s="124">
        <f t="shared" ref="G25:G34" si="7">SUM(E25:F25)</f>
        <v>0</v>
      </c>
      <c r="H25" s="83">
        <v>0</v>
      </c>
      <c r="I25" s="266">
        <f t="shared" ref="I25:I34" si="8">H25*$I$35</f>
        <v>0</v>
      </c>
      <c r="J25" s="266">
        <f t="shared" ref="J25:J34" si="9">H25*$J$35</f>
        <v>0</v>
      </c>
      <c r="K25" s="124">
        <f t="shared" ref="K25:K34" si="10">SUM(I25:J25)</f>
        <v>0</v>
      </c>
      <c r="L25" s="201"/>
      <c r="M25" s="201"/>
    </row>
    <row r="26" spans="2:13" x14ac:dyDescent="0.2">
      <c r="B26" s="359" t="s">
        <v>892</v>
      </c>
      <c r="C26" s="123" t="s">
        <v>79</v>
      </c>
      <c r="D26" s="83">
        <v>0</v>
      </c>
      <c r="E26" s="266">
        <f t="shared" si="6"/>
        <v>0</v>
      </c>
      <c r="F26" s="266">
        <f t="shared" si="6"/>
        <v>0</v>
      </c>
      <c r="G26" s="124">
        <f t="shared" si="7"/>
        <v>0</v>
      </c>
      <c r="H26" s="83">
        <v>0</v>
      </c>
      <c r="I26" s="266">
        <f t="shared" si="8"/>
        <v>0</v>
      </c>
      <c r="J26" s="266">
        <f t="shared" si="9"/>
        <v>0</v>
      </c>
      <c r="K26" s="124">
        <f t="shared" si="10"/>
        <v>0</v>
      </c>
      <c r="L26" s="201"/>
      <c r="M26" s="201"/>
    </row>
    <row r="27" spans="2:13" x14ac:dyDescent="0.2">
      <c r="B27" s="359" t="s">
        <v>892</v>
      </c>
      <c r="C27" s="123" t="s">
        <v>80</v>
      </c>
      <c r="D27" s="83">
        <v>0</v>
      </c>
      <c r="E27" s="266">
        <f t="shared" si="6"/>
        <v>0</v>
      </c>
      <c r="F27" s="266">
        <f t="shared" si="6"/>
        <v>0</v>
      </c>
      <c r="G27" s="124">
        <f t="shared" si="7"/>
        <v>0</v>
      </c>
      <c r="H27" s="83">
        <v>0</v>
      </c>
      <c r="I27" s="266">
        <f t="shared" si="8"/>
        <v>0</v>
      </c>
      <c r="J27" s="266">
        <f t="shared" si="9"/>
        <v>0</v>
      </c>
      <c r="K27" s="124">
        <f t="shared" si="10"/>
        <v>0</v>
      </c>
      <c r="L27" s="201"/>
      <c r="M27" s="201"/>
    </row>
    <row r="28" spans="2:13" ht="12.75" customHeight="1" x14ac:dyDescent="0.2">
      <c r="B28" s="359" t="s">
        <v>892</v>
      </c>
      <c r="C28" s="123" t="s">
        <v>81</v>
      </c>
      <c r="D28" s="83">
        <v>0</v>
      </c>
      <c r="E28" s="266">
        <f t="shared" si="6"/>
        <v>0</v>
      </c>
      <c r="F28" s="266">
        <f t="shared" si="6"/>
        <v>0</v>
      </c>
      <c r="G28" s="124">
        <f t="shared" si="7"/>
        <v>0</v>
      </c>
      <c r="H28" s="83">
        <v>0</v>
      </c>
      <c r="I28" s="266">
        <f t="shared" si="8"/>
        <v>0</v>
      </c>
      <c r="J28" s="266">
        <f t="shared" si="9"/>
        <v>0</v>
      </c>
      <c r="K28" s="124">
        <f t="shared" si="10"/>
        <v>0</v>
      </c>
      <c r="L28" s="201"/>
      <c r="M28" s="201"/>
    </row>
    <row r="29" spans="2:13" ht="12.75" customHeight="1" x14ac:dyDescent="0.2">
      <c r="B29" s="359" t="s">
        <v>892</v>
      </c>
      <c r="C29" s="204" t="s">
        <v>82</v>
      </c>
      <c r="D29" s="83">
        <v>0</v>
      </c>
      <c r="E29" s="266">
        <f t="shared" si="6"/>
        <v>0</v>
      </c>
      <c r="F29" s="266">
        <f t="shared" si="6"/>
        <v>0</v>
      </c>
      <c r="G29" s="124">
        <f t="shared" si="7"/>
        <v>0</v>
      </c>
      <c r="H29" s="83">
        <v>0</v>
      </c>
      <c r="I29" s="266">
        <f t="shared" si="8"/>
        <v>0</v>
      </c>
      <c r="J29" s="266">
        <f t="shared" si="9"/>
        <v>0</v>
      </c>
      <c r="K29" s="124">
        <f t="shared" si="10"/>
        <v>0</v>
      </c>
      <c r="L29" s="201"/>
      <c r="M29" s="201"/>
    </row>
    <row r="30" spans="2:13" x14ac:dyDescent="0.2">
      <c r="B30" s="359" t="s">
        <v>892</v>
      </c>
      <c r="C30" s="123" t="s">
        <v>83</v>
      </c>
      <c r="D30" s="83">
        <v>0</v>
      </c>
      <c r="E30" s="266">
        <f t="shared" si="6"/>
        <v>0</v>
      </c>
      <c r="F30" s="266">
        <f t="shared" si="6"/>
        <v>0</v>
      </c>
      <c r="G30" s="124">
        <f t="shared" si="7"/>
        <v>0</v>
      </c>
      <c r="H30" s="83">
        <v>0</v>
      </c>
      <c r="I30" s="266">
        <f t="shared" si="8"/>
        <v>0</v>
      </c>
      <c r="J30" s="266">
        <f t="shared" si="9"/>
        <v>0</v>
      </c>
      <c r="K30" s="124">
        <f t="shared" si="10"/>
        <v>0</v>
      </c>
      <c r="L30" s="201"/>
      <c r="M30" s="201"/>
    </row>
    <row r="31" spans="2:13" x14ac:dyDescent="0.2">
      <c r="B31" s="359" t="s">
        <v>892</v>
      </c>
      <c r="C31" s="123" t="s">
        <v>84</v>
      </c>
      <c r="D31" s="83">
        <v>0</v>
      </c>
      <c r="E31" s="266">
        <f t="shared" si="6"/>
        <v>0</v>
      </c>
      <c r="F31" s="266">
        <f t="shared" si="6"/>
        <v>0</v>
      </c>
      <c r="G31" s="124">
        <f t="shared" si="7"/>
        <v>0</v>
      </c>
      <c r="H31" s="83">
        <v>0</v>
      </c>
      <c r="I31" s="266">
        <f t="shared" si="8"/>
        <v>0</v>
      </c>
      <c r="J31" s="266">
        <f t="shared" si="9"/>
        <v>0</v>
      </c>
      <c r="K31" s="124">
        <f t="shared" si="10"/>
        <v>0</v>
      </c>
      <c r="L31" s="201"/>
      <c r="M31" s="201"/>
    </row>
    <row r="32" spans="2:13" x14ac:dyDescent="0.2">
      <c r="B32" s="359" t="s">
        <v>892</v>
      </c>
      <c r="C32" s="123" t="s">
        <v>85</v>
      </c>
      <c r="D32" s="83">
        <v>0</v>
      </c>
      <c r="E32" s="266">
        <f t="shared" si="6"/>
        <v>0</v>
      </c>
      <c r="F32" s="266">
        <f t="shared" si="6"/>
        <v>0</v>
      </c>
      <c r="G32" s="124">
        <f t="shared" si="7"/>
        <v>0</v>
      </c>
      <c r="H32" s="83">
        <v>0</v>
      </c>
      <c r="I32" s="266">
        <f t="shared" si="8"/>
        <v>0</v>
      </c>
      <c r="J32" s="266">
        <f t="shared" si="9"/>
        <v>0</v>
      </c>
      <c r="K32" s="124">
        <f t="shared" si="10"/>
        <v>0</v>
      </c>
      <c r="L32" s="201"/>
      <c r="M32" s="201"/>
    </row>
    <row r="33" spans="2:13" x14ac:dyDescent="0.2">
      <c r="B33" s="359" t="s">
        <v>892</v>
      </c>
      <c r="C33" s="123" t="s">
        <v>87</v>
      </c>
      <c r="D33" s="83">
        <v>0</v>
      </c>
      <c r="E33" s="266">
        <f t="shared" si="6"/>
        <v>0</v>
      </c>
      <c r="F33" s="266">
        <f t="shared" si="6"/>
        <v>0</v>
      </c>
      <c r="G33" s="124">
        <f t="shared" si="7"/>
        <v>0</v>
      </c>
      <c r="H33" s="83">
        <v>0</v>
      </c>
      <c r="I33" s="266">
        <f t="shared" si="8"/>
        <v>0</v>
      </c>
      <c r="J33" s="266">
        <f t="shared" si="9"/>
        <v>0</v>
      </c>
      <c r="K33" s="124">
        <f t="shared" si="10"/>
        <v>0</v>
      </c>
      <c r="L33" s="201"/>
      <c r="M33" s="201"/>
    </row>
    <row r="34" spans="2:13" x14ac:dyDescent="0.2">
      <c r="B34" s="359" t="s">
        <v>892</v>
      </c>
      <c r="C34" s="123" t="s">
        <v>89</v>
      </c>
      <c r="D34" s="83">
        <v>0</v>
      </c>
      <c r="E34" s="266">
        <f t="shared" si="6"/>
        <v>0</v>
      </c>
      <c r="F34" s="266">
        <f t="shared" si="6"/>
        <v>0</v>
      </c>
      <c r="G34" s="124">
        <f t="shared" si="7"/>
        <v>0</v>
      </c>
      <c r="H34" s="83">
        <v>0</v>
      </c>
      <c r="I34" s="266">
        <f t="shared" si="8"/>
        <v>0</v>
      </c>
      <c r="J34" s="266">
        <f t="shared" si="9"/>
        <v>0</v>
      </c>
      <c r="K34" s="124">
        <f t="shared" si="10"/>
        <v>0</v>
      </c>
      <c r="L34" s="201"/>
      <c r="M34" s="201"/>
    </row>
    <row r="35" spans="2:13" x14ac:dyDescent="0.2">
      <c r="B35" s="291"/>
      <c r="C35" s="196" t="s">
        <v>167</v>
      </c>
      <c r="D35" s="129">
        <f>SUM(D25:D34)</f>
        <v>0</v>
      </c>
      <c r="E35" s="125">
        <f>'2.1 Profit &amp; Loss by component'!D14+'2.1 Profit &amp; Loss by component'!D15</f>
        <v>0</v>
      </c>
      <c r="F35" s="125">
        <f>'2.1 Profit &amp; Loss by component'!E14+'2.1 Profit &amp; Loss by component'!E15</f>
        <v>0</v>
      </c>
      <c r="G35" s="125">
        <f>SUM(G25:G34)</f>
        <v>0</v>
      </c>
      <c r="H35" s="129">
        <f>SUM(H25:H34)</f>
        <v>0</v>
      </c>
      <c r="I35" s="125">
        <f>'2.1 Profit &amp; Loss by component'!G14+'2.1 Profit &amp; Loss by component'!G15</f>
        <v>0</v>
      </c>
      <c r="J35" s="125">
        <f>'2.1 Profit &amp; Loss by component'!H14</f>
        <v>0</v>
      </c>
      <c r="K35" s="125">
        <f>SUM(K25:K34)</f>
        <v>0</v>
      </c>
      <c r="L35" s="201"/>
      <c r="M35" s="201"/>
    </row>
    <row r="36" spans="2:13" x14ac:dyDescent="0.2">
      <c r="B36" s="198"/>
      <c r="C36" s="265" t="s">
        <v>57</v>
      </c>
      <c r="D36" s="122"/>
      <c r="E36" s="122"/>
      <c r="F36" s="122"/>
      <c r="G36" s="122"/>
      <c r="H36" s="122"/>
      <c r="I36" s="122"/>
      <c r="J36" s="122"/>
      <c r="K36" s="122"/>
      <c r="L36" s="201"/>
      <c r="M36" s="201"/>
    </row>
    <row r="37" spans="2:13" x14ac:dyDescent="0.2">
      <c r="B37" s="359" t="s">
        <v>892</v>
      </c>
      <c r="C37" s="123" t="s">
        <v>77</v>
      </c>
      <c r="D37" s="83">
        <v>0</v>
      </c>
      <c r="E37" s="266">
        <f>$D37*'2.4 Indirect revenue'!$G$42</f>
        <v>0</v>
      </c>
      <c r="F37" s="266">
        <f>$D37*'2.4 Indirect revenue'!$H$42</f>
        <v>0</v>
      </c>
      <c r="G37" s="124">
        <f t="shared" ref="G37:G46" si="11">SUM(E37:F37)</f>
        <v>0</v>
      </c>
      <c r="H37" s="83">
        <v>0</v>
      </c>
      <c r="I37" s="266">
        <f t="shared" ref="I37:I46" si="12">H37*$I$47</f>
        <v>0</v>
      </c>
      <c r="J37" s="266">
        <f t="shared" ref="J37:J46" si="13">H37*$J$47</f>
        <v>0</v>
      </c>
      <c r="K37" s="124">
        <f t="shared" ref="K37:K46" si="14">SUM(I37:J37)</f>
        <v>0</v>
      </c>
      <c r="L37" s="201"/>
      <c r="M37" s="201"/>
    </row>
    <row r="38" spans="2:13" x14ac:dyDescent="0.2">
      <c r="B38" s="359" t="s">
        <v>892</v>
      </c>
      <c r="C38" s="123" t="s">
        <v>79</v>
      </c>
      <c r="D38" s="83">
        <v>0</v>
      </c>
      <c r="E38" s="266">
        <f>$D38*'2.4 Indirect revenue'!$G$42</f>
        <v>0</v>
      </c>
      <c r="F38" s="266">
        <f>$D38*'2.4 Indirect revenue'!$H$42</f>
        <v>0</v>
      </c>
      <c r="G38" s="124">
        <f t="shared" si="11"/>
        <v>0</v>
      </c>
      <c r="H38" s="83">
        <v>0</v>
      </c>
      <c r="I38" s="266">
        <f t="shared" si="12"/>
        <v>0</v>
      </c>
      <c r="J38" s="266">
        <f t="shared" si="13"/>
        <v>0</v>
      </c>
      <c r="K38" s="124">
        <f t="shared" si="14"/>
        <v>0</v>
      </c>
      <c r="L38" s="201"/>
      <c r="M38" s="201"/>
    </row>
    <row r="39" spans="2:13" x14ac:dyDescent="0.2">
      <c r="B39" s="359" t="s">
        <v>892</v>
      </c>
      <c r="C39" s="123" t="s">
        <v>80</v>
      </c>
      <c r="D39" s="83">
        <v>0</v>
      </c>
      <c r="E39" s="266">
        <f>$D39*'2.4 Indirect revenue'!$G$42</f>
        <v>0</v>
      </c>
      <c r="F39" s="266">
        <f>$D39*'2.4 Indirect revenue'!$H$42</f>
        <v>0</v>
      </c>
      <c r="G39" s="124">
        <f t="shared" si="11"/>
        <v>0</v>
      </c>
      <c r="H39" s="83">
        <v>0</v>
      </c>
      <c r="I39" s="266">
        <f t="shared" si="12"/>
        <v>0</v>
      </c>
      <c r="J39" s="266">
        <f t="shared" si="13"/>
        <v>0</v>
      </c>
      <c r="K39" s="124">
        <f t="shared" si="14"/>
        <v>0</v>
      </c>
      <c r="L39" s="201"/>
      <c r="M39" s="201"/>
    </row>
    <row r="40" spans="2:13" x14ac:dyDescent="0.2">
      <c r="B40" s="359" t="s">
        <v>892</v>
      </c>
      <c r="C40" s="123" t="s">
        <v>81</v>
      </c>
      <c r="D40" s="83">
        <v>0</v>
      </c>
      <c r="E40" s="266">
        <f>$D40*'2.4 Indirect revenue'!$G$42</f>
        <v>0</v>
      </c>
      <c r="F40" s="266">
        <f>$D40*'2.4 Indirect revenue'!$H$42</f>
        <v>0</v>
      </c>
      <c r="G40" s="124">
        <f t="shared" si="11"/>
        <v>0</v>
      </c>
      <c r="H40" s="83">
        <v>0</v>
      </c>
      <c r="I40" s="266">
        <f t="shared" si="12"/>
        <v>0</v>
      </c>
      <c r="J40" s="266">
        <f t="shared" si="13"/>
        <v>0</v>
      </c>
      <c r="K40" s="124">
        <f t="shared" si="14"/>
        <v>0</v>
      </c>
      <c r="L40" s="201"/>
      <c r="M40" s="201"/>
    </row>
    <row r="41" spans="2:13" x14ac:dyDescent="0.2">
      <c r="B41" s="359" t="s">
        <v>892</v>
      </c>
      <c r="C41" s="204" t="s">
        <v>82</v>
      </c>
      <c r="D41" s="83">
        <v>0</v>
      </c>
      <c r="E41" s="266">
        <f>$D41*'2.4 Indirect revenue'!$G$42</f>
        <v>0</v>
      </c>
      <c r="F41" s="266">
        <f>$D41*'2.4 Indirect revenue'!$H$42</f>
        <v>0</v>
      </c>
      <c r="G41" s="124">
        <f t="shared" si="11"/>
        <v>0</v>
      </c>
      <c r="H41" s="83">
        <v>0</v>
      </c>
      <c r="I41" s="266">
        <f t="shared" si="12"/>
        <v>0</v>
      </c>
      <c r="J41" s="266">
        <f t="shared" si="13"/>
        <v>0</v>
      </c>
      <c r="K41" s="124">
        <f t="shared" si="14"/>
        <v>0</v>
      </c>
      <c r="L41" s="201"/>
      <c r="M41" s="201"/>
    </row>
    <row r="42" spans="2:13" x14ac:dyDescent="0.2">
      <c r="B42" s="359" t="s">
        <v>892</v>
      </c>
      <c r="C42" s="123" t="s">
        <v>83</v>
      </c>
      <c r="D42" s="83">
        <v>0</v>
      </c>
      <c r="E42" s="266">
        <f>$D42*'2.4 Indirect revenue'!$G$42</f>
        <v>0</v>
      </c>
      <c r="F42" s="266">
        <f>$D42*'2.4 Indirect revenue'!$H$42</f>
        <v>0</v>
      </c>
      <c r="G42" s="124">
        <f t="shared" si="11"/>
        <v>0</v>
      </c>
      <c r="H42" s="83">
        <v>0</v>
      </c>
      <c r="I42" s="266">
        <f t="shared" si="12"/>
        <v>0</v>
      </c>
      <c r="J42" s="266">
        <f t="shared" si="13"/>
        <v>0</v>
      </c>
      <c r="K42" s="124">
        <f t="shared" si="14"/>
        <v>0</v>
      </c>
      <c r="L42" s="201"/>
      <c r="M42" s="201"/>
    </row>
    <row r="43" spans="2:13" x14ac:dyDescent="0.2">
      <c r="B43" s="359" t="s">
        <v>892</v>
      </c>
      <c r="C43" s="123" t="s">
        <v>84</v>
      </c>
      <c r="D43" s="83">
        <v>0</v>
      </c>
      <c r="E43" s="266">
        <f>$D43*'2.4 Indirect revenue'!$G$42</f>
        <v>0</v>
      </c>
      <c r="F43" s="266">
        <f>$D43*'2.4 Indirect revenue'!$H$42</f>
        <v>0</v>
      </c>
      <c r="G43" s="124">
        <f t="shared" si="11"/>
        <v>0</v>
      </c>
      <c r="H43" s="83">
        <v>0</v>
      </c>
      <c r="I43" s="266">
        <f t="shared" si="12"/>
        <v>0</v>
      </c>
      <c r="J43" s="266">
        <f t="shared" si="13"/>
        <v>0</v>
      </c>
      <c r="K43" s="124">
        <f t="shared" si="14"/>
        <v>0</v>
      </c>
      <c r="L43" s="201"/>
      <c r="M43" s="201"/>
    </row>
    <row r="44" spans="2:13" x14ac:dyDescent="0.2">
      <c r="B44" s="359" t="s">
        <v>892</v>
      </c>
      <c r="C44" s="123" t="s">
        <v>85</v>
      </c>
      <c r="D44" s="83">
        <v>0</v>
      </c>
      <c r="E44" s="266">
        <f>$D44*'2.4 Indirect revenue'!$G$42</f>
        <v>0</v>
      </c>
      <c r="F44" s="266">
        <f>$D44*'2.4 Indirect revenue'!$H$42</f>
        <v>0</v>
      </c>
      <c r="G44" s="124">
        <f t="shared" si="11"/>
        <v>0</v>
      </c>
      <c r="H44" s="83">
        <v>0</v>
      </c>
      <c r="I44" s="266">
        <f t="shared" si="12"/>
        <v>0</v>
      </c>
      <c r="J44" s="266">
        <f t="shared" si="13"/>
        <v>0</v>
      </c>
      <c r="K44" s="124">
        <f t="shared" si="14"/>
        <v>0</v>
      </c>
      <c r="L44" s="201"/>
      <c r="M44" s="201"/>
    </row>
    <row r="45" spans="2:13" x14ac:dyDescent="0.2">
      <c r="B45" s="359" t="s">
        <v>892</v>
      </c>
      <c r="C45" s="123" t="s">
        <v>87</v>
      </c>
      <c r="D45" s="83">
        <v>0</v>
      </c>
      <c r="E45" s="266">
        <f>$D45*'2.4 Indirect revenue'!$G$42</f>
        <v>0</v>
      </c>
      <c r="F45" s="266">
        <f>$D45*'2.4 Indirect revenue'!$H$42</f>
        <v>0</v>
      </c>
      <c r="G45" s="124">
        <f t="shared" si="11"/>
        <v>0</v>
      </c>
      <c r="H45" s="83">
        <v>0</v>
      </c>
      <c r="I45" s="266">
        <f t="shared" si="12"/>
        <v>0</v>
      </c>
      <c r="J45" s="266">
        <f t="shared" si="13"/>
        <v>0</v>
      </c>
      <c r="K45" s="124">
        <f t="shared" si="14"/>
        <v>0</v>
      </c>
      <c r="L45" s="201"/>
      <c r="M45" s="201"/>
    </row>
    <row r="46" spans="2:13" x14ac:dyDescent="0.2">
      <c r="B46" s="359" t="s">
        <v>892</v>
      </c>
      <c r="C46" s="123" t="s">
        <v>89</v>
      </c>
      <c r="D46" s="83">
        <v>0</v>
      </c>
      <c r="E46" s="266">
        <f>$D46*'2.4 Indirect revenue'!$G$42</f>
        <v>0</v>
      </c>
      <c r="F46" s="266">
        <f>$D46*'2.4 Indirect revenue'!$H$42</f>
        <v>0</v>
      </c>
      <c r="G46" s="124">
        <f t="shared" si="11"/>
        <v>0</v>
      </c>
      <c r="H46" s="83">
        <v>0</v>
      </c>
      <c r="I46" s="266">
        <f t="shared" si="12"/>
        <v>0</v>
      </c>
      <c r="J46" s="266">
        <f t="shared" si="13"/>
        <v>0</v>
      </c>
      <c r="K46" s="124">
        <f t="shared" si="14"/>
        <v>0</v>
      </c>
      <c r="L46" s="201"/>
      <c r="M46" s="201"/>
    </row>
    <row r="47" spans="2:13" x14ac:dyDescent="0.2">
      <c r="B47" s="291"/>
      <c r="C47" s="196" t="s">
        <v>168</v>
      </c>
      <c r="D47" s="129">
        <f>SUM(D37:D46)</f>
        <v>0</v>
      </c>
      <c r="E47" s="125">
        <f>'2.1 Profit &amp; Loss by component'!D21</f>
        <v>0</v>
      </c>
      <c r="F47" s="125">
        <f>'2.1 Profit &amp; Loss by component'!E21</f>
        <v>0</v>
      </c>
      <c r="G47" s="125">
        <f>SUM(G37:G46)</f>
        <v>0</v>
      </c>
      <c r="H47" s="129">
        <f>SUM(H37:H46)</f>
        <v>0</v>
      </c>
      <c r="I47" s="125">
        <f>'2.1 Profit &amp; Loss by component'!G21</f>
        <v>0</v>
      </c>
      <c r="J47" s="125">
        <f>'2.1 Profit &amp; Loss by component'!H21</f>
        <v>0</v>
      </c>
      <c r="K47" s="125">
        <f>SUM(K37:K46)</f>
        <v>0</v>
      </c>
      <c r="L47" s="201"/>
      <c r="M47" s="201"/>
    </row>
    <row r="48" spans="2:13" ht="14.25" x14ac:dyDescent="0.2">
      <c r="B48" s="291"/>
      <c r="C48" s="196" t="s">
        <v>58</v>
      </c>
      <c r="D48" s="268"/>
      <c r="E48" s="125">
        <f>E47+E35+E23</f>
        <v>58281000.0752552</v>
      </c>
      <c r="F48" s="125">
        <f>F47+F35+F23</f>
        <v>3741245.1500000004</v>
      </c>
      <c r="G48" s="125">
        <f>G47+G35+G23</f>
        <v>62022245.225255199</v>
      </c>
      <c r="H48" s="268"/>
      <c r="I48" s="125">
        <f>I47+I35+I23</f>
        <v>55024620.362490602</v>
      </c>
      <c r="J48" s="125">
        <f>J47+J35+J23</f>
        <v>5967829.1050000004</v>
      </c>
      <c r="K48" s="125">
        <f>K47+K35+K23</f>
        <v>60992449.467490599</v>
      </c>
      <c r="L48" s="201"/>
      <c r="M48" s="201"/>
    </row>
    <row r="49" spans="2:13" x14ac:dyDescent="0.2">
      <c r="B49" s="201"/>
      <c r="C49" s="201"/>
      <c r="D49" s="201"/>
      <c r="E49" s="201"/>
      <c r="F49" s="201"/>
      <c r="G49" s="201"/>
      <c r="H49" s="201"/>
      <c r="I49" s="201"/>
      <c r="J49" s="201"/>
      <c r="K49" s="201"/>
      <c r="L49" s="201"/>
      <c r="M49" s="201"/>
    </row>
    <row r="50" spans="2:13" ht="15.75" x14ac:dyDescent="0.2">
      <c r="B50" s="254" t="s">
        <v>169</v>
      </c>
      <c r="C50" s="201"/>
      <c r="D50" s="201"/>
      <c r="E50" s="201"/>
      <c r="F50" s="201"/>
      <c r="G50" s="201"/>
      <c r="H50" s="201"/>
      <c r="I50" s="201"/>
      <c r="J50" s="201"/>
      <c r="K50" s="201"/>
      <c r="L50" s="201"/>
      <c r="M50" s="201"/>
    </row>
    <row r="51" spans="2:13" x14ac:dyDescent="0.2">
      <c r="B51" s="255"/>
      <c r="C51" s="256"/>
      <c r="D51" s="257"/>
      <c r="E51" s="257"/>
      <c r="F51" s="257"/>
      <c r="G51" s="257"/>
      <c r="H51" s="257"/>
      <c r="I51" s="257"/>
      <c r="J51" s="257"/>
      <c r="K51" s="257"/>
      <c r="L51" s="201"/>
      <c r="M51" s="201"/>
    </row>
    <row r="52" spans="2:13" x14ac:dyDescent="0.2">
      <c r="B52" s="258"/>
      <c r="C52" s="258"/>
      <c r="D52" s="441" t="s">
        <v>161</v>
      </c>
      <c r="E52" s="442"/>
      <c r="F52" s="442"/>
      <c r="G52" s="443"/>
      <c r="H52" s="441" t="s">
        <v>123</v>
      </c>
      <c r="I52" s="442"/>
      <c r="J52" s="442"/>
      <c r="K52" s="443"/>
      <c r="L52" s="201"/>
      <c r="M52" s="201"/>
    </row>
    <row r="53" spans="2:13" ht="38.25" x14ac:dyDescent="0.2">
      <c r="B53" s="55" t="s">
        <v>112</v>
      </c>
      <c r="C53" s="258" t="s">
        <v>113</v>
      </c>
      <c r="D53" s="311" t="s">
        <v>162</v>
      </c>
      <c r="E53" s="311" t="s">
        <v>124</v>
      </c>
      <c r="F53" s="311" t="s">
        <v>125</v>
      </c>
      <c r="G53" s="311" t="s">
        <v>55</v>
      </c>
      <c r="H53" s="311" t="s">
        <v>162</v>
      </c>
      <c r="I53" s="311" t="s">
        <v>124</v>
      </c>
      <c r="J53" s="311" t="s">
        <v>125</v>
      </c>
      <c r="K53" s="311" t="s">
        <v>55</v>
      </c>
      <c r="L53" s="201"/>
      <c r="M53" s="201"/>
    </row>
    <row r="54" spans="2:13" x14ac:dyDescent="0.2">
      <c r="B54" s="55"/>
      <c r="C54" s="258"/>
      <c r="D54" s="122" t="s">
        <v>163</v>
      </c>
      <c r="E54" s="122" t="s">
        <v>115</v>
      </c>
      <c r="F54" s="122" t="s">
        <v>115</v>
      </c>
      <c r="G54" s="122" t="s">
        <v>115</v>
      </c>
      <c r="H54" s="122" t="s">
        <v>163</v>
      </c>
      <c r="I54" s="122" t="s">
        <v>115</v>
      </c>
      <c r="J54" s="122" t="s">
        <v>115</v>
      </c>
      <c r="K54" s="122" t="s">
        <v>115</v>
      </c>
      <c r="L54" s="201"/>
      <c r="M54" s="201"/>
    </row>
    <row r="55" spans="2:13" x14ac:dyDescent="0.2">
      <c r="B55" s="198"/>
      <c r="C55" s="265" t="s">
        <v>170</v>
      </c>
      <c r="D55" s="122"/>
      <c r="E55" s="122"/>
      <c r="F55" s="122"/>
      <c r="G55" s="122"/>
      <c r="H55" s="122"/>
      <c r="I55" s="122"/>
      <c r="J55" s="122"/>
      <c r="K55" s="122"/>
      <c r="L55" s="201"/>
      <c r="M55" s="201"/>
    </row>
    <row r="56" spans="2:13" x14ac:dyDescent="0.2">
      <c r="B56" s="370" t="s">
        <v>892</v>
      </c>
      <c r="C56" s="123" t="s">
        <v>77</v>
      </c>
      <c r="D56" s="83">
        <v>0.46694477074015556</v>
      </c>
      <c r="E56" s="266">
        <f t="shared" ref="E56:E65" si="15">D56*$E$66</f>
        <v>7835706.0882791895</v>
      </c>
      <c r="F56" s="266">
        <f t="shared" ref="F56:F65" si="16">D56*$F$66</f>
        <v>502999.21692741528</v>
      </c>
      <c r="G56" s="124">
        <f t="shared" ref="G56:G65" si="17">SUM(E56:F56)</f>
        <v>8338705.3052066052</v>
      </c>
      <c r="H56" s="83">
        <v>0.72847946080246073</v>
      </c>
      <c r="I56" s="266">
        <f t="shared" ref="I56:I65" si="18">H56*$I$66</f>
        <v>27235160.784032818</v>
      </c>
      <c r="J56" s="266">
        <f t="shared" ref="J56:J65" si="19">H56*$J$66</f>
        <v>854320.05907870398</v>
      </c>
      <c r="K56" s="124">
        <f t="shared" ref="K56:K65" si="20">SUM(I56:J56)</f>
        <v>28089480.843111522</v>
      </c>
      <c r="L56" s="201"/>
      <c r="M56" s="201"/>
    </row>
    <row r="57" spans="2:13" x14ac:dyDescent="0.2">
      <c r="B57" s="359" t="s">
        <v>892</v>
      </c>
      <c r="C57" s="123" t="s">
        <v>79</v>
      </c>
      <c r="D57" s="83">
        <v>0</v>
      </c>
      <c r="E57" s="266">
        <f t="shared" si="15"/>
        <v>0</v>
      </c>
      <c r="F57" s="266">
        <f t="shared" si="16"/>
        <v>0</v>
      </c>
      <c r="G57" s="124">
        <f t="shared" si="17"/>
        <v>0</v>
      </c>
      <c r="H57" s="83">
        <v>0</v>
      </c>
      <c r="I57" s="266">
        <f t="shared" si="18"/>
        <v>0</v>
      </c>
      <c r="J57" s="266">
        <f t="shared" si="19"/>
        <v>0</v>
      </c>
      <c r="K57" s="124">
        <f t="shared" si="20"/>
        <v>0</v>
      </c>
      <c r="L57" s="201"/>
      <c r="M57" s="201"/>
    </row>
    <row r="58" spans="2:13" x14ac:dyDescent="0.2">
      <c r="B58" s="359" t="s">
        <v>892</v>
      </c>
      <c r="C58" s="123" t="s">
        <v>80</v>
      </c>
      <c r="D58" s="83">
        <v>0.30068026477701537</v>
      </c>
      <c r="E58" s="266">
        <f t="shared" si="15"/>
        <v>5045654.9231809331</v>
      </c>
      <c r="F58" s="266">
        <f t="shared" si="16"/>
        <v>323896.84434977733</v>
      </c>
      <c r="G58" s="124">
        <f t="shared" si="17"/>
        <v>5369551.7675307104</v>
      </c>
      <c r="H58" s="83">
        <v>0.13128790347385905</v>
      </c>
      <c r="I58" s="266">
        <f t="shared" si="18"/>
        <v>4908370.5890216278</v>
      </c>
      <c r="J58" s="266">
        <f t="shared" si="19"/>
        <v>153967.12671700292</v>
      </c>
      <c r="K58" s="124">
        <f t="shared" si="20"/>
        <v>5062337.7157386309</v>
      </c>
      <c r="L58" s="201"/>
      <c r="M58" s="201"/>
    </row>
    <row r="59" spans="2:13" x14ac:dyDescent="0.2">
      <c r="B59" s="359" t="s">
        <v>892</v>
      </c>
      <c r="C59" s="123" t="s">
        <v>81</v>
      </c>
      <c r="D59" s="83">
        <v>0</v>
      </c>
      <c r="E59" s="266">
        <f t="shared" si="15"/>
        <v>0</v>
      </c>
      <c r="F59" s="266">
        <f t="shared" si="16"/>
        <v>0</v>
      </c>
      <c r="G59" s="124">
        <f t="shared" si="17"/>
        <v>0</v>
      </c>
      <c r="H59" s="83">
        <v>0</v>
      </c>
      <c r="I59" s="266">
        <f t="shared" si="18"/>
        <v>0</v>
      </c>
      <c r="J59" s="266">
        <f t="shared" si="19"/>
        <v>0</v>
      </c>
      <c r="K59" s="124">
        <f t="shared" si="20"/>
        <v>0</v>
      </c>
      <c r="L59" s="201"/>
      <c r="M59" s="201"/>
    </row>
    <row r="60" spans="2:13" x14ac:dyDescent="0.2">
      <c r="B60" s="359" t="s">
        <v>892</v>
      </c>
      <c r="C60" s="204" t="s">
        <v>82</v>
      </c>
      <c r="D60" s="83">
        <v>0</v>
      </c>
      <c r="E60" s="266">
        <f t="shared" si="15"/>
        <v>0</v>
      </c>
      <c r="F60" s="266">
        <f t="shared" si="16"/>
        <v>0</v>
      </c>
      <c r="G60" s="124">
        <f t="shared" si="17"/>
        <v>0</v>
      </c>
      <c r="H60" s="83">
        <v>0</v>
      </c>
      <c r="I60" s="266">
        <f t="shared" si="18"/>
        <v>0</v>
      </c>
      <c r="J60" s="266">
        <f t="shared" si="19"/>
        <v>0</v>
      </c>
      <c r="K60" s="124">
        <f t="shared" si="20"/>
        <v>0</v>
      </c>
      <c r="L60" s="201"/>
      <c r="M60" s="201"/>
    </row>
    <row r="61" spans="2:13" x14ac:dyDescent="0.2">
      <c r="B61" s="359" t="s">
        <v>892</v>
      </c>
      <c r="C61" s="123" t="s">
        <v>83</v>
      </c>
      <c r="D61" s="83">
        <v>0</v>
      </c>
      <c r="E61" s="266">
        <f t="shared" si="15"/>
        <v>0</v>
      </c>
      <c r="F61" s="266">
        <f t="shared" si="16"/>
        <v>0</v>
      </c>
      <c r="G61" s="124">
        <f t="shared" si="17"/>
        <v>0</v>
      </c>
      <c r="H61" s="83">
        <v>0</v>
      </c>
      <c r="I61" s="266">
        <f t="shared" si="18"/>
        <v>0</v>
      </c>
      <c r="J61" s="266">
        <f t="shared" si="19"/>
        <v>0</v>
      </c>
      <c r="K61" s="124">
        <f t="shared" si="20"/>
        <v>0</v>
      </c>
      <c r="L61" s="201"/>
      <c r="M61" s="201"/>
    </row>
    <row r="62" spans="2:13" x14ac:dyDescent="0.2">
      <c r="B62" s="359" t="s">
        <v>892</v>
      </c>
      <c r="C62" s="123" t="s">
        <v>84</v>
      </c>
      <c r="D62" s="83">
        <v>7.7998423636860305E-3</v>
      </c>
      <c r="E62" s="266">
        <f t="shared" si="15"/>
        <v>130887.58270035962</v>
      </c>
      <c r="F62" s="266">
        <f t="shared" si="16"/>
        <v>8402.095594458624</v>
      </c>
      <c r="G62" s="124">
        <f t="shared" si="17"/>
        <v>139289.67829481824</v>
      </c>
      <c r="H62" s="83">
        <v>8.1720291727172337E-3</v>
      </c>
      <c r="I62" s="266">
        <f t="shared" si="18"/>
        <v>305522.03655212343</v>
      </c>
      <c r="J62" s="266">
        <f t="shared" si="19"/>
        <v>9583.6997764331427</v>
      </c>
      <c r="K62" s="124">
        <f t="shared" si="20"/>
        <v>315105.73632855655</v>
      </c>
      <c r="L62" s="201"/>
      <c r="M62" s="201"/>
    </row>
    <row r="63" spans="2:13" x14ac:dyDescent="0.2">
      <c r="B63" s="359" t="s">
        <v>892</v>
      </c>
      <c r="C63" s="123" t="s">
        <v>85</v>
      </c>
      <c r="D63" s="83">
        <v>1.0311164075360157E-3</v>
      </c>
      <c r="E63" s="266">
        <f t="shared" si="15"/>
        <v>17302.956620432102</v>
      </c>
      <c r="F63" s="266">
        <f t="shared" si="16"/>
        <v>1110.7325278094679</v>
      </c>
      <c r="G63" s="124">
        <f t="shared" si="17"/>
        <v>18413.68914824157</v>
      </c>
      <c r="H63" s="83">
        <v>3.8646094146826651E-3</v>
      </c>
      <c r="I63" s="266">
        <f t="shared" si="18"/>
        <v>144483.49533482661</v>
      </c>
      <c r="J63" s="266">
        <f t="shared" si="19"/>
        <v>4532.1982583158879</v>
      </c>
      <c r="K63" s="124">
        <f t="shared" si="20"/>
        <v>149015.6935931425</v>
      </c>
      <c r="L63" s="201"/>
      <c r="M63" s="201"/>
    </row>
    <row r="64" spans="2:13" x14ac:dyDescent="0.2">
      <c r="B64" s="359" t="s">
        <v>892</v>
      </c>
      <c r="C64" s="123" t="s">
        <v>87</v>
      </c>
      <c r="D64" s="83">
        <v>1.1805321652850324E-3</v>
      </c>
      <c r="E64" s="266">
        <f t="shared" si="15"/>
        <v>19810.272337498631</v>
      </c>
      <c r="F64" s="266">
        <f t="shared" si="16"/>
        <v>1271.6852011315009</v>
      </c>
      <c r="G64" s="124">
        <f t="shared" si="17"/>
        <v>21081.957538630133</v>
      </c>
      <c r="H64" s="83">
        <v>8.2581137520283579E-4</v>
      </c>
      <c r="I64" s="266">
        <f t="shared" si="18"/>
        <v>30874.042153717386</v>
      </c>
      <c r="J64" s="266">
        <f t="shared" si="19"/>
        <v>968.46549671283367</v>
      </c>
      <c r="K64" s="124">
        <f t="shared" si="20"/>
        <v>31842.50765043022</v>
      </c>
      <c r="L64" s="201"/>
      <c r="M64" s="201"/>
    </row>
    <row r="65" spans="2:13" x14ac:dyDescent="0.2">
      <c r="B65" s="359" t="s">
        <v>892</v>
      </c>
      <c r="C65" s="123" t="s">
        <v>89</v>
      </c>
      <c r="D65" s="83">
        <v>0.22236347354632191</v>
      </c>
      <c r="E65" s="266">
        <f t="shared" si="15"/>
        <v>3731436.6337500247</v>
      </c>
      <c r="F65" s="266">
        <f t="shared" si="16"/>
        <v>239532.93853097083</v>
      </c>
      <c r="G65" s="124">
        <f t="shared" si="17"/>
        <v>3970969.5722809955</v>
      </c>
      <c r="H65" s="83">
        <v>0.12737018576107736</v>
      </c>
      <c r="I65" s="266">
        <f t="shared" si="18"/>
        <v>4761901.5702568069</v>
      </c>
      <c r="J65" s="266">
        <f t="shared" si="19"/>
        <v>149372.64601036717</v>
      </c>
      <c r="K65" s="124">
        <f t="shared" si="20"/>
        <v>4911274.2162671741</v>
      </c>
      <c r="L65" s="201"/>
      <c r="M65" s="201"/>
    </row>
    <row r="66" spans="2:13" x14ac:dyDescent="0.2">
      <c r="B66" s="291"/>
      <c r="C66" s="196" t="s">
        <v>171</v>
      </c>
      <c r="D66" s="129">
        <f>SUM(D56:D65)</f>
        <v>1</v>
      </c>
      <c r="E66" s="125">
        <f>'2.1 Profit &amp; Loss by component'!D32-'2.1 Profit &amp; Loss by component'!D26</f>
        <v>16780798.45686844</v>
      </c>
      <c r="F66" s="125">
        <f>'2.1 Profit &amp; Loss by component'!E32-'2.1 Profit &amp; Loss by component'!E26</f>
        <v>1077213.5131315631</v>
      </c>
      <c r="G66" s="125">
        <f>SUM(G56:G65)</f>
        <v>17858011.970000003</v>
      </c>
      <c r="H66" s="129">
        <f>SUM(H56:H65)</f>
        <v>0.99999999999999989</v>
      </c>
      <c r="I66" s="125">
        <f>'2.1 Profit &amp; Loss by component'!G32-'2.1 Profit &amp; Loss by component'!G26</f>
        <v>37386312.517351925</v>
      </c>
      <c r="J66" s="125">
        <f>'2.1 Profit &amp; Loss by component'!H32-'2.1 Profit &amp; Loss by component'!H26</f>
        <v>1172744.195337536</v>
      </c>
      <c r="K66" s="125">
        <f>SUM(K56:K65)</f>
        <v>38559056.712689459</v>
      </c>
      <c r="L66" s="201"/>
      <c r="M66" s="201"/>
    </row>
    <row r="67" spans="2:13" x14ac:dyDescent="0.2">
      <c r="B67" s="198"/>
      <c r="C67" s="265" t="s">
        <v>172</v>
      </c>
      <c r="D67" s="122"/>
      <c r="E67" s="122"/>
      <c r="F67" s="122"/>
      <c r="G67" s="122"/>
      <c r="H67" s="122"/>
      <c r="I67" s="122"/>
      <c r="J67" s="122"/>
      <c r="K67" s="122"/>
      <c r="L67" s="201"/>
      <c r="M67" s="201"/>
    </row>
    <row r="68" spans="2:13" x14ac:dyDescent="0.2">
      <c r="B68" s="359" t="s">
        <v>892</v>
      </c>
      <c r="C68" s="123" t="s">
        <v>77</v>
      </c>
      <c r="D68" s="83">
        <v>0.46694477074015556</v>
      </c>
      <c r="E68" s="266">
        <f t="shared" ref="E68:E77" si="21">D68*$E$78</f>
        <v>3165404.9371390278</v>
      </c>
      <c r="F68" s="266">
        <f t="shared" ref="F68:F77" si="22">D68*$F$78</f>
        <v>149324.66005623553</v>
      </c>
      <c r="G68" s="124">
        <f t="shared" ref="G68:G77" si="23">SUM(E68:F68)</f>
        <v>3314729.5971952635</v>
      </c>
      <c r="H68" s="83">
        <v>0.72847946080246073</v>
      </c>
      <c r="I68" s="266">
        <f t="shared" ref="I68:I77" si="24">H68*$I$78</f>
        <v>5491868.3916701525</v>
      </c>
      <c r="J68" s="266">
        <f t="shared" ref="J68:J77" si="25">H68*$J$78</f>
        <v>288918.50039479078</v>
      </c>
      <c r="K68" s="124">
        <f t="shared" ref="K68:K77" si="26">SUM(I68:J68)</f>
        <v>5780786.892064943</v>
      </c>
      <c r="L68" s="201"/>
      <c r="M68" s="201"/>
    </row>
    <row r="69" spans="2:13" x14ac:dyDescent="0.2">
      <c r="B69" s="359" t="s">
        <v>892</v>
      </c>
      <c r="C69" s="123" t="s">
        <v>79</v>
      </c>
      <c r="D69" s="83">
        <v>0</v>
      </c>
      <c r="E69" s="266">
        <f t="shared" si="21"/>
        <v>0</v>
      </c>
      <c r="F69" s="266">
        <f t="shared" si="22"/>
        <v>0</v>
      </c>
      <c r="G69" s="124">
        <f t="shared" si="23"/>
        <v>0</v>
      </c>
      <c r="H69" s="83">
        <v>0</v>
      </c>
      <c r="I69" s="266">
        <f t="shared" si="24"/>
        <v>0</v>
      </c>
      <c r="J69" s="266">
        <f t="shared" si="25"/>
        <v>0</v>
      </c>
      <c r="K69" s="124">
        <f t="shared" si="26"/>
        <v>0</v>
      </c>
      <c r="L69" s="201"/>
      <c r="M69" s="201"/>
    </row>
    <row r="70" spans="2:13" x14ac:dyDescent="0.2">
      <c r="B70" s="359" t="s">
        <v>892</v>
      </c>
      <c r="C70" s="123" t="s">
        <v>80</v>
      </c>
      <c r="D70" s="83">
        <v>0.30068026477701537</v>
      </c>
      <c r="E70" s="266">
        <f t="shared" si="21"/>
        <v>2038302.7164364073</v>
      </c>
      <c r="F70" s="266">
        <f t="shared" si="22"/>
        <v>96154.794178928714</v>
      </c>
      <c r="G70" s="124">
        <f t="shared" si="23"/>
        <v>2134457.5106153358</v>
      </c>
      <c r="H70" s="83">
        <v>0.13128790347385905</v>
      </c>
      <c r="I70" s="266">
        <f t="shared" si="24"/>
        <v>989754.58622057701</v>
      </c>
      <c r="J70" s="266">
        <f t="shared" si="25"/>
        <v>52069.421627700707</v>
      </c>
      <c r="K70" s="124">
        <f t="shared" si="26"/>
        <v>1041824.0078482777</v>
      </c>
      <c r="L70" s="201"/>
      <c r="M70" s="201"/>
    </row>
    <row r="71" spans="2:13" x14ac:dyDescent="0.2">
      <c r="B71" s="359" t="s">
        <v>892</v>
      </c>
      <c r="C71" s="123" t="s">
        <v>81</v>
      </c>
      <c r="D71" s="83">
        <v>0</v>
      </c>
      <c r="E71" s="266">
        <f t="shared" si="21"/>
        <v>0</v>
      </c>
      <c r="F71" s="266">
        <f t="shared" si="22"/>
        <v>0</v>
      </c>
      <c r="G71" s="124">
        <f t="shared" si="23"/>
        <v>0</v>
      </c>
      <c r="H71" s="83">
        <v>0</v>
      </c>
      <c r="I71" s="266">
        <f t="shared" si="24"/>
        <v>0</v>
      </c>
      <c r="J71" s="266">
        <f t="shared" si="25"/>
        <v>0</v>
      </c>
      <c r="K71" s="124">
        <f t="shared" si="26"/>
        <v>0</v>
      </c>
      <c r="L71" s="201"/>
      <c r="M71" s="201"/>
    </row>
    <row r="72" spans="2:13" x14ac:dyDescent="0.2">
      <c r="B72" s="359" t="s">
        <v>892</v>
      </c>
      <c r="C72" s="204" t="s">
        <v>82</v>
      </c>
      <c r="D72" s="83">
        <v>0</v>
      </c>
      <c r="E72" s="266">
        <f t="shared" si="21"/>
        <v>0</v>
      </c>
      <c r="F72" s="266">
        <f t="shared" si="22"/>
        <v>0</v>
      </c>
      <c r="G72" s="124">
        <f t="shared" si="23"/>
        <v>0</v>
      </c>
      <c r="H72" s="83">
        <v>0</v>
      </c>
      <c r="I72" s="266">
        <f t="shared" si="24"/>
        <v>0</v>
      </c>
      <c r="J72" s="266">
        <f t="shared" si="25"/>
        <v>0</v>
      </c>
      <c r="K72" s="124">
        <f t="shared" si="26"/>
        <v>0</v>
      </c>
      <c r="L72" s="201"/>
      <c r="M72" s="201"/>
    </row>
    <row r="73" spans="2:13" x14ac:dyDescent="0.2">
      <c r="B73" s="359" t="s">
        <v>892</v>
      </c>
      <c r="C73" s="123" t="s">
        <v>83</v>
      </c>
      <c r="D73" s="83">
        <v>0</v>
      </c>
      <c r="E73" s="266">
        <f t="shared" si="21"/>
        <v>0</v>
      </c>
      <c r="F73" s="266">
        <f t="shared" si="22"/>
        <v>0</v>
      </c>
      <c r="G73" s="124">
        <f t="shared" si="23"/>
        <v>0</v>
      </c>
      <c r="H73" s="83">
        <v>0</v>
      </c>
      <c r="I73" s="266">
        <f t="shared" si="24"/>
        <v>0</v>
      </c>
      <c r="J73" s="266">
        <f t="shared" si="25"/>
        <v>0</v>
      </c>
      <c r="K73" s="124">
        <f t="shared" si="26"/>
        <v>0</v>
      </c>
      <c r="L73" s="201"/>
      <c r="M73" s="201"/>
    </row>
    <row r="74" spans="2:13" x14ac:dyDescent="0.2">
      <c r="B74" s="359" t="s">
        <v>892</v>
      </c>
      <c r="C74" s="123" t="s">
        <v>84</v>
      </c>
      <c r="D74" s="83">
        <v>7.7998423636860305E-3</v>
      </c>
      <c r="E74" s="266">
        <f t="shared" si="21"/>
        <v>52874.903144931362</v>
      </c>
      <c r="F74" s="266">
        <f t="shared" si="22"/>
        <v>2494.3181344625782</v>
      </c>
      <c r="G74" s="124">
        <f t="shared" si="23"/>
        <v>55369.22127939394</v>
      </c>
      <c r="H74" s="83">
        <v>8.1720291727172337E-3</v>
      </c>
      <c r="I74" s="266">
        <f t="shared" si="24"/>
        <v>61607.376905334655</v>
      </c>
      <c r="J74" s="266">
        <f t="shared" si="25"/>
        <v>3241.0665513659328</v>
      </c>
      <c r="K74" s="124">
        <f t="shared" si="26"/>
        <v>64848.443456700588</v>
      </c>
      <c r="L74" s="201"/>
      <c r="M74" s="201"/>
    </row>
    <row r="75" spans="2:13" x14ac:dyDescent="0.2">
      <c r="B75" s="359" t="s">
        <v>892</v>
      </c>
      <c r="C75" s="123" t="s">
        <v>85</v>
      </c>
      <c r="D75" s="83">
        <v>1.0311164075360157E-3</v>
      </c>
      <c r="E75" s="266">
        <f t="shared" si="21"/>
        <v>6989.9079542232421</v>
      </c>
      <c r="F75" s="266">
        <f t="shared" si="22"/>
        <v>329.74158119312972</v>
      </c>
      <c r="G75" s="124">
        <f t="shared" si="23"/>
        <v>7319.6495354163717</v>
      </c>
      <c r="H75" s="83">
        <v>3.8646094146826651E-3</v>
      </c>
      <c r="I75" s="266">
        <f t="shared" si="24"/>
        <v>29134.556885471116</v>
      </c>
      <c r="J75" s="266">
        <f t="shared" si="25"/>
        <v>1532.7229067951425</v>
      </c>
      <c r="K75" s="124">
        <f t="shared" si="26"/>
        <v>30667.279792266258</v>
      </c>
      <c r="L75" s="201"/>
      <c r="M75" s="201"/>
    </row>
    <row r="76" spans="2:13" x14ac:dyDescent="0.2">
      <c r="B76" s="359" t="s">
        <v>892</v>
      </c>
      <c r="C76" s="123" t="s">
        <v>87</v>
      </c>
      <c r="D76" s="83">
        <v>1.1805321652850324E-3</v>
      </c>
      <c r="E76" s="266">
        <f t="shared" si="21"/>
        <v>8002.7930038093291</v>
      </c>
      <c r="F76" s="266">
        <f t="shared" si="22"/>
        <v>377.52337174097289</v>
      </c>
      <c r="G76" s="124">
        <f t="shared" si="23"/>
        <v>8380.3163755503028</v>
      </c>
      <c r="H76" s="83">
        <v>8.2581137520283579E-4</v>
      </c>
      <c r="I76" s="266">
        <f t="shared" si="24"/>
        <v>6225.6352210154109</v>
      </c>
      <c r="J76" s="266">
        <f t="shared" si="25"/>
        <v>327.52081145807546</v>
      </c>
      <c r="K76" s="124">
        <f t="shared" si="26"/>
        <v>6553.1560324734864</v>
      </c>
      <c r="L76" s="201"/>
      <c r="M76" s="201"/>
    </row>
    <row r="77" spans="2:13" x14ac:dyDescent="0.2">
      <c r="B77" s="359" t="s">
        <v>892</v>
      </c>
      <c r="C77" s="123" t="s">
        <v>89</v>
      </c>
      <c r="D77" s="83">
        <v>0.22236347354632191</v>
      </c>
      <c r="E77" s="266">
        <f t="shared" si="21"/>
        <v>1507395.4803845512</v>
      </c>
      <c r="F77" s="266">
        <f t="shared" si="22"/>
        <v>71109.801794323401</v>
      </c>
      <c r="G77" s="124">
        <f t="shared" si="23"/>
        <v>1578505.2821788746</v>
      </c>
      <c r="H77" s="83">
        <v>0.12737018576107736</v>
      </c>
      <c r="I77" s="266">
        <f t="shared" si="24"/>
        <v>960219.6559555406</v>
      </c>
      <c r="J77" s="266">
        <f t="shared" si="25"/>
        <v>50515.635711348114</v>
      </c>
      <c r="K77" s="124">
        <f t="shared" si="26"/>
        <v>1010735.2916668887</v>
      </c>
      <c r="L77" s="201"/>
      <c r="M77" s="201"/>
    </row>
    <row r="78" spans="2:13" x14ac:dyDescent="0.2">
      <c r="B78" s="291"/>
      <c r="C78" s="196" t="s">
        <v>173</v>
      </c>
      <c r="D78" s="129">
        <f>SUM(D68:D77)</f>
        <v>1</v>
      </c>
      <c r="E78" s="125">
        <f>'2.1 Profit &amp; Loss by component'!D26+'2.1 Profit &amp; Loss by component'!D37</f>
        <v>6778970.7380629508</v>
      </c>
      <c r="F78" s="126">
        <f>'2.1 Profit &amp; Loss by component'!E26+'2.1 Profit &amp; Loss by component'!E37</f>
        <v>319790.83911688434</v>
      </c>
      <c r="G78" s="125">
        <f>SUM(G68:G77)</f>
        <v>7098761.5771798342</v>
      </c>
      <c r="H78" s="129">
        <f>SUM(H68:H77)</f>
        <v>0.99999999999999989</v>
      </c>
      <c r="I78" s="125">
        <f>'2.1 Profit &amp; Loss by component'!G26+'2.1 Profit &amp; Loss by component'!G37</f>
        <v>7538810.2028580923</v>
      </c>
      <c r="J78" s="125">
        <f>'2.1 Profit &amp; Loss by component'!H26+'2.1 Profit &amp; Loss by component'!H37</f>
        <v>396604.86800345877</v>
      </c>
      <c r="K78" s="125">
        <f>SUM(K68:K77)</f>
        <v>7935415.07086155</v>
      </c>
      <c r="L78" s="201"/>
      <c r="M78" s="201"/>
    </row>
    <row r="79" spans="2:13" x14ac:dyDescent="0.2">
      <c r="B79" s="198"/>
      <c r="C79" s="265" t="s">
        <v>174</v>
      </c>
      <c r="D79" s="122"/>
      <c r="E79" s="122"/>
      <c r="F79" s="122"/>
      <c r="G79" s="122"/>
      <c r="H79" s="122"/>
      <c r="I79" s="122"/>
      <c r="J79" s="122"/>
      <c r="K79" s="122"/>
      <c r="L79" s="201"/>
      <c r="M79" s="201"/>
    </row>
    <row r="80" spans="2:13" x14ac:dyDescent="0.2">
      <c r="B80" s="359" t="s">
        <v>892</v>
      </c>
      <c r="C80" s="123" t="s">
        <v>77</v>
      </c>
      <c r="D80" s="83">
        <v>0.46694477074015556</v>
      </c>
      <c r="E80" s="266">
        <f t="shared" ref="E80:E89" si="27">D80*$E$90</f>
        <v>3113163.5657799616</v>
      </c>
      <c r="F80" s="266">
        <f t="shared" ref="F80:F89" si="28">D80*$F$90</f>
        <v>0</v>
      </c>
      <c r="G80" s="124">
        <f t="shared" ref="G80:G89" si="29">SUM(E80:F80)</f>
        <v>3113163.5657799616</v>
      </c>
      <c r="H80" s="83">
        <v>0.72847946080246073</v>
      </c>
      <c r="I80" s="266">
        <f t="shared" ref="I80:I89" si="30">H80*$I$90</f>
        <v>5499735.4697587593</v>
      </c>
      <c r="J80" s="266">
        <f t="shared" ref="J80:J89" si="31">H80*$J$90</f>
        <v>0</v>
      </c>
      <c r="K80" s="124">
        <f t="shared" ref="K80:K89" si="32">SUM(I80:J80)</f>
        <v>5499735.4697587593</v>
      </c>
      <c r="L80" s="201"/>
      <c r="M80" s="201"/>
    </row>
    <row r="81" spans="2:13" x14ac:dyDescent="0.2">
      <c r="B81" s="359" t="s">
        <v>892</v>
      </c>
      <c r="C81" s="123" t="s">
        <v>79</v>
      </c>
      <c r="D81" s="83">
        <v>0</v>
      </c>
      <c r="E81" s="266">
        <f t="shared" si="27"/>
        <v>0</v>
      </c>
      <c r="F81" s="266">
        <f t="shared" si="28"/>
        <v>0</v>
      </c>
      <c r="G81" s="124">
        <f t="shared" si="29"/>
        <v>0</v>
      </c>
      <c r="H81" s="83">
        <v>0</v>
      </c>
      <c r="I81" s="266">
        <f t="shared" si="30"/>
        <v>0</v>
      </c>
      <c r="J81" s="266">
        <f t="shared" si="31"/>
        <v>0</v>
      </c>
      <c r="K81" s="124">
        <f t="shared" si="32"/>
        <v>0</v>
      </c>
      <c r="L81" s="201"/>
      <c r="M81" s="201"/>
    </row>
    <row r="82" spans="2:13" x14ac:dyDescent="0.2">
      <c r="B82" s="359" t="s">
        <v>892</v>
      </c>
      <c r="C82" s="123" t="s">
        <v>80</v>
      </c>
      <c r="D82" s="83">
        <v>0.30068026477701537</v>
      </c>
      <c r="E82" s="266">
        <f t="shared" si="27"/>
        <v>2004662.872161763</v>
      </c>
      <c r="F82" s="266">
        <f t="shared" si="28"/>
        <v>0</v>
      </c>
      <c r="G82" s="124">
        <f t="shared" si="29"/>
        <v>2004662.872161763</v>
      </c>
      <c r="H82" s="83">
        <v>0.13128790347385905</v>
      </c>
      <c r="I82" s="266">
        <f t="shared" si="30"/>
        <v>991172.40545130789</v>
      </c>
      <c r="J82" s="266">
        <f t="shared" si="31"/>
        <v>0</v>
      </c>
      <c r="K82" s="124">
        <f t="shared" si="32"/>
        <v>991172.40545130789</v>
      </c>
      <c r="L82" s="201"/>
      <c r="M82" s="201"/>
    </row>
    <row r="83" spans="2:13" x14ac:dyDescent="0.2">
      <c r="B83" s="359" t="s">
        <v>892</v>
      </c>
      <c r="C83" s="123" t="s">
        <v>81</v>
      </c>
      <c r="D83" s="83">
        <v>0</v>
      </c>
      <c r="E83" s="266">
        <f t="shared" si="27"/>
        <v>0</v>
      </c>
      <c r="F83" s="266">
        <f t="shared" si="28"/>
        <v>0</v>
      </c>
      <c r="G83" s="124">
        <f t="shared" si="29"/>
        <v>0</v>
      </c>
      <c r="H83" s="83">
        <v>0</v>
      </c>
      <c r="I83" s="266">
        <f t="shared" si="30"/>
        <v>0</v>
      </c>
      <c r="J83" s="266">
        <f t="shared" si="31"/>
        <v>0</v>
      </c>
      <c r="K83" s="124">
        <f t="shared" si="32"/>
        <v>0</v>
      </c>
      <c r="L83" s="201"/>
      <c r="M83" s="201"/>
    </row>
    <row r="84" spans="2:13" x14ac:dyDescent="0.2">
      <c r="B84" s="359" t="s">
        <v>892</v>
      </c>
      <c r="C84" s="204" t="s">
        <v>82</v>
      </c>
      <c r="D84" s="83">
        <v>0</v>
      </c>
      <c r="E84" s="266">
        <f t="shared" si="27"/>
        <v>0</v>
      </c>
      <c r="F84" s="266">
        <f t="shared" si="28"/>
        <v>0</v>
      </c>
      <c r="G84" s="124">
        <f t="shared" si="29"/>
        <v>0</v>
      </c>
      <c r="H84" s="83">
        <v>0</v>
      </c>
      <c r="I84" s="266">
        <f t="shared" si="30"/>
        <v>0</v>
      </c>
      <c r="J84" s="266">
        <f t="shared" si="31"/>
        <v>0</v>
      </c>
      <c r="K84" s="124">
        <f t="shared" si="32"/>
        <v>0</v>
      </c>
      <c r="L84" s="201"/>
      <c r="M84" s="201"/>
    </row>
    <row r="85" spans="2:13" x14ac:dyDescent="0.2">
      <c r="B85" s="359" t="s">
        <v>892</v>
      </c>
      <c r="C85" s="123" t="s">
        <v>83</v>
      </c>
      <c r="D85" s="83">
        <v>0</v>
      </c>
      <c r="E85" s="266">
        <f t="shared" si="27"/>
        <v>0</v>
      </c>
      <c r="F85" s="266">
        <f t="shared" si="28"/>
        <v>0</v>
      </c>
      <c r="G85" s="124">
        <f t="shared" si="29"/>
        <v>0</v>
      </c>
      <c r="H85" s="83">
        <v>0</v>
      </c>
      <c r="I85" s="266">
        <f t="shared" si="30"/>
        <v>0</v>
      </c>
      <c r="J85" s="266">
        <f t="shared" si="31"/>
        <v>0</v>
      </c>
      <c r="K85" s="124">
        <f t="shared" si="32"/>
        <v>0</v>
      </c>
      <c r="L85" s="201"/>
      <c r="M85" s="201"/>
    </row>
    <row r="86" spans="2:13" x14ac:dyDescent="0.2">
      <c r="B86" s="359" t="s">
        <v>892</v>
      </c>
      <c r="C86" s="123" t="s">
        <v>84</v>
      </c>
      <c r="D86" s="83">
        <v>7.7998423636860305E-3</v>
      </c>
      <c r="E86" s="266">
        <f t="shared" si="27"/>
        <v>52002.263623093248</v>
      </c>
      <c r="F86" s="266">
        <f t="shared" si="28"/>
        <v>0</v>
      </c>
      <c r="G86" s="124">
        <f t="shared" si="29"/>
        <v>52002.263623093248</v>
      </c>
      <c r="H86" s="83">
        <v>8.1720291727172337E-3</v>
      </c>
      <c r="I86" s="266">
        <f t="shared" si="30"/>
        <v>61695.629210448809</v>
      </c>
      <c r="J86" s="266">
        <f t="shared" si="31"/>
        <v>0</v>
      </c>
      <c r="K86" s="124">
        <f t="shared" si="32"/>
        <v>61695.629210448809</v>
      </c>
      <c r="L86" s="201"/>
      <c r="M86" s="201"/>
    </row>
    <row r="87" spans="2:13" x14ac:dyDescent="0.2">
      <c r="B87" s="359" t="s">
        <v>892</v>
      </c>
      <c r="C87" s="123" t="s">
        <v>85</v>
      </c>
      <c r="D87" s="83">
        <v>1.0311164075360157E-3</v>
      </c>
      <c r="E87" s="266">
        <f t="shared" si="27"/>
        <v>6874.5475550155797</v>
      </c>
      <c r="F87" s="266">
        <f t="shared" si="28"/>
        <v>0</v>
      </c>
      <c r="G87" s="124">
        <f t="shared" si="29"/>
        <v>6874.5475550155797</v>
      </c>
      <c r="H87" s="83">
        <v>3.8646094146826651E-3</v>
      </c>
      <c r="I87" s="266">
        <f t="shared" si="30"/>
        <v>29176.292014164766</v>
      </c>
      <c r="J87" s="266">
        <f t="shared" si="31"/>
        <v>0</v>
      </c>
      <c r="K87" s="124">
        <f t="shared" si="32"/>
        <v>29176.292014164766</v>
      </c>
      <c r="L87" s="201"/>
      <c r="M87" s="201"/>
    </row>
    <row r="88" spans="2:13" x14ac:dyDescent="0.2">
      <c r="B88" s="359" t="s">
        <v>892</v>
      </c>
      <c r="C88" s="123" t="s">
        <v>87</v>
      </c>
      <c r="D88" s="83">
        <v>1.1805321652850324E-3</v>
      </c>
      <c r="E88" s="266">
        <f t="shared" si="27"/>
        <v>7870.7161006881743</v>
      </c>
      <c r="F88" s="266">
        <f t="shared" si="28"/>
        <v>0</v>
      </c>
      <c r="G88" s="124">
        <f t="shared" si="29"/>
        <v>7870.7161006881743</v>
      </c>
      <c r="H88" s="83">
        <v>8.2581137520283579E-4</v>
      </c>
      <c r="I88" s="266">
        <f t="shared" si="30"/>
        <v>6234.5534169629309</v>
      </c>
      <c r="J88" s="266">
        <f t="shared" si="31"/>
        <v>0</v>
      </c>
      <c r="K88" s="124">
        <f t="shared" si="32"/>
        <v>6234.5534169629309</v>
      </c>
      <c r="L88" s="201"/>
      <c r="M88" s="201"/>
    </row>
    <row r="89" spans="2:13" x14ac:dyDescent="0.2">
      <c r="B89" s="359" t="s">
        <v>892</v>
      </c>
      <c r="C89" s="123" t="s">
        <v>89</v>
      </c>
      <c r="D89" s="83">
        <v>0.22236347354632191</v>
      </c>
      <c r="E89" s="266">
        <f t="shared" si="27"/>
        <v>1482517.6500154226</v>
      </c>
      <c r="F89" s="266">
        <f t="shared" si="28"/>
        <v>0</v>
      </c>
      <c r="G89" s="124">
        <f t="shared" si="29"/>
        <v>1482517.6500154226</v>
      </c>
      <c r="H89" s="83">
        <v>0.12737018576107736</v>
      </c>
      <c r="I89" s="266">
        <f t="shared" si="30"/>
        <v>961595.1665244163</v>
      </c>
      <c r="J89" s="266">
        <f t="shared" si="31"/>
        <v>0</v>
      </c>
      <c r="K89" s="124">
        <f t="shared" si="32"/>
        <v>961595.1665244163</v>
      </c>
      <c r="L89" s="201"/>
      <c r="M89" s="201"/>
    </row>
    <row r="90" spans="2:13" x14ac:dyDescent="0.2">
      <c r="B90" s="291"/>
      <c r="C90" s="196" t="s">
        <v>175</v>
      </c>
      <c r="D90" s="129">
        <f>SUM(D80:D89)</f>
        <v>1</v>
      </c>
      <c r="E90" s="125">
        <f>'2.1 Profit &amp; Loss by component'!D43-'2.1 Profit &amp; Loss by component'!D37</f>
        <v>6667091.6152359452</v>
      </c>
      <c r="F90" s="125">
        <f>'2.1 Profit &amp; Loss by component'!E43-'2.1 Profit &amp; Loss by component'!E37</f>
        <v>0</v>
      </c>
      <c r="G90" s="125">
        <f>SUM(G80:G89)</f>
        <v>6667091.6152359433</v>
      </c>
      <c r="H90" s="129">
        <f>SUM(H80:H89)</f>
        <v>0.99999999999999989</v>
      </c>
      <c r="I90" s="125">
        <f>'2.1 Profit &amp; Loss by component'!G43-'2.1 Profit &amp; Loss by component'!G37</f>
        <v>7549609.5163760604</v>
      </c>
      <c r="J90" s="125">
        <f>'2.1 Profit &amp; Loss by component'!H43-'2.1 Profit &amp; Loss by component'!H37</f>
        <v>0</v>
      </c>
      <c r="K90" s="125">
        <f>SUM(K80:K89)</f>
        <v>7549609.5163760595</v>
      </c>
      <c r="L90" s="201"/>
      <c r="M90" s="201"/>
    </row>
    <row r="91" spans="2:13" ht="14.25" x14ac:dyDescent="0.2">
      <c r="B91" s="291"/>
      <c r="C91" s="196" t="s">
        <v>61</v>
      </c>
      <c r="D91" s="268"/>
      <c r="E91" s="125">
        <f>E90+E78+E66</f>
        <v>30226860.810167335</v>
      </c>
      <c r="F91" s="125">
        <f>F90+F78+F66</f>
        <v>1397004.3522484475</v>
      </c>
      <c r="G91" s="125">
        <f>G90+G78+G66</f>
        <v>31623865.16241578</v>
      </c>
      <c r="H91" s="268"/>
      <c r="I91" s="125">
        <f>I90+I78+I66</f>
        <v>52474732.236586079</v>
      </c>
      <c r="J91" s="125">
        <f>J90+J78+J66</f>
        <v>1569349.0633409948</v>
      </c>
      <c r="K91" s="125">
        <f>K90+K78+K66</f>
        <v>54044081.299927071</v>
      </c>
      <c r="L91" s="201"/>
      <c r="M91" s="201"/>
    </row>
    <row r="92" spans="2:13" x14ac:dyDescent="0.2">
      <c r="B92" s="201"/>
      <c r="C92" s="201"/>
      <c r="D92" s="201"/>
      <c r="E92" s="201"/>
      <c r="F92" s="201"/>
      <c r="G92" s="201"/>
      <c r="H92" s="201"/>
      <c r="I92" s="201"/>
      <c r="J92" s="201"/>
      <c r="K92" s="201"/>
      <c r="L92" s="201"/>
      <c r="M92" s="201"/>
    </row>
    <row r="93" spans="2:13" x14ac:dyDescent="0.2">
      <c r="B93" s="201"/>
      <c r="C93" s="201"/>
      <c r="D93" s="201"/>
      <c r="E93" s="201"/>
      <c r="F93" s="201"/>
      <c r="G93" s="201"/>
      <c r="H93" s="201"/>
      <c r="I93" s="201"/>
      <c r="J93" s="201"/>
      <c r="K93" s="201"/>
      <c r="L93" s="201"/>
      <c r="M93" s="201"/>
    </row>
  </sheetData>
  <sheetProtection sheet="1"/>
  <mergeCells count="4">
    <mergeCell ref="D52:G52"/>
    <mergeCell ref="H52:K52"/>
    <mergeCell ref="D9:G9"/>
    <mergeCell ref="H9:K9"/>
  </mergeCells>
  <conditionalFormatting sqref="D23">
    <cfRule type="cellIs" dxfId="82" priority="23" stopIfTrue="1" operator="lessThan">
      <formula>1</formula>
    </cfRule>
    <cfRule type="cellIs" dxfId="81" priority="26" stopIfTrue="1" operator="greaterThan">
      <formula>1</formula>
    </cfRule>
  </conditionalFormatting>
  <conditionalFormatting sqref="D35">
    <cfRule type="cellIs" dxfId="80" priority="21" stopIfTrue="1" operator="lessThan">
      <formula>1</formula>
    </cfRule>
    <cfRule type="cellIs" dxfId="79" priority="22" stopIfTrue="1" operator="greaterThan">
      <formula>1</formula>
    </cfRule>
  </conditionalFormatting>
  <conditionalFormatting sqref="D47">
    <cfRule type="cellIs" dxfId="78" priority="19" stopIfTrue="1" operator="lessThan">
      <formula>1</formula>
    </cfRule>
    <cfRule type="cellIs" dxfId="77" priority="20" stopIfTrue="1" operator="greaterThan">
      <formula>1</formula>
    </cfRule>
  </conditionalFormatting>
  <conditionalFormatting sqref="D66">
    <cfRule type="cellIs" dxfId="76" priority="17" stopIfTrue="1" operator="lessThan">
      <formula>1</formula>
    </cfRule>
    <cfRule type="cellIs" dxfId="75" priority="18" stopIfTrue="1" operator="greaterThan">
      <formula>1</formula>
    </cfRule>
  </conditionalFormatting>
  <conditionalFormatting sqref="D78">
    <cfRule type="cellIs" dxfId="74" priority="15" stopIfTrue="1" operator="lessThan">
      <formula>1</formula>
    </cfRule>
    <cfRule type="cellIs" dxfId="73" priority="16" stopIfTrue="1" operator="greaterThan">
      <formula>1</formula>
    </cfRule>
  </conditionalFormatting>
  <conditionalFormatting sqref="D90">
    <cfRule type="cellIs" dxfId="72" priority="13" stopIfTrue="1" operator="lessThan">
      <formula>1</formula>
    </cfRule>
    <cfRule type="cellIs" dxfId="71" priority="14" stopIfTrue="1" operator="greaterThan">
      <formula>1</formula>
    </cfRule>
  </conditionalFormatting>
  <conditionalFormatting sqref="H23">
    <cfRule type="cellIs" dxfId="70" priority="1" stopIfTrue="1" operator="lessThan">
      <formula>1</formula>
    </cfRule>
    <cfRule type="cellIs" dxfId="69" priority="2" stopIfTrue="1" operator="greaterThan">
      <formula>1</formula>
    </cfRule>
  </conditionalFormatting>
  <conditionalFormatting sqref="H35">
    <cfRule type="cellIs" dxfId="68" priority="3" stopIfTrue="1" operator="lessThan">
      <formula>1</formula>
    </cfRule>
    <cfRule type="cellIs" dxfId="67" priority="4" stopIfTrue="1" operator="greaterThan">
      <formula>1</formula>
    </cfRule>
  </conditionalFormatting>
  <conditionalFormatting sqref="H47">
    <cfRule type="cellIs" dxfId="66" priority="5" stopIfTrue="1" operator="lessThan">
      <formula>1</formula>
    </cfRule>
    <cfRule type="cellIs" dxfId="65" priority="6" stopIfTrue="1" operator="greaterThan">
      <formula>1</formula>
    </cfRule>
  </conditionalFormatting>
  <conditionalFormatting sqref="H66">
    <cfRule type="cellIs" dxfId="64" priority="7" stopIfTrue="1" operator="lessThan">
      <formula>1</formula>
    </cfRule>
    <cfRule type="cellIs" dxfId="63" priority="8" stopIfTrue="1" operator="greaterThan">
      <formula>1</formula>
    </cfRule>
  </conditionalFormatting>
  <conditionalFormatting sqref="H78">
    <cfRule type="cellIs" dxfId="62" priority="9" stopIfTrue="1" operator="lessThan">
      <formula>1</formula>
    </cfRule>
    <cfRule type="cellIs" dxfId="61" priority="10" stopIfTrue="1" operator="greaterThan">
      <formula>1</formula>
    </cfRule>
  </conditionalFormatting>
  <conditionalFormatting sqref="H90">
    <cfRule type="cellIs" dxfId="60" priority="11" stopIfTrue="1" operator="lessThan">
      <formula>1</formula>
    </cfRule>
    <cfRule type="cellIs" dxfId="59" priority="12" stopIfTrue="1" operator="greaterThan">
      <formula>1</formula>
    </cfRule>
  </conditionalFormatting>
  <pageMargins left="0.75" right="0.75" top="1" bottom="1" header="0.5" footer="0.5"/>
  <pageSetup paperSize="9" scale="59" orientation="landscape" verticalDpi="2"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7B282-8861-4A39-B2FC-39B1948EB094}">
  <sheetPr codeName="Sheet8">
    <tabColor rgb="FF17415D"/>
  </sheetPr>
  <dimension ref="B1:J29"/>
  <sheetViews>
    <sheetView workbookViewId="0">
      <pane xSplit="1" ySplit="4" topLeftCell="B5" activePane="bottomRight" state="frozen"/>
      <selection activeCell="G47" sqref="G47"/>
      <selection pane="topRight" activeCell="G47" sqref="G47"/>
      <selection pane="bottomLeft" activeCell="G47" sqref="G47"/>
      <selection pane="bottomRight"/>
    </sheetView>
  </sheetViews>
  <sheetFormatPr defaultColWidth="9.140625" defaultRowHeight="12.75" x14ac:dyDescent="0.2"/>
  <cols>
    <col min="1" max="1" width="12" style="4" customWidth="1"/>
    <col min="2" max="2" width="37.5703125" style="4" customWidth="1"/>
    <col min="3" max="3" width="42.85546875" style="4" customWidth="1"/>
    <col min="4" max="5" width="27.28515625" style="4" customWidth="1"/>
    <col min="6" max="6" width="18.42578125" style="4" customWidth="1"/>
    <col min="7" max="7" width="6.7109375" style="4" customWidth="1"/>
    <col min="8" max="10" width="19.85546875" style="4" customWidth="1"/>
    <col min="11" max="11" width="18.28515625" style="4" customWidth="1"/>
    <col min="12" max="16384" width="9.140625" style="4"/>
  </cols>
  <sheetData>
    <row r="1" spans="2:10" ht="20.25" customHeight="1" x14ac:dyDescent="0.3">
      <c r="B1" s="146" t="s">
        <v>52</v>
      </c>
      <c r="C1" s="146"/>
      <c r="D1" s="214"/>
      <c r="E1" s="214"/>
      <c r="F1" s="214"/>
      <c r="G1" s="214"/>
      <c r="H1" s="214"/>
      <c r="I1" s="214"/>
      <c r="J1" s="214"/>
    </row>
    <row r="2" spans="2:10" ht="20.25" customHeight="1" x14ac:dyDescent="0.2">
      <c r="B2" s="146" t="str">
        <f>IF(Tradingname=0," ",Tradingname)</f>
        <v>APT Pipelines (QLD) Pty Limited</v>
      </c>
      <c r="C2" s="146"/>
    </row>
    <row r="3" spans="2:10" ht="20.25" customHeight="1" x14ac:dyDescent="0.45">
      <c r="B3" s="146" t="s">
        <v>29</v>
      </c>
      <c r="C3" s="110">
        <f>IF(Yearending=0, "01/01/2000", Yearending)</f>
        <v>45838</v>
      </c>
      <c r="F3" s="247"/>
    </row>
    <row r="4" spans="2:10" ht="20.25" x14ac:dyDescent="0.2">
      <c r="B4" s="102" t="s">
        <v>176</v>
      </c>
      <c r="C4" s="102"/>
    </row>
    <row r="6" spans="2:10" ht="20.25" x14ac:dyDescent="0.3">
      <c r="B6" s="248"/>
      <c r="G6" s="249"/>
      <c r="H6" s="250"/>
      <c r="I6" s="251"/>
      <c r="J6" s="251"/>
    </row>
    <row r="7" spans="2:10" ht="15.75" x14ac:dyDescent="0.25">
      <c r="B7" s="224" t="s">
        <v>177</v>
      </c>
    </row>
    <row r="8" spans="2:10" ht="13.7" customHeight="1" x14ac:dyDescent="0.2">
      <c r="B8" s="225"/>
      <c r="C8" s="226"/>
      <c r="D8" s="226"/>
      <c r="E8" s="226"/>
    </row>
    <row r="9" spans="2:10" ht="13.7" customHeight="1" x14ac:dyDescent="0.2">
      <c r="B9" s="46" t="s">
        <v>113</v>
      </c>
      <c r="C9" s="41" t="s">
        <v>124</v>
      </c>
      <c r="D9" s="41" t="s">
        <v>125</v>
      </c>
      <c r="E9" s="41" t="s">
        <v>55</v>
      </c>
      <c r="F9" s="226"/>
    </row>
    <row r="10" spans="2:10" ht="13.7" customHeight="1" x14ac:dyDescent="0.2">
      <c r="B10" s="40"/>
      <c r="C10" s="42" t="s">
        <v>115</v>
      </c>
      <c r="D10" s="42" t="s">
        <v>115</v>
      </c>
      <c r="E10" s="42" t="s">
        <v>115</v>
      </c>
    </row>
    <row r="11" spans="2:10" ht="13.7" customHeight="1" x14ac:dyDescent="0.2">
      <c r="B11" s="78" t="s">
        <v>741</v>
      </c>
      <c r="C11" s="79">
        <v>0</v>
      </c>
      <c r="D11" s="79"/>
      <c r="E11" s="22">
        <f t="shared" ref="E11:E17" si="0">SUM(C11:D11)</f>
        <v>0</v>
      </c>
    </row>
    <row r="12" spans="2:10" ht="13.7" customHeight="1" x14ac:dyDescent="0.2">
      <c r="B12" s="78"/>
      <c r="C12" s="79"/>
      <c r="D12" s="79"/>
      <c r="E12" s="22">
        <f t="shared" si="0"/>
        <v>0</v>
      </c>
    </row>
    <row r="13" spans="2:10" ht="13.7" customHeight="1" x14ac:dyDescent="0.2">
      <c r="B13" s="78"/>
      <c r="C13" s="79"/>
      <c r="D13" s="79"/>
      <c r="E13" s="22">
        <f t="shared" si="0"/>
        <v>0</v>
      </c>
    </row>
    <row r="14" spans="2:10" ht="13.7" customHeight="1" x14ac:dyDescent="0.2">
      <c r="B14" s="78"/>
      <c r="C14" s="79"/>
      <c r="D14" s="79"/>
      <c r="E14" s="22">
        <f t="shared" si="0"/>
        <v>0</v>
      </c>
    </row>
    <row r="15" spans="2:10" x14ac:dyDescent="0.2">
      <c r="B15" s="78"/>
      <c r="C15" s="79"/>
      <c r="D15" s="79"/>
      <c r="E15" s="22">
        <f t="shared" si="0"/>
        <v>0</v>
      </c>
    </row>
    <row r="16" spans="2:10" x14ac:dyDescent="0.2">
      <c r="B16" s="78"/>
      <c r="C16" s="79"/>
      <c r="D16" s="79"/>
      <c r="E16" s="22">
        <f t="shared" si="0"/>
        <v>0</v>
      </c>
    </row>
    <row r="17" spans="2:6" x14ac:dyDescent="0.2">
      <c r="B17" s="147" t="s">
        <v>55</v>
      </c>
      <c r="C17" s="22">
        <f>SUM(C11:C16)</f>
        <v>0</v>
      </c>
      <c r="D17" s="22">
        <f>SUM(D11:D16)</f>
        <v>0</v>
      </c>
      <c r="E17" s="22">
        <f t="shared" si="0"/>
        <v>0</v>
      </c>
    </row>
    <row r="18" spans="2:6" ht="19.5" customHeight="1" x14ac:dyDescent="0.2"/>
    <row r="19" spans="2:6" ht="15.75" x14ac:dyDescent="0.25">
      <c r="B19" s="224" t="s">
        <v>178</v>
      </c>
    </row>
    <row r="20" spans="2:6" x14ac:dyDescent="0.2">
      <c r="B20" s="225"/>
      <c r="C20" s="226"/>
      <c r="D20" s="226"/>
      <c r="E20" s="226"/>
    </row>
    <row r="21" spans="2:6" x14ac:dyDescent="0.2">
      <c r="B21" s="40" t="s">
        <v>179</v>
      </c>
      <c r="C21" s="47" t="s">
        <v>113</v>
      </c>
      <c r="D21" s="41" t="s">
        <v>55</v>
      </c>
      <c r="F21" s="226"/>
    </row>
    <row r="22" spans="2:6" x14ac:dyDescent="0.2">
      <c r="B22" s="40"/>
      <c r="C22" s="42"/>
      <c r="D22" s="42" t="s">
        <v>115</v>
      </c>
    </row>
    <row r="23" spans="2:6" x14ac:dyDescent="0.2">
      <c r="B23" s="78"/>
      <c r="C23" s="80"/>
      <c r="D23" s="79"/>
    </row>
    <row r="24" spans="2:6" x14ac:dyDescent="0.2">
      <c r="B24" s="78"/>
      <c r="C24" s="80"/>
      <c r="D24" s="79"/>
    </row>
    <row r="25" spans="2:6" x14ac:dyDescent="0.2">
      <c r="B25" s="78"/>
      <c r="C25" s="80"/>
      <c r="D25" s="79"/>
    </row>
    <row r="26" spans="2:6" x14ac:dyDescent="0.2">
      <c r="B26" s="78"/>
      <c r="C26" s="80"/>
      <c r="D26" s="79"/>
    </row>
    <row r="27" spans="2:6" x14ac:dyDescent="0.2">
      <c r="B27" s="78"/>
      <c r="C27" s="80"/>
      <c r="D27" s="79"/>
    </row>
    <row r="28" spans="2:6" x14ac:dyDescent="0.2">
      <c r="B28" s="78"/>
      <c r="C28" s="80"/>
      <c r="D28" s="79"/>
    </row>
    <row r="29" spans="2:6" x14ac:dyDescent="0.2">
      <c r="B29" s="444" t="s">
        <v>180</v>
      </c>
      <c r="C29" s="445"/>
      <c r="D29" s="22">
        <f>SUM(D23:D28)</f>
        <v>0</v>
      </c>
    </row>
  </sheetData>
  <sheetProtection sheet="1" insertRows="0"/>
  <mergeCells count="1">
    <mergeCell ref="B29:C29"/>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7CD3D-73B0-4CB9-AF95-6430985BB591}">
  <sheetPr codeName="Sheet10">
    <tabColor rgb="FF17415D"/>
  </sheetPr>
  <dimension ref="B1:I42"/>
  <sheetViews>
    <sheetView zoomScale="96" zoomScaleNormal="85" workbookViewId="0">
      <pane xSplit="1" ySplit="8" topLeftCell="B9" activePane="bottomRight" state="frozen"/>
      <selection activeCell="G47" sqref="G47"/>
      <selection pane="topRight" activeCell="G47" sqref="G47"/>
      <selection pane="bottomLeft" activeCell="G47" sqref="G47"/>
      <selection pane="bottomRight"/>
    </sheetView>
  </sheetViews>
  <sheetFormatPr defaultColWidth="9.140625" defaultRowHeight="12.75" x14ac:dyDescent="0.2"/>
  <cols>
    <col min="1" max="1" width="12.42578125" style="215" customWidth="1"/>
    <col min="2" max="2" width="22.5703125" style="215" customWidth="1"/>
    <col min="3" max="3" width="42.28515625" style="215" customWidth="1"/>
    <col min="4" max="4" width="26.85546875" style="215" customWidth="1"/>
    <col min="5" max="5" width="22.5703125" style="215" customWidth="1"/>
    <col min="6" max="6" width="20.5703125" style="215" customWidth="1"/>
    <col min="7" max="8" width="22.5703125" style="215" customWidth="1"/>
    <col min="9" max="9" width="35.28515625" style="215" customWidth="1"/>
    <col min="10" max="10" width="25.140625" style="215" customWidth="1"/>
    <col min="11" max="16384" width="9.140625" style="215"/>
  </cols>
  <sheetData>
    <row r="1" spans="2:9" ht="20.25" customHeight="1" x14ac:dyDescent="0.3">
      <c r="B1" s="146" t="s">
        <v>52</v>
      </c>
      <c r="C1" s="146"/>
      <c r="D1" s="214"/>
      <c r="E1" s="214"/>
      <c r="F1" s="214"/>
      <c r="G1" s="214"/>
      <c r="H1" s="214"/>
    </row>
    <row r="2" spans="2:9" ht="20.25" customHeight="1" x14ac:dyDescent="0.3">
      <c r="B2" s="146" t="str">
        <f>IF(Tradingname=0," ",Tradingname)</f>
        <v>APT Pipelines (QLD) Pty Limited</v>
      </c>
      <c r="C2" s="146"/>
      <c r="H2" s="216"/>
    </row>
    <row r="3" spans="2:9" ht="20.25" customHeight="1" x14ac:dyDescent="0.3">
      <c r="B3" s="146" t="s">
        <v>29</v>
      </c>
      <c r="C3" s="110">
        <f>IF(Yearending=0, "01/01/2000", Yearending)</f>
        <v>45838</v>
      </c>
    </row>
    <row r="4" spans="2:9" ht="20.25" x14ac:dyDescent="0.2">
      <c r="B4" s="102" t="s">
        <v>181</v>
      </c>
      <c r="C4" s="102"/>
    </row>
    <row r="6" spans="2:9" x14ac:dyDescent="0.2">
      <c r="B6" s="446" t="s">
        <v>182</v>
      </c>
      <c r="C6" s="446"/>
      <c r="D6" s="446"/>
    </row>
    <row r="7" spans="2:9" ht="15.75" customHeight="1" x14ac:dyDescent="0.2">
      <c r="B7" s="446"/>
      <c r="C7" s="446"/>
      <c r="D7" s="446"/>
    </row>
    <row r="8" spans="2:9" ht="15.75" customHeight="1" x14ac:dyDescent="0.2">
      <c r="B8" s="446"/>
      <c r="C8" s="446"/>
      <c r="D8" s="446"/>
    </row>
    <row r="11" spans="2:9" s="269" customFormat="1" ht="15.75" x14ac:dyDescent="0.25">
      <c r="B11" s="217" t="s">
        <v>183</v>
      </c>
      <c r="C11" s="218"/>
      <c r="D11" s="218"/>
      <c r="E11" s="218"/>
      <c r="F11" s="221"/>
      <c r="G11" s="218"/>
      <c r="H11" s="218"/>
      <c r="I11" s="215"/>
    </row>
    <row r="12" spans="2:9" s="269" customFormat="1" ht="15.75" x14ac:dyDescent="0.25">
      <c r="B12" s="217"/>
      <c r="C12" s="218"/>
      <c r="D12" s="218"/>
      <c r="E12" s="218"/>
      <c r="F12" s="221"/>
      <c r="G12" s="218"/>
      <c r="H12" s="218"/>
      <c r="I12" s="215"/>
    </row>
    <row r="13" spans="2:9" ht="38.25" x14ac:dyDescent="0.2">
      <c r="B13" s="48" t="s">
        <v>112</v>
      </c>
      <c r="C13" s="48" t="s">
        <v>184</v>
      </c>
      <c r="D13" s="60" t="s">
        <v>185</v>
      </c>
      <c r="E13" s="60" t="s">
        <v>186</v>
      </c>
      <c r="F13" s="60" t="s">
        <v>187</v>
      </c>
      <c r="G13" s="60" t="s">
        <v>188</v>
      </c>
      <c r="H13" s="60" t="s">
        <v>189</v>
      </c>
      <c r="I13" s="60" t="s">
        <v>190</v>
      </c>
    </row>
    <row r="14" spans="2:9" x14ac:dyDescent="0.2">
      <c r="B14" s="100"/>
      <c r="C14" s="48" t="s">
        <v>191</v>
      </c>
      <c r="D14" s="64" t="s">
        <v>115</v>
      </c>
      <c r="E14" s="64" t="s">
        <v>115</v>
      </c>
      <c r="F14" s="64"/>
      <c r="G14" s="64" t="s">
        <v>115</v>
      </c>
      <c r="H14" s="64" t="s">
        <v>115</v>
      </c>
      <c r="I14" s="64" t="s">
        <v>115</v>
      </c>
    </row>
    <row r="15" spans="2:9" x14ac:dyDescent="0.2">
      <c r="B15" s="368" t="s">
        <v>905</v>
      </c>
      <c r="C15" s="81"/>
      <c r="D15" s="82"/>
      <c r="E15" s="82"/>
      <c r="F15" s="83"/>
      <c r="G15" s="21">
        <f>D15*F15</f>
        <v>0</v>
      </c>
      <c r="H15" s="21">
        <f t="shared" ref="H15:H41" si="0">E15*F15</f>
        <v>0</v>
      </c>
      <c r="I15" s="101">
        <f t="shared" ref="I15:I41" si="1">G15+H15</f>
        <v>0</v>
      </c>
    </row>
    <row r="16" spans="2:9" x14ac:dyDescent="0.2">
      <c r="B16" s="292"/>
      <c r="C16" s="81"/>
      <c r="D16" s="82"/>
      <c r="E16" s="82"/>
      <c r="F16" s="83"/>
      <c r="G16" s="21">
        <f>D16*F16</f>
        <v>0</v>
      </c>
      <c r="H16" s="21">
        <f t="shared" si="0"/>
        <v>0</v>
      </c>
      <c r="I16" s="101">
        <f t="shared" si="1"/>
        <v>0</v>
      </c>
    </row>
    <row r="17" spans="2:9" x14ac:dyDescent="0.2">
      <c r="B17" s="292"/>
      <c r="C17" s="81"/>
      <c r="D17" s="82"/>
      <c r="E17" s="82"/>
      <c r="F17" s="83"/>
      <c r="G17" s="21">
        <f>D17*F17</f>
        <v>0</v>
      </c>
      <c r="H17" s="21">
        <f t="shared" si="0"/>
        <v>0</v>
      </c>
      <c r="I17" s="101">
        <f t="shared" si="1"/>
        <v>0</v>
      </c>
    </row>
    <row r="18" spans="2:9" x14ac:dyDescent="0.2">
      <c r="B18" s="292"/>
      <c r="C18" s="81"/>
      <c r="D18" s="82"/>
      <c r="E18" s="82"/>
      <c r="F18" s="83"/>
      <c r="G18" s="21">
        <f>D18*F18</f>
        <v>0</v>
      </c>
      <c r="H18" s="101">
        <f t="shared" si="0"/>
        <v>0</v>
      </c>
      <c r="I18" s="101">
        <f t="shared" si="1"/>
        <v>0</v>
      </c>
    </row>
    <row r="19" spans="2:9" x14ac:dyDescent="0.2">
      <c r="B19" s="292"/>
      <c r="C19" s="81"/>
      <c r="D19" s="82"/>
      <c r="E19" s="82"/>
      <c r="F19" s="83"/>
      <c r="G19" s="21">
        <f t="shared" ref="G19:G41" si="2">D19*F19</f>
        <v>0</v>
      </c>
      <c r="H19" s="21">
        <f t="shared" si="0"/>
        <v>0</v>
      </c>
      <c r="I19" s="101">
        <f t="shared" si="1"/>
        <v>0</v>
      </c>
    </row>
    <row r="20" spans="2:9" x14ac:dyDescent="0.2">
      <c r="B20" s="292"/>
      <c r="C20" s="81"/>
      <c r="D20" s="82"/>
      <c r="E20" s="82"/>
      <c r="F20" s="83"/>
      <c r="G20" s="21">
        <f t="shared" si="2"/>
        <v>0</v>
      </c>
      <c r="H20" s="21">
        <f t="shared" si="0"/>
        <v>0</v>
      </c>
      <c r="I20" s="101">
        <f t="shared" si="1"/>
        <v>0</v>
      </c>
    </row>
    <row r="21" spans="2:9" x14ac:dyDescent="0.2">
      <c r="B21" s="292"/>
      <c r="C21" s="81"/>
      <c r="D21" s="82"/>
      <c r="E21" s="82"/>
      <c r="F21" s="83"/>
      <c r="G21" s="21">
        <f t="shared" si="2"/>
        <v>0</v>
      </c>
      <c r="H21" s="21">
        <f t="shared" si="0"/>
        <v>0</v>
      </c>
      <c r="I21" s="101">
        <f t="shared" si="1"/>
        <v>0</v>
      </c>
    </row>
    <row r="22" spans="2:9" x14ac:dyDescent="0.2">
      <c r="B22" s="292"/>
      <c r="C22" s="81"/>
      <c r="D22" s="82"/>
      <c r="E22" s="82"/>
      <c r="F22" s="83"/>
      <c r="G22" s="21">
        <f t="shared" si="2"/>
        <v>0</v>
      </c>
      <c r="H22" s="21">
        <f t="shared" si="0"/>
        <v>0</v>
      </c>
      <c r="I22" s="101">
        <f t="shared" si="1"/>
        <v>0</v>
      </c>
    </row>
    <row r="23" spans="2:9" x14ac:dyDescent="0.2">
      <c r="B23" s="292"/>
      <c r="C23" s="81"/>
      <c r="D23" s="82"/>
      <c r="E23" s="82"/>
      <c r="F23" s="83"/>
      <c r="G23" s="21">
        <f t="shared" si="2"/>
        <v>0</v>
      </c>
      <c r="H23" s="21">
        <f t="shared" si="0"/>
        <v>0</v>
      </c>
      <c r="I23" s="101">
        <f t="shared" si="1"/>
        <v>0</v>
      </c>
    </row>
    <row r="24" spans="2:9" x14ac:dyDescent="0.2">
      <c r="B24" s="292"/>
      <c r="C24" s="81"/>
      <c r="D24" s="82"/>
      <c r="E24" s="82"/>
      <c r="F24" s="83"/>
      <c r="G24" s="21">
        <f t="shared" si="2"/>
        <v>0</v>
      </c>
      <c r="H24" s="21">
        <f t="shared" si="0"/>
        <v>0</v>
      </c>
      <c r="I24" s="101">
        <f t="shared" si="1"/>
        <v>0</v>
      </c>
    </row>
    <row r="25" spans="2:9" x14ac:dyDescent="0.2">
      <c r="B25" s="292"/>
      <c r="C25" s="81"/>
      <c r="D25" s="82"/>
      <c r="E25" s="82"/>
      <c r="F25" s="83"/>
      <c r="G25" s="21">
        <f t="shared" si="2"/>
        <v>0</v>
      </c>
      <c r="H25" s="21">
        <f t="shared" si="0"/>
        <v>0</v>
      </c>
      <c r="I25" s="101">
        <f t="shared" si="1"/>
        <v>0</v>
      </c>
    </row>
    <row r="26" spans="2:9" x14ac:dyDescent="0.2">
      <c r="B26" s="292"/>
      <c r="C26" s="81"/>
      <c r="D26" s="82"/>
      <c r="E26" s="82"/>
      <c r="F26" s="83"/>
      <c r="G26" s="21">
        <f t="shared" si="2"/>
        <v>0</v>
      </c>
      <c r="H26" s="21">
        <f t="shared" si="0"/>
        <v>0</v>
      </c>
      <c r="I26" s="101">
        <f t="shared" si="1"/>
        <v>0</v>
      </c>
    </row>
    <row r="27" spans="2:9" x14ac:dyDescent="0.2">
      <c r="B27" s="292"/>
      <c r="C27" s="81"/>
      <c r="D27" s="82"/>
      <c r="E27" s="82"/>
      <c r="F27" s="83"/>
      <c r="G27" s="21">
        <f t="shared" si="2"/>
        <v>0</v>
      </c>
      <c r="H27" s="21">
        <f t="shared" si="0"/>
        <v>0</v>
      </c>
      <c r="I27" s="101">
        <f t="shared" si="1"/>
        <v>0</v>
      </c>
    </row>
    <row r="28" spans="2:9" x14ac:dyDescent="0.2">
      <c r="B28" s="292"/>
      <c r="C28" s="81"/>
      <c r="D28" s="82"/>
      <c r="E28" s="82"/>
      <c r="F28" s="83"/>
      <c r="G28" s="21">
        <f t="shared" si="2"/>
        <v>0</v>
      </c>
      <c r="H28" s="21">
        <f t="shared" si="0"/>
        <v>0</v>
      </c>
      <c r="I28" s="101">
        <f t="shared" si="1"/>
        <v>0</v>
      </c>
    </row>
    <row r="29" spans="2:9" x14ac:dyDescent="0.2">
      <c r="B29" s="292"/>
      <c r="C29" s="81"/>
      <c r="D29" s="82"/>
      <c r="E29" s="82"/>
      <c r="F29" s="83"/>
      <c r="G29" s="21">
        <f t="shared" si="2"/>
        <v>0</v>
      </c>
      <c r="H29" s="21">
        <f t="shared" si="0"/>
        <v>0</v>
      </c>
      <c r="I29" s="101">
        <f t="shared" si="1"/>
        <v>0</v>
      </c>
    </row>
    <row r="30" spans="2:9" x14ac:dyDescent="0.2">
      <c r="B30" s="292"/>
      <c r="C30" s="81"/>
      <c r="D30" s="82"/>
      <c r="E30" s="82"/>
      <c r="F30" s="83"/>
      <c r="G30" s="21">
        <f t="shared" si="2"/>
        <v>0</v>
      </c>
      <c r="H30" s="21">
        <f t="shared" si="0"/>
        <v>0</v>
      </c>
      <c r="I30" s="101">
        <f t="shared" si="1"/>
        <v>0</v>
      </c>
    </row>
    <row r="31" spans="2:9" x14ac:dyDescent="0.2">
      <c r="B31" s="292"/>
      <c r="C31" s="81"/>
      <c r="D31" s="82"/>
      <c r="E31" s="82"/>
      <c r="F31" s="83"/>
      <c r="G31" s="21">
        <f t="shared" si="2"/>
        <v>0</v>
      </c>
      <c r="H31" s="21">
        <f t="shared" si="0"/>
        <v>0</v>
      </c>
      <c r="I31" s="101">
        <f t="shared" si="1"/>
        <v>0</v>
      </c>
    </row>
    <row r="32" spans="2:9" x14ac:dyDescent="0.2">
      <c r="B32" s="292"/>
      <c r="C32" s="81"/>
      <c r="D32" s="82"/>
      <c r="E32" s="82"/>
      <c r="F32" s="83"/>
      <c r="G32" s="21">
        <f t="shared" si="2"/>
        <v>0</v>
      </c>
      <c r="H32" s="21">
        <f t="shared" si="0"/>
        <v>0</v>
      </c>
      <c r="I32" s="101">
        <f t="shared" si="1"/>
        <v>0</v>
      </c>
    </row>
    <row r="33" spans="2:9" x14ac:dyDescent="0.2">
      <c r="B33" s="292"/>
      <c r="C33" s="81"/>
      <c r="D33" s="82"/>
      <c r="E33" s="82"/>
      <c r="F33" s="83"/>
      <c r="G33" s="21">
        <f t="shared" si="2"/>
        <v>0</v>
      </c>
      <c r="H33" s="21">
        <f t="shared" si="0"/>
        <v>0</v>
      </c>
      <c r="I33" s="101">
        <f t="shared" si="1"/>
        <v>0</v>
      </c>
    </row>
    <row r="34" spans="2:9" x14ac:dyDescent="0.2">
      <c r="B34" s="292"/>
      <c r="C34" s="81"/>
      <c r="D34" s="82"/>
      <c r="E34" s="82"/>
      <c r="F34" s="83"/>
      <c r="G34" s="21">
        <f t="shared" si="2"/>
        <v>0</v>
      </c>
      <c r="H34" s="21">
        <f t="shared" si="0"/>
        <v>0</v>
      </c>
      <c r="I34" s="101">
        <f t="shared" si="1"/>
        <v>0</v>
      </c>
    </row>
    <row r="35" spans="2:9" x14ac:dyDescent="0.2">
      <c r="B35" s="292"/>
      <c r="C35" s="81"/>
      <c r="D35" s="82"/>
      <c r="E35" s="82"/>
      <c r="F35" s="83"/>
      <c r="G35" s="21">
        <f t="shared" si="2"/>
        <v>0</v>
      </c>
      <c r="H35" s="21">
        <f t="shared" si="0"/>
        <v>0</v>
      </c>
      <c r="I35" s="101">
        <f t="shared" si="1"/>
        <v>0</v>
      </c>
    </row>
    <row r="36" spans="2:9" x14ac:dyDescent="0.2">
      <c r="B36" s="292"/>
      <c r="C36" s="81"/>
      <c r="D36" s="82"/>
      <c r="E36" s="82"/>
      <c r="F36" s="83"/>
      <c r="G36" s="21">
        <f t="shared" si="2"/>
        <v>0</v>
      </c>
      <c r="H36" s="21">
        <f t="shared" si="0"/>
        <v>0</v>
      </c>
      <c r="I36" s="101">
        <f t="shared" si="1"/>
        <v>0</v>
      </c>
    </row>
    <row r="37" spans="2:9" x14ac:dyDescent="0.2">
      <c r="B37" s="292"/>
      <c r="C37" s="81"/>
      <c r="D37" s="82"/>
      <c r="E37" s="82"/>
      <c r="F37" s="83"/>
      <c r="G37" s="21">
        <f t="shared" si="2"/>
        <v>0</v>
      </c>
      <c r="H37" s="21">
        <f t="shared" si="0"/>
        <v>0</v>
      </c>
      <c r="I37" s="101">
        <f t="shared" si="1"/>
        <v>0</v>
      </c>
    </row>
    <row r="38" spans="2:9" x14ac:dyDescent="0.2">
      <c r="B38" s="292"/>
      <c r="C38" s="81"/>
      <c r="D38" s="82"/>
      <c r="E38" s="82"/>
      <c r="F38" s="83"/>
      <c r="G38" s="21">
        <f t="shared" si="2"/>
        <v>0</v>
      </c>
      <c r="H38" s="21">
        <f t="shared" si="0"/>
        <v>0</v>
      </c>
      <c r="I38" s="101">
        <f t="shared" si="1"/>
        <v>0</v>
      </c>
    </row>
    <row r="39" spans="2:9" x14ac:dyDescent="0.2">
      <c r="B39" s="292"/>
      <c r="C39" s="81"/>
      <c r="D39" s="82"/>
      <c r="E39" s="82"/>
      <c r="F39" s="83"/>
      <c r="G39" s="21">
        <f t="shared" si="2"/>
        <v>0</v>
      </c>
      <c r="H39" s="21">
        <f t="shared" si="0"/>
        <v>0</v>
      </c>
      <c r="I39" s="101">
        <f t="shared" si="1"/>
        <v>0</v>
      </c>
    </row>
    <row r="40" spans="2:9" x14ac:dyDescent="0.2">
      <c r="B40" s="292"/>
      <c r="C40" s="81"/>
      <c r="D40" s="82"/>
      <c r="E40" s="82"/>
      <c r="F40" s="83"/>
      <c r="G40" s="21">
        <f t="shared" si="2"/>
        <v>0</v>
      </c>
      <c r="H40" s="21">
        <f t="shared" si="0"/>
        <v>0</v>
      </c>
      <c r="I40" s="101">
        <f t="shared" si="1"/>
        <v>0</v>
      </c>
    </row>
    <row r="41" spans="2:9" x14ac:dyDescent="0.2">
      <c r="B41" s="292"/>
      <c r="C41" s="81"/>
      <c r="D41" s="82"/>
      <c r="E41" s="82"/>
      <c r="F41" s="83"/>
      <c r="G41" s="21">
        <f t="shared" si="2"/>
        <v>0</v>
      </c>
      <c r="H41" s="21">
        <f t="shared" si="0"/>
        <v>0</v>
      </c>
      <c r="I41" s="101">
        <f t="shared" si="1"/>
        <v>0</v>
      </c>
    </row>
    <row r="42" spans="2:9" x14ac:dyDescent="0.2">
      <c r="B42" s="293"/>
      <c r="C42" s="135" t="s">
        <v>55</v>
      </c>
      <c r="D42" s="21">
        <f>SUM(D15:D41)</f>
        <v>0</v>
      </c>
      <c r="E42" s="21">
        <f>SUM(E15:E41)</f>
        <v>0</v>
      </c>
      <c r="F42" s="23"/>
      <c r="G42" s="21">
        <f>SUM(G15:G41)</f>
        <v>0</v>
      </c>
      <c r="H42" s="21">
        <f>SUM(H15:H41)</f>
        <v>0</v>
      </c>
      <c r="I42" s="101">
        <f>SUM(I15:I41)</f>
        <v>0</v>
      </c>
    </row>
  </sheetData>
  <sheetProtection sheet="1" insertRows="0"/>
  <mergeCells count="1">
    <mergeCell ref="B6:D8"/>
  </mergeCells>
  <conditionalFormatting sqref="F15:F41">
    <cfRule type="cellIs" dxfId="58" priority="1" stopIfTrue="1" operator="greaterThan">
      <formula>1</formula>
    </cfRule>
  </conditionalFormatting>
  <pageMargins left="0.75" right="0.75" top="1" bottom="1" header="0.5" footer="0.5"/>
  <pageSetup paperSize="9" scale="30"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88DB4-18E4-4DDB-9A22-966830040F52}">
  <sheetPr codeName="Sheet11">
    <tabColor rgb="FF17415D"/>
  </sheetPr>
  <dimension ref="B1:J36"/>
  <sheetViews>
    <sheetView zoomScaleNormal="100" workbookViewId="0">
      <pane xSplit="1" ySplit="8" topLeftCell="B9" activePane="bottomRight" state="frozen"/>
      <selection activeCell="G47" sqref="G47"/>
      <selection pane="topRight" activeCell="G47" sqref="G47"/>
      <selection pane="bottomLeft" activeCell="G47" sqref="G47"/>
      <selection pane="bottomRight"/>
    </sheetView>
  </sheetViews>
  <sheetFormatPr defaultColWidth="9.140625" defaultRowHeight="12.75" x14ac:dyDescent="0.2"/>
  <cols>
    <col min="1" max="1" width="11.28515625" style="215" customWidth="1"/>
    <col min="2" max="2" width="21" style="215" customWidth="1"/>
    <col min="3" max="3" width="36.140625" style="215" customWidth="1"/>
    <col min="4" max="4" width="26.7109375" style="215" customWidth="1"/>
    <col min="5" max="5" width="23.5703125" style="215" customWidth="1"/>
    <col min="6" max="6" width="22.5703125" style="215" customWidth="1"/>
    <col min="7" max="7" width="20.5703125" style="215" customWidth="1"/>
    <col min="8" max="9" width="22.5703125" style="215" customWidth="1"/>
    <col min="10" max="10" width="35.28515625" style="215" customWidth="1"/>
    <col min="11" max="11" width="25.140625" style="215" customWidth="1"/>
    <col min="12" max="16384" width="9.140625" style="215"/>
  </cols>
  <sheetData>
    <row r="1" spans="2:10" ht="20.25" customHeight="1" x14ac:dyDescent="0.3">
      <c r="B1" s="146" t="s">
        <v>52</v>
      </c>
      <c r="C1" s="146"/>
      <c r="D1" s="214"/>
      <c r="E1" s="214"/>
      <c r="F1" s="214"/>
      <c r="G1" s="214"/>
      <c r="H1" s="214"/>
      <c r="I1" s="214"/>
    </row>
    <row r="2" spans="2:10" ht="20.25" customHeight="1" x14ac:dyDescent="0.3">
      <c r="B2" s="146" t="str">
        <f>IF(Tradingname=0," ",Tradingname)</f>
        <v>APT Pipelines (QLD) Pty Limited</v>
      </c>
      <c r="C2" s="146"/>
      <c r="H2" s="216"/>
      <c r="I2" s="216"/>
    </row>
    <row r="3" spans="2:10" ht="20.25" customHeight="1" x14ac:dyDescent="0.3">
      <c r="B3" s="146" t="s">
        <v>29</v>
      </c>
      <c r="C3" s="110">
        <f>IF(Yearending=0, "01/01/2000", Yearending)</f>
        <v>45838</v>
      </c>
    </row>
    <row r="4" spans="2:10" ht="20.25" x14ac:dyDescent="0.2">
      <c r="B4" s="102" t="s">
        <v>192</v>
      </c>
      <c r="C4" s="102"/>
    </row>
    <row r="6" spans="2:10" x14ac:dyDescent="0.2">
      <c r="B6" s="446" t="s">
        <v>182</v>
      </c>
      <c r="C6" s="446"/>
      <c r="D6" s="446"/>
    </row>
    <row r="7" spans="2:10" ht="15.75" customHeight="1" x14ac:dyDescent="0.2">
      <c r="B7" s="446"/>
      <c r="C7" s="446"/>
      <c r="D7" s="446"/>
    </row>
    <row r="8" spans="2:10" ht="24" customHeight="1" x14ac:dyDescent="0.2">
      <c r="B8" s="446"/>
      <c r="C8" s="446"/>
      <c r="D8" s="446"/>
    </row>
    <row r="11" spans="2:10" ht="15.75" x14ac:dyDescent="0.25">
      <c r="B11" s="217" t="s">
        <v>193</v>
      </c>
      <c r="C11" s="218"/>
      <c r="D11" s="218"/>
      <c r="E11" s="218"/>
      <c r="F11" s="218"/>
      <c r="G11" s="221"/>
      <c r="H11" s="218"/>
      <c r="I11" s="218"/>
    </row>
    <row r="12" spans="2:10" ht="15.75" x14ac:dyDescent="0.25">
      <c r="B12" s="217"/>
      <c r="C12" s="218"/>
      <c r="D12" s="218"/>
      <c r="E12" s="218"/>
      <c r="F12" s="218"/>
      <c r="G12" s="221"/>
      <c r="H12" s="218"/>
      <c r="I12" s="218"/>
    </row>
    <row r="13" spans="2:10" ht="38.25" x14ac:dyDescent="0.2">
      <c r="B13" s="48" t="s">
        <v>112</v>
      </c>
      <c r="C13" s="48" t="s">
        <v>113</v>
      </c>
      <c r="D13" s="52" t="s">
        <v>194</v>
      </c>
      <c r="E13" s="49" t="s">
        <v>195</v>
      </c>
      <c r="F13" s="49" t="s">
        <v>196</v>
      </c>
      <c r="G13" s="49" t="s">
        <v>187</v>
      </c>
      <c r="H13" s="49" t="s">
        <v>188</v>
      </c>
      <c r="I13" s="49" t="s">
        <v>189</v>
      </c>
      <c r="J13" s="49" t="s">
        <v>190</v>
      </c>
    </row>
    <row r="14" spans="2:10" x14ac:dyDescent="0.2">
      <c r="B14" s="50"/>
      <c r="C14" s="50" t="s">
        <v>197</v>
      </c>
      <c r="D14" s="53"/>
      <c r="E14" s="51" t="s">
        <v>115</v>
      </c>
      <c r="F14" s="51" t="s">
        <v>115</v>
      </c>
      <c r="G14" s="51"/>
      <c r="H14" s="51" t="s">
        <v>115</v>
      </c>
      <c r="I14" s="51" t="s">
        <v>115</v>
      </c>
      <c r="J14" s="51" t="s">
        <v>115</v>
      </c>
    </row>
    <row r="15" spans="2:10" x14ac:dyDescent="0.2">
      <c r="B15" s="292"/>
      <c r="C15" s="45" t="s">
        <v>148</v>
      </c>
      <c r="D15" s="136"/>
      <c r="E15" s="82"/>
      <c r="F15" s="82"/>
      <c r="G15" s="83"/>
      <c r="H15" s="21">
        <f t="shared" ref="H15:H22" si="0">E15*G15</f>
        <v>0</v>
      </c>
      <c r="I15" s="21">
        <f t="shared" ref="I15:I22" si="1">F15*G15</f>
        <v>0</v>
      </c>
      <c r="J15" s="101">
        <f t="shared" ref="J15:J35" si="2">H15+I15</f>
        <v>0</v>
      </c>
    </row>
    <row r="16" spans="2:10" ht="25.5" x14ac:dyDescent="0.2">
      <c r="B16" s="292"/>
      <c r="C16" s="45" t="s">
        <v>149</v>
      </c>
      <c r="D16" s="136"/>
      <c r="E16" s="82"/>
      <c r="F16" s="82"/>
      <c r="G16" s="83"/>
      <c r="H16" s="21">
        <f t="shared" si="0"/>
        <v>0</v>
      </c>
      <c r="I16" s="21">
        <f t="shared" si="1"/>
        <v>0</v>
      </c>
      <c r="J16" s="101">
        <f t="shared" si="2"/>
        <v>0</v>
      </c>
    </row>
    <row r="17" spans="2:10" x14ac:dyDescent="0.2">
      <c r="B17" s="292"/>
      <c r="C17" s="54" t="s">
        <v>150</v>
      </c>
      <c r="D17" s="136"/>
      <c r="E17" s="82"/>
      <c r="F17" s="82"/>
      <c r="G17" s="83"/>
      <c r="H17" s="21">
        <f t="shared" si="0"/>
        <v>0</v>
      </c>
      <c r="I17" s="21">
        <f t="shared" si="1"/>
        <v>0</v>
      </c>
      <c r="J17" s="101">
        <f t="shared" si="2"/>
        <v>0</v>
      </c>
    </row>
    <row r="18" spans="2:10" x14ac:dyDescent="0.2">
      <c r="B18" s="368" t="s">
        <v>901</v>
      </c>
      <c r="C18" s="45" t="s">
        <v>151</v>
      </c>
      <c r="D18" s="136"/>
      <c r="E18" s="82">
        <v>55278031</v>
      </c>
      <c r="F18" s="82"/>
      <c r="G18" s="83">
        <v>3.2513441662456601E-2</v>
      </c>
      <c r="H18" s="21">
        <f t="shared" si="0"/>
        <v>1797279.0361339676</v>
      </c>
      <c r="I18" s="21">
        <f t="shared" si="1"/>
        <v>0</v>
      </c>
      <c r="J18" s="101">
        <f t="shared" si="2"/>
        <v>1797279.0361339676</v>
      </c>
    </row>
    <row r="19" spans="2:10" x14ac:dyDescent="0.2">
      <c r="B19" s="292"/>
      <c r="C19" s="45" t="s">
        <v>152</v>
      </c>
      <c r="D19" s="136"/>
      <c r="E19" s="82"/>
      <c r="F19" s="82"/>
      <c r="G19" s="83"/>
      <c r="H19" s="21">
        <f t="shared" si="0"/>
        <v>0</v>
      </c>
      <c r="I19" s="21">
        <f t="shared" si="1"/>
        <v>0</v>
      </c>
      <c r="J19" s="101">
        <f t="shared" si="2"/>
        <v>0</v>
      </c>
    </row>
    <row r="20" spans="2:10" x14ac:dyDescent="0.2">
      <c r="B20" s="292"/>
      <c r="C20" s="54" t="s">
        <v>153</v>
      </c>
      <c r="D20" s="136"/>
      <c r="E20" s="82"/>
      <c r="F20" s="82"/>
      <c r="G20" s="83"/>
      <c r="H20" s="21">
        <f t="shared" si="0"/>
        <v>0</v>
      </c>
      <c r="I20" s="21">
        <f t="shared" si="1"/>
        <v>0</v>
      </c>
      <c r="J20" s="101">
        <f t="shared" si="2"/>
        <v>0</v>
      </c>
    </row>
    <row r="21" spans="2:10" x14ac:dyDescent="0.2">
      <c r="B21" s="292"/>
      <c r="C21" s="54" t="s">
        <v>154</v>
      </c>
      <c r="D21" s="136"/>
      <c r="E21" s="82"/>
      <c r="F21" s="82"/>
      <c r="G21" s="83"/>
      <c r="H21" s="21">
        <f t="shared" si="0"/>
        <v>0</v>
      </c>
      <c r="I21" s="21">
        <f t="shared" si="1"/>
        <v>0</v>
      </c>
      <c r="J21" s="101">
        <f t="shared" si="2"/>
        <v>0</v>
      </c>
    </row>
    <row r="22" spans="2:10" ht="25.5" x14ac:dyDescent="0.2">
      <c r="B22" s="292"/>
      <c r="C22" s="54" t="s">
        <v>155</v>
      </c>
      <c r="D22" s="136"/>
      <c r="E22" s="82"/>
      <c r="F22" s="82"/>
      <c r="G22" s="83"/>
      <c r="H22" s="21">
        <f t="shared" si="0"/>
        <v>0</v>
      </c>
      <c r="I22" s="21">
        <f t="shared" si="1"/>
        <v>0</v>
      </c>
      <c r="J22" s="101">
        <f t="shared" si="2"/>
        <v>0</v>
      </c>
    </row>
    <row r="23" spans="2:10" x14ac:dyDescent="0.2">
      <c r="B23" s="292"/>
      <c r="C23" s="45" t="s">
        <v>156</v>
      </c>
      <c r="D23" s="136"/>
      <c r="E23" s="137">
        <f>SUM(E24:E35)</f>
        <v>205056471.24199873</v>
      </c>
      <c r="F23" s="137">
        <f>SUM(F24:F35)</f>
        <v>0</v>
      </c>
      <c r="G23" s="138"/>
      <c r="H23" s="137">
        <f>SUM(H24:H35)</f>
        <v>6667091.6152359443</v>
      </c>
      <c r="I23" s="137">
        <f>SUM(I24:I35)</f>
        <v>0</v>
      </c>
      <c r="J23" s="101">
        <f t="shared" si="2"/>
        <v>6667091.6152359443</v>
      </c>
    </row>
    <row r="24" spans="2:10" x14ac:dyDescent="0.2">
      <c r="B24" s="368" t="s">
        <v>901</v>
      </c>
      <c r="C24" s="81" t="s">
        <v>742</v>
      </c>
      <c r="D24" s="136"/>
      <c r="E24" s="82">
        <v>190714348.27999875</v>
      </c>
      <c r="F24" s="82"/>
      <c r="G24" s="83">
        <v>3.2513441662456642E-2</v>
      </c>
      <c r="H24" s="21">
        <f t="shared" ref="H24:H35" si="3">E24*G24</f>
        <v>6200779.8369951779</v>
      </c>
      <c r="I24" s="21">
        <f t="shared" ref="I24:I35" si="4">F24*G24</f>
        <v>0</v>
      </c>
      <c r="J24" s="101">
        <f t="shared" si="2"/>
        <v>6200779.8369951779</v>
      </c>
    </row>
    <row r="25" spans="2:10" x14ac:dyDescent="0.2">
      <c r="B25" s="360" t="s">
        <v>901</v>
      </c>
      <c r="C25" s="329" t="s">
        <v>778</v>
      </c>
      <c r="D25" s="136"/>
      <c r="E25" s="82">
        <v>1942424.69</v>
      </c>
      <c r="F25" s="82"/>
      <c r="G25" s="83">
        <v>3.2513441662456642E-2</v>
      </c>
      <c r="H25" s="21">
        <f t="shared" si="3"/>
        <v>63154.911842030429</v>
      </c>
      <c r="I25" s="21">
        <f t="shared" si="4"/>
        <v>0</v>
      </c>
      <c r="J25" s="101">
        <f t="shared" si="2"/>
        <v>63154.911842030429</v>
      </c>
    </row>
    <row r="26" spans="2:10" x14ac:dyDescent="0.2">
      <c r="B26" s="360" t="s">
        <v>901</v>
      </c>
      <c r="C26" s="329" t="s">
        <v>777</v>
      </c>
      <c r="D26" s="136"/>
      <c r="E26" s="82">
        <v>12399698.271999989</v>
      </c>
      <c r="F26" s="82"/>
      <c r="G26" s="83">
        <v>3.2513441662456642E-2</v>
      </c>
      <c r="H26" s="21">
        <f t="shared" si="3"/>
        <v>403156.86639873608</v>
      </c>
      <c r="I26" s="21">
        <f t="shared" si="4"/>
        <v>0</v>
      </c>
      <c r="J26" s="101">
        <f t="shared" si="2"/>
        <v>403156.86639873608</v>
      </c>
    </row>
    <row r="27" spans="2:10" x14ac:dyDescent="0.2">
      <c r="B27" s="292"/>
      <c r="C27" s="81"/>
      <c r="D27" s="136"/>
      <c r="E27" s="82"/>
      <c r="F27" s="82"/>
      <c r="G27" s="83"/>
      <c r="H27" s="21">
        <f t="shared" si="3"/>
        <v>0</v>
      </c>
      <c r="I27" s="21">
        <f t="shared" si="4"/>
        <v>0</v>
      </c>
      <c r="J27" s="101">
        <f t="shared" si="2"/>
        <v>0</v>
      </c>
    </row>
    <row r="28" spans="2:10" x14ac:dyDescent="0.2">
      <c r="B28" s="292"/>
      <c r="C28" s="81"/>
      <c r="D28" s="136"/>
      <c r="E28" s="82"/>
      <c r="F28" s="82"/>
      <c r="G28" s="83"/>
      <c r="H28" s="21">
        <f t="shared" si="3"/>
        <v>0</v>
      </c>
      <c r="I28" s="21">
        <f t="shared" si="4"/>
        <v>0</v>
      </c>
      <c r="J28" s="101">
        <f t="shared" si="2"/>
        <v>0</v>
      </c>
    </row>
    <row r="29" spans="2:10" x14ac:dyDescent="0.2">
      <c r="B29" s="292"/>
      <c r="C29" s="81"/>
      <c r="D29" s="136"/>
      <c r="E29" s="82"/>
      <c r="F29" s="82"/>
      <c r="G29" s="83"/>
      <c r="H29" s="21">
        <f t="shared" si="3"/>
        <v>0</v>
      </c>
      <c r="I29" s="21">
        <f t="shared" si="4"/>
        <v>0</v>
      </c>
      <c r="J29" s="101">
        <f t="shared" si="2"/>
        <v>0</v>
      </c>
    </row>
    <row r="30" spans="2:10" x14ac:dyDescent="0.2">
      <c r="B30" s="292"/>
      <c r="C30" s="81"/>
      <c r="D30" s="136"/>
      <c r="E30" s="82"/>
      <c r="F30" s="82"/>
      <c r="G30" s="83"/>
      <c r="H30" s="21">
        <f t="shared" si="3"/>
        <v>0</v>
      </c>
      <c r="I30" s="21">
        <f t="shared" si="4"/>
        <v>0</v>
      </c>
      <c r="J30" s="101">
        <f t="shared" si="2"/>
        <v>0</v>
      </c>
    </row>
    <row r="31" spans="2:10" x14ac:dyDescent="0.2">
      <c r="B31" s="292"/>
      <c r="C31" s="81"/>
      <c r="D31" s="136"/>
      <c r="E31" s="82"/>
      <c r="F31" s="82"/>
      <c r="G31" s="83"/>
      <c r="H31" s="21">
        <f t="shared" si="3"/>
        <v>0</v>
      </c>
      <c r="I31" s="21">
        <f t="shared" si="4"/>
        <v>0</v>
      </c>
      <c r="J31" s="101">
        <f t="shared" si="2"/>
        <v>0</v>
      </c>
    </row>
    <row r="32" spans="2:10" x14ac:dyDescent="0.2">
      <c r="B32" s="292"/>
      <c r="C32" s="81"/>
      <c r="D32" s="136"/>
      <c r="E32" s="82"/>
      <c r="F32" s="82"/>
      <c r="G32" s="83"/>
      <c r="H32" s="21">
        <f t="shared" si="3"/>
        <v>0</v>
      </c>
      <c r="I32" s="21">
        <f t="shared" si="4"/>
        <v>0</v>
      </c>
      <c r="J32" s="101">
        <f t="shared" si="2"/>
        <v>0</v>
      </c>
    </row>
    <row r="33" spans="2:10" x14ac:dyDescent="0.2">
      <c r="B33" s="292"/>
      <c r="C33" s="81"/>
      <c r="D33" s="136"/>
      <c r="E33" s="82"/>
      <c r="F33" s="82"/>
      <c r="G33" s="83"/>
      <c r="H33" s="21">
        <f t="shared" si="3"/>
        <v>0</v>
      </c>
      <c r="I33" s="21">
        <f t="shared" si="4"/>
        <v>0</v>
      </c>
      <c r="J33" s="101">
        <f t="shared" si="2"/>
        <v>0</v>
      </c>
    </row>
    <row r="34" spans="2:10" x14ac:dyDescent="0.2">
      <c r="B34" s="292"/>
      <c r="C34" s="81"/>
      <c r="D34" s="136"/>
      <c r="E34" s="82"/>
      <c r="F34" s="82"/>
      <c r="G34" s="83"/>
      <c r="H34" s="21">
        <f t="shared" si="3"/>
        <v>0</v>
      </c>
      <c r="I34" s="21">
        <f t="shared" si="4"/>
        <v>0</v>
      </c>
      <c r="J34" s="101">
        <f t="shared" si="2"/>
        <v>0</v>
      </c>
    </row>
    <row r="35" spans="2:10" x14ac:dyDescent="0.2">
      <c r="B35" s="292"/>
      <c r="C35" s="81"/>
      <c r="D35" s="136"/>
      <c r="E35" s="82"/>
      <c r="F35" s="82"/>
      <c r="G35" s="83"/>
      <c r="H35" s="21">
        <f t="shared" si="3"/>
        <v>0</v>
      </c>
      <c r="I35" s="21">
        <f t="shared" si="4"/>
        <v>0</v>
      </c>
      <c r="J35" s="101">
        <f t="shared" si="2"/>
        <v>0</v>
      </c>
    </row>
    <row r="36" spans="2:10" x14ac:dyDescent="0.2">
      <c r="B36" s="293"/>
      <c r="C36" s="447" t="s">
        <v>180</v>
      </c>
      <c r="D36" s="448"/>
      <c r="E36" s="21">
        <f>SUM(E15:E23)</f>
        <v>260334502.24199873</v>
      </c>
      <c r="F36" s="21">
        <f>SUM(F15:F23)</f>
        <v>0</v>
      </c>
      <c r="G36" s="139"/>
      <c r="H36" s="21">
        <f>SUM(H15:H23)</f>
        <v>8464370.6513699125</v>
      </c>
      <c r="I36" s="21">
        <f>SUM(I15:I23)</f>
        <v>0</v>
      </c>
      <c r="J36" s="101">
        <f>SUM(J15:J23)</f>
        <v>8464370.6513699125</v>
      </c>
    </row>
  </sheetData>
  <sheetProtection sheet="1"/>
  <mergeCells count="2">
    <mergeCell ref="B6:D8"/>
    <mergeCell ref="C36:D36"/>
  </mergeCells>
  <phoneticPr fontId="33" type="noConversion"/>
  <pageMargins left="0.75" right="0.75" top="1" bottom="1" header="0.5" footer="0.5"/>
  <pageSetup paperSize="9" scale="3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870F7-AA3A-47BB-9834-F234EB99E9FF}">
  <sheetPr>
    <pageSetUpPr fitToPage="1"/>
  </sheetPr>
  <dimension ref="A1:H17"/>
  <sheetViews>
    <sheetView workbookViewId="0">
      <selection activeCell="G4" sqref="G4"/>
    </sheetView>
  </sheetViews>
  <sheetFormatPr defaultRowHeight="15" customHeight="1" x14ac:dyDescent="0.2"/>
  <cols>
    <col min="1" max="6" width="9.140625" style="348"/>
    <col min="7" max="7" width="28" style="348" bestFit="1" customWidth="1"/>
    <col min="8" max="8" width="18.28515625" style="348" bestFit="1" customWidth="1"/>
    <col min="9" max="262" width="9.140625" style="348"/>
    <col min="263" max="263" width="28" style="348" bestFit="1" customWidth="1"/>
    <col min="264" max="264" width="18.28515625" style="348" bestFit="1" customWidth="1"/>
    <col min="265" max="518" width="9.140625" style="348"/>
    <col min="519" max="519" width="28" style="348" bestFit="1" customWidth="1"/>
    <col min="520" max="520" width="18.28515625" style="348" bestFit="1" customWidth="1"/>
    <col min="521" max="774" width="9.140625" style="348"/>
    <col min="775" max="775" width="28" style="348" bestFit="1" customWidth="1"/>
    <col min="776" max="776" width="18.28515625" style="348" bestFit="1" customWidth="1"/>
    <col min="777" max="1030" width="9.140625" style="348"/>
    <col min="1031" max="1031" width="28" style="348" bestFit="1" customWidth="1"/>
    <col min="1032" max="1032" width="18.28515625" style="348" bestFit="1" customWidth="1"/>
    <col min="1033" max="1286" width="9.140625" style="348"/>
    <col min="1287" max="1287" width="28" style="348" bestFit="1" customWidth="1"/>
    <col min="1288" max="1288" width="18.28515625" style="348" bestFit="1" customWidth="1"/>
    <col min="1289" max="1542" width="9.140625" style="348"/>
    <col min="1543" max="1543" width="28" style="348" bestFit="1" customWidth="1"/>
    <col min="1544" max="1544" width="18.28515625" style="348" bestFit="1" customWidth="1"/>
    <col min="1545" max="1798" width="9.140625" style="348"/>
    <col min="1799" max="1799" width="28" style="348" bestFit="1" customWidth="1"/>
    <col min="1800" max="1800" width="18.28515625" style="348" bestFit="1" customWidth="1"/>
    <col min="1801" max="2054" width="9.140625" style="348"/>
    <col min="2055" max="2055" width="28" style="348" bestFit="1" customWidth="1"/>
    <col min="2056" max="2056" width="18.28515625" style="348" bestFit="1" customWidth="1"/>
    <col min="2057" max="2310" width="9.140625" style="348"/>
    <col min="2311" max="2311" width="28" style="348" bestFit="1" customWidth="1"/>
    <col min="2312" max="2312" width="18.28515625" style="348" bestFit="1" customWidth="1"/>
    <col min="2313" max="2566" width="9.140625" style="348"/>
    <col min="2567" max="2567" width="28" style="348" bestFit="1" customWidth="1"/>
    <col min="2568" max="2568" width="18.28515625" style="348" bestFit="1" customWidth="1"/>
    <col min="2569" max="2822" width="9.140625" style="348"/>
    <col min="2823" max="2823" width="28" style="348" bestFit="1" customWidth="1"/>
    <col min="2824" max="2824" width="18.28515625" style="348" bestFit="1" customWidth="1"/>
    <col min="2825" max="3078" width="9.140625" style="348"/>
    <col min="3079" max="3079" width="28" style="348" bestFit="1" customWidth="1"/>
    <col min="3080" max="3080" width="18.28515625" style="348" bestFit="1" customWidth="1"/>
    <col min="3081" max="3334" width="9.140625" style="348"/>
    <col min="3335" max="3335" width="28" style="348" bestFit="1" customWidth="1"/>
    <col min="3336" max="3336" width="18.28515625" style="348" bestFit="1" customWidth="1"/>
    <col min="3337" max="3590" width="9.140625" style="348"/>
    <col min="3591" max="3591" width="28" style="348" bestFit="1" customWidth="1"/>
    <col min="3592" max="3592" width="18.28515625" style="348" bestFit="1" customWidth="1"/>
    <col min="3593" max="3846" width="9.140625" style="348"/>
    <col min="3847" max="3847" width="28" style="348" bestFit="1" customWidth="1"/>
    <col min="3848" max="3848" width="18.28515625" style="348" bestFit="1" customWidth="1"/>
    <col min="3849" max="4102" width="9.140625" style="348"/>
    <col min="4103" max="4103" width="28" style="348" bestFit="1" customWidth="1"/>
    <col min="4104" max="4104" width="18.28515625" style="348" bestFit="1" customWidth="1"/>
    <col min="4105" max="4358" width="9.140625" style="348"/>
    <col min="4359" max="4359" width="28" style="348" bestFit="1" customWidth="1"/>
    <col min="4360" max="4360" width="18.28515625" style="348" bestFit="1" customWidth="1"/>
    <col min="4361" max="4614" width="9.140625" style="348"/>
    <col min="4615" max="4615" width="28" style="348" bestFit="1" customWidth="1"/>
    <col min="4616" max="4616" width="18.28515625" style="348" bestFit="1" customWidth="1"/>
    <col min="4617" max="4870" width="9.140625" style="348"/>
    <col min="4871" max="4871" width="28" style="348" bestFit="1" customWidth="1"/>
    <col min="4872" max="4872" width="18.28515625" style="348" bestFit="1" customWidth="1"/>
    <col min="4873" max="5126" width="9.140625" style="348"/>
    <col min="5127" max="5127" width="28" style="348" bestFit="1" customWidth="1"/>
    <col min="5128" max="5128" width="18.28515625" style="348" bestFit="1" customWidth="1"/>
    <col min="5129" max="5382" width="9.140625" style="348"/>
    <col min="5383" max="5383" width="28" style="348" bestFit="1" customWidth="1"/>
    <col min="5384" max="5384" width="18.28515625" style="348" bestFit="1" customWidth="1"/>
    <col min="5385" max="5638" width="9.140625" style="348"/>
    <col min="5639" max="5639" width="28" style="348" bestFit="1" customWidth="1"/>
    <col min="5640" max="5640" width="18.28515625" style="348" bestFit="1" customWidth="1"/>
    <col min="5641" max="5894" width="9.140625" style="348"/>
    <col min="5895" max="5895" width="28" style="348" bestFit="1" customWidth="1"/>
    <col min="5896" max="5896" width="18.28515625" style="348" bestFit="1" customWidth="1"/>
    <col min="5897" max="6150" width="9.140625" style="348"/>
    <col min="6151" max="6151" width="28" style="348" bestFit="1" customWidth="1"/>
    <col min="6152" max="6152" width="18.28515625" style="348" bestFit="1" customWidth="1"/>
    <col min="6153" max="6406" width="9.140625" style="348"/>
    <col min="6407" max="6407" width="28" style="348" bestFit="1" customWidth="1"/>
    <col min="6408" max="6408" width="18.28515625" style="348" bestFit="1" customWidth="1"/>
    <col min="6409" max="6662" width="9.140625" style="348"/>
    <col min="6663" max="6663" width="28" style="348" bestFit="1" customWidth="1"/>
    <col min="6664" max="6664" width="18.28515625" style="348" bestFit="1" customWidth="1"/>
    <col min="6665" max="6918" width="9.140625" style="348"/>
    <col min="6919" max="6919" width="28" style="348" bestFit="1" customWidth="1"/>
    <col min="6920" max="6920" width="18.28515625" style="348" bestFit="1" customWidth="1"/>
    <col min="6921" max="7174" width="9.140625" style="348"/>
    <col min="7175" max="7175" width="28" style="348" bestFit="1" customWidth="1"/>
    <col min="7176" max="7176" width="18.28515625" style="348" bestFit="1" customWidth="1"/>
    <col min="7177" max="7430" width="9.140625" style="348"/>
    <col min="7431" max="7431" width="28" style="348" bestFit="1" customWidth="1"/>
    <col min="7432" max="7432" width="18.28515625" style="348" bestFit="1" customWidth="1"/>
    <col min="7433" max="7686" width="9.140625" style="348"/>
    <col min="7687" max="7687" width="28" style="348" bestFit="1" customWidth="1"/>
    <col min="7688" max="7688" width="18.28515625" style="348" bestFit="1" customWidth="1"/>
    <col min="7689" max="7942" width="9.140625" style="348"/>
    <col min="7943" max="7943" width="28" style="348" bestFit="1" customWidth="1"/>
    <col min="7944" max="7944" width="18.28515625" style="348" bestFit="1" customWidth="1"/>
    <col min="7945" max="8198" width="9.140625" style="348"/>
    <col min="8199" max="8199" width="28" style="348" bestFit="1" customWidth="1"/>
    <col min="8200" max="8200" width="18.28515625" style="348" bestFit="1" customWidth="1"/>
    <col min="8201" max="8454" width="9.140625" style="348"/>
    <col min="8455" max="8455" width="28" style="348" bestFit="1" customWidth="1"/>
    <col min="8456" max="8456" width="18.28515625" style="348" bestFit="1" customWidth="1"/>
    <col min="8457" max="8710" width="9.140625" style="348"/>
    <col min="8711" max="8711" width="28" style="348" bestFit="1" customWidth="1"/>
    <col min="8712" max="8712" width="18.28515625" style="348" bestFit="1" customWidth="1"/>
    <col min="8713" max="8966" width="9.140625" style="348"/>
    <col min="8967" max="8967" width="28" style="348" bestFit="1" customWidth="1"/>
    <col min="8968" max="8968" width="18.28515625" style="348" bestFit="1" customWidth="1"/>
    <col min="8969" max="9222" width="9.140625" style="348"/>
    <col min="9223" max="9223" width="28" style="348" bestFit="1" customWidth="1"/>
    <col min="9224" max="9224" width="18.28515625" style="348" bestFit="1" customWidth="1"/>
    <col min="9225" max="9478" width="9.140625" style="348"/>
    <col min="9479" max="9479" width="28" style="348" bestFit="1" customWidth="1"/>
    <col min="9480" max="9480" width="18.28515625" style="348" bestFit="1" customWidth="1"/>
    <col min="9481" max="9734" width="9.140625" style="348"/>
    <col min="9735" max="9735" width="28" style="348" bestFit="1" customWidth="1"/>
    <col min="9736" max="9736" width="18.28515625" style="348" bestFit="1" customWidth="1"/>
    <col min="9737" max="9990" width="9.140625" style="348"/>
    <col min="9991" max="9991" width="28" style="348" bestFit="1" customWidth="1"/>
    <col min="9992" max="9992" width="18.28515625" style="348" bestFit="1" customWidth="1"/>
    <col min="9993" max="10246" width="9.140625" style="348"/>
    <col min="10247" max="10247" width="28" style="348" bestFit="1" customWidth="1"/>
    <col min="10248" max="10248" width="18.28515625" style="348" bestFit="1" customWidth="1"/>
    <col min="10249" max="10502" width="9.140625" style="348"/>
    <col min="10503" max="10503" width="28" style="348" bestFit="1" customWidth="1"/>
    <col min="10504" max="10504" width="18.28515625" style="348" bestFit="1" customWidth="1"/>
    <col min="10505" max="10758" width="9.140625" style="348"/>
    <col min="10759" max="10759" width="28" style="348" bestFit="1" customWidth="1"/>
    <col min="10760" max="10760" width="18.28515625" style="348" bestFit="1" customWidth="1"/>
    <col min="10761" max="11014" width="9.140625" style="348"/>
    <col min="11015" max="11015" width="28" style="348" bestFit="1" customWidth="1"/>
    <col min="11016" max="11016" width="18.28515625" style="348" bestFit="1" customWidth="1"/>
    <col min="11017" max="11270" width="9.140625" style="348"/>
    <col min="11271" max="11271" width="28" style="348" bestFit="1" customWidth="1"/>
    <col min="11272" max="11272" width="18.28515625" style="348" bestFit="1" customWidth="1"/>
    <col min="11273" max="11526" width="9.140625" style="348"/>
    <col min="11527" max="11527" width="28" style="348" bestFit="1" customWidth="1"/>
    <col min="11528" max="11528" width="18.28515625" style="348" bestFit="1" customWidth="1"/>
    <col min="11529" max="11782" width="9.140625" style="348"/>
    <col min="11783" max="11783" width="28" style="348" bestFit="1" customWidth="1"/>
    <col min="11784" max="11784" width="18.28515625" style="348" bestFit="1" customWidth="1"/>
    <col min="11785" max="12038" width="9.140625" style="348"/>
    <col min="12039" max="12039" width="28" style="348" bestFit="1" customWidth="1"/>
    <col min="12040" max="12040" width="18.28515625" style="348" bestFit="1" customWidth="1"/>
    <col min="12041" max="12294" width="9.140625" style="348"/>
    <col min="12295" max="12295" width="28" style="348" bestFit="1" customWidth="1"/>
    <col min="12296" max="12296" width="18.28515625" style="348" bestFit="1" customWidth="1"/>
    <col min="12297" max="12550" width="9.140625" style="348"/>
    <col min="12551" max="12551" width="28" style="348" bestFit="1" customWidth="1"/>
    <col min="12552" max="12552" width="18.28515625" style="348" bestFit="1" customWidth="1"/>
    <col min="12553" max="12806" width="9.140625" style="348"/>
    <col min="12807" max="12807" width="28" style="348" bestFit="1" customWidth="1"/>
    <col min="12808" max="12808" width="18.28515625" style="348" bestFit="1" customWidth="1"/>
    <col min="12809" max="13062" width="9.140625" style="348"/>
    <col min="13063" max="13063" width="28" style="348" bestFit="1" customWidth="1"/>
    <col min="13064" max="13064" width="18.28515625" style="348" bestFit="1" customWidth="1"/>
    <col min="13065" max="13318" width="9.140625" style="348"/>
    <col min="13319" max="13319" width="28" style="348" bestFit="1" customWidth="1"/>
    <col min="13320" max="13320" width="18.28515625" style="348" bestFit="1" customWidth="1"/>
    <col min="13321" max="13574" width="9.140625" style="348"/>
    <col min="13575" max="13575" width="28" style="348" bestFit="1" customWidth="1"/>
    <col min="13576" max="13576" width="18.28515625" style="348" bestFit="1" customWidth="1"/>
    <col min="13577" max="13830" width="9.140625" style="348"/>
    <col min="13831" max="13831" width="28" style="348" bestFit="1" customWidth="1"/>
    <col min="13832" max="13832" width="18.28515625" style="348" bestFit="1" customWidth="1"/>
    <col min="13833" max="14086" width="9.140625" style="348"/>
    <col min="14087" max="14087" width="28" style="348" bestFit="1" customWidth="1"/>
    <col min="14088" max="14088" width="18.28515625" style="348" bestFit="1" customWidth="1"/>
    <col min="14089" max="14342" width="9.140625" style="348"/>
    <col min="14343" max="14343" width="28" style="348" bestFit="1" customWidth="1"/>
    <col min="14344" max="14344" width="18.28515625" style="348" bestFit="1" customWidth="1"/>
    <col min="14345" max="14598" width="9.140625" style="348"/>
    <col min="14599" max="14599" width="28" style="348" bestFit="1" customWidth="1"/>
    <col min="14600" max="14600" width="18.28515625" style="348" bestFit="1" customWidth="1"/>
    <col min="14601" max="14854" width="9.140625" style="348"/>
    <col min="14855" max="14855" width="28" style="348" bestFit="1" customWidth="1"/>
    <col min="14856" max="14856" width="18.28515625" style="348" bestFit="1" customWidth="1"/>
    <col min="14857" max="15110" width="9.140625" style="348"/>
    <col min="15111" max="15111" width="28" style="348" bestFit="1" customWidth="1"/>
    <col min="15112" max="15112" width="18.28515625" style="348" bestFit="1" customWidth="1"/>
    <col min="15113" max="15366" width="9.140625" style="348"/>
    <col min="15367" max="15367" width="28" style="348" bestFit="1" customWidth="1"/>
    <col min="15368" max="15368" width="18.28515625" style="348" bestFit="1" customWidth="1"/>
    <col min="15369" max="15622" width="9.140625" style="348"/>
    <col min="15623" max="15623" width="28" style="348" bestFit="1" customWidth="1"/>
    <col min="15624" max="15624" width="18.28515625" style="348" bestFit="1" customWidth="1"/>
    <col min="15625" max="15878" width="9.140625" style="348"/>
    <col min="15879" max="15879" width="28" style="348" bestFit="1" customWidth="1"/>
    <col min="15880" max="15880" width="18.28515625" style="348" bestFit="1" customWidth="1"/>
    <col min="15881" max="16134" width="9.140625" style="348"/>
    <col min="16135" max="16135" width="28" style="348" bestFit="1" customWidth="1"/>
    <col min="16136" max="16136" width="18.28515625" style="348" bestFit="1" customWidth="1"/>
    <col min="16137" max="16384" width="9.140625" style="348"/>
  </cols>
  <sheetData>
    <row r="1" spans="1:8" ht="15" customHeight="1" x14ac:dyDescent="0.2">
      <c r="A1" s="348" t="s">
        <v>479</v>
      </c>
      <c r="G1" s="348" t="s">
        <v>480</v>
      </c>
      <c r="H1" s="348" t="s">
        <v>480</v>
      </c>
    </row>
    <row r="3" spans="1:8" ht="15" customHeight="1" x14ac:dyDescent="0.2">
      <c r="A3" s="349" t="s">
        <v>202</v>
      </c>
      <c r="G3" s="348" t="s">
        <v>481</v>
      </c>
      <c r="H3" s="348" t="s">
        <v>482</v>
      </c>
    </row>
    <row r="4" spans="1:8" ht="15" customHeight="1" x14ac:dyDescent="0.2">
      <c r="A4" s="349" t="s">
        <v>211</v>
      </c>
      <c r="G4" s="348" t="s">
        <v>483</v>
      </c>
      <c r="H4" s="348" t="s">
        <v>484</v>
      </c>
    </row>
    <row r="5" spans="1:8" ht="15" customHeight="1" x14ac:dyDescent="0.2">
      <c r="A5" s="349" t="s">
        <v>213</v>
      </c>
      <c r="G5" s="348" t="s">
        <v>485</v>
      </c>
      <c r="H5" s="348" t="s">
        <v>486</v>
      </c>
    </row>
    <row r="6" spans="1:8" ht="15" customHeight="1" x14ac:dyDescent="0.2">
      <c r="A6" s="349" t="s">
        <v>215</v>
      </c>
    </row>
    <row r="7" spans="1:8" ht="15" customHeight="1" x14ac:dyDescent="0.2">
      <c r="A7" s="349" t="s">
        <v>218</v>
      </c>
    </row>
    <row r="8" spans="1:8" ht="15" customHeight="1" x14ac:dyDescent="0.2">
      <c r="A8" s="349" t="s">
        <v>220</v>
      </c>
    </row>
    <row r="9" spans="1:8" ht="15" customHeight="1" x14ac:dyDescent="0.2">
      <c r="A9" s="349" t="s">
        <v>222</v>
      </c>
    </row>
    <row r="10" spans="1:8" ht="15" customHeight="1" x14ac:dyDescent="0.2">
      <c r="A10" s="349" t="s">
        <v>224</v>
      </c>
    </row>
    <row r="11" spans="1:8" ht="15" customHeight="1" x14ac:dyDescent="0.2">
      <c r="A11" s="349" t="s">
        <v>226</v>
      </c>
    </row>
    <row r="12" spans="1:8" ht="15" customHeight="1" x14ac:dyDescent="0.2">
      <c r="A12" s="348" t="s">
        <v>228</v>
      </c>
    </row>
    <row r="13" spans="1:8" ht="15" customHeight="1" x14ac:dyDescent="0.2">
      <c r="A13" s="348" t="s">
        <v>235</v>
      </c>
    </row>
    <row r="14" spans="1:8" ht="15" customHeight="1" x14ac:dyDescent="0.2">
      <c r="A14" s="348" t="s">
        <v>237</v>
      </c>
    </row>
    <row r="15" spans="1:8" ht="15" customHeight="1" x14ac:dyDescent="0.2">
      <c r="A15" s="348" t="s">
        <v>487</v>
      </c>
    </row>
    <row r="16" spans="1:8" ht="15" customHeight="1" x14ac:dyDescent="0.2">
      <c r="A16" s="348" t="s">
        <v>240</v>
      </c>
    </row>
    <row r="17" spans="1:1" ht="15" customHeight="1" x14ac:dyDescent="0.2">
      <c r="A17" s="348" t="s">
        <v>488</v>
      </c>
    </row>
  </sheetData>
  <pageMargins left="0.7" right="0.7" top="0.75" bottom="0.75" header="0.3" footer="0.3"/>
  <pageSetup paperSize="9" orientation="landscape" r:id="rId1"/>
  <headerFooter>
    <oddFooter>&amp;L&amp;8&amp;F&amp;D&amp;T&amp;C&amp;8&amp;A&amp;R&amp;8Page &amp;P of &amp;N</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C6FDC-8895-4D53-8022-6699A4472931}">
  <sheetPr codeName="Sheet3">
    <tabColor rgb="FF17415D"/>
    <pageSetUpPr fitToPage="1"/>
  </sheetPr>
  <dimension ref="B1:H132"/>
  <sheetViews>
    <sheetView zoomScale="96" zoomScaleNormal="130" workbookViewId="0">
      <pane xSplit="1" ySplit="10" topLeftCell="B11" activePane="bottomRight" state="frozen"/>
      <selection pane="topRight" activeCell="B1" sqref="B1"/>
      <selection pane="bottomLeft" activeCell="A11" sqref="A11"/>
      <selection pane="bottomRight"/>
    </sheetView>
  </sheetViews>
  <sheetFormatPr defaultColWidth="9.140625" defaultRowHeight="12.75" x14ac:dyDescent="0.2"/>
  <cols>
    <col min="1" max="1" width="12" style="4" customWidth="1"/>
    <col min="2" max="2" width="18.85546875" style="4" customWidth="1"/>
    <col min="3" max="3" width="67.140625" style="4" customWidth="1"/>
    <col min="4" max="5" width="20.7109375" style="4" customWidth="1"/>
    <col min="6" max="6" width="9.140625" style="4"/>
    <col min="7" max="7" width="13.42578125" style="4" customWidth="1"/>
    <col min="8" max="8" width="15.42578125" style="4" customWidth="1"/>
    <col min="9" max="16384" width="9.140625" style="4"/>
  </cols>
  <sheetData>
    <row r="1" spans="2:6" ht="20.25" x14ac:dyDescent="0.2">
      <c r="B1" s="146" t="s">
        <v>52</v>
      </c>
      <c r="C1" s="146"/>
    </row>
    <row r="2" spans="2:6" ht="20.25" x14ac:dyDescent="0.2">
      <c r="B2" s="146" t="str">
        <f>IF(Tradingname=0," ",Tradingname)</f>
        <v>APT Pipelines (QLD) Pty Limited</v>
      </c>
      <c r="C2" s="146"/>
      <c r="E2" s="270"/>
    </row>
    <row r="3" spans="2:6" ht="20.25" x14ac:dyDescent="0.3">
      <c r="B3" s="146" t="s">
        <v>29</v>
      </c>
      <c r="C3" s="110">
        <f>IF(Yearending=0, "01/01/2000", Yearending)</f>
        <v>45838</v>
      </c>
    </row>
    <row r="4" spans="2:6" ht="45" customHeight="1" x14ac:dyDescent="0.2">
      <c r="B4" s="450" t="s">
        <v>198</v>
      </c>
      <c r="C4" s="450"/>
      <c r="D4" s="253"/>
    </row>
    <row r="5" spans="2:6" x14ac:dyDescent="0.2">
      <c r="D5" s="271"/>
    </row>
    <row r="6" spans="2:6" ht="12.75" customHeight="1" x14ac:dyDescent="0.2">
      <c r="B6" s="446" t="s">
        <v>199</v>
      </c>
      <c r="C6" s="446"/>
      <c r="D6" s="446"/>
      <c r="E6" s="446"/>
      <c r="F6" s="446"/>
    </row>
    <row r="7" spans="2:6" ht="12.75" customHeight="1" x14ac:dyDescent="0.2">
      <c r="B7" s="446"/>
      <c r="C7" s="446"/>
      <c r="D7" s="446"/>
      <c r="E7" s="446"/>
      <c r="F7" s="446"/>
    </row>
    <row r="8" spans="2:6" ht="12.75" customHeight="1" x14ac:dyDescent="0.2">
      <c r="B8" s="446"/>
      <c r="C8" s="446"/>
      <c r="D8" s="446"/>
      <c r="E8" s="446"/>
      <c r="F8" s="446"/>
    </row>
    <row r="9" spans="2:6" ht="12.75" customHeight="1" x14ac:dyDescent="0.2">
      <c r="B9" s="446"/>
      <c r="C9" s="446"/>
      <c r="D9" s="446"/>
      <c r="E9" s="446"/>
      <c r="F9" s="446"/>
    </row>
    <row r="10" spans="2:6" ht="12.75" customHeight="1" x14ac:dyDescent="0.2">
      <c r="B10" s="446"/>
      <c r="C10" s="446"/>
      <c r="D10" s="446"/>
      <c r="E10" s="446"/>
      <c r="F10" s="446"/>
    </row>
    <row r="11" spans="2:6" x14ac:dyDescent="0.2">
      <c r="D11" s="271"/>
    </row>
    <row r="12" spans="2:6" x14ac:dyDescent="0.2">
      <c r="D12" s="271"/>
    </row>
    <row r="13" spans="2:6" ht="15.75" x14ac:dyDescent="0.2">
      <c r="B13" s="449" t="s">
        <v>200</v>
      </c>
      <c r="C13" s="449"/>
      <c r="D13" s="271"/>
    </row>
    <row r="15" spans="2:6" ht="25.5" x14ac:dyDescent="0.2">
      <c r="B15" s="55" t="s">
        <v>112</v>
      </c>
      <c r="C15" s="56" t="s">
        <v>113</v>
      </c>
      <c r="D15" s="56" t="s">
        <v>161</v>
      </c>
      <c r="E15" s="311" t="s">
        <v>123</v>
      </c>
    </row>
    <row r="16" spans="2:6" x14ac:dyDescent="0.2">
      <c r="B16" s="55"/>
      <c r="C16" s="57" t="s">
        <v>201</v>
      </c>
      <c r="D16" s="311"/>
      <c r="E16" s="311"/>
    </row>
    <row r="17" spans="2:7" x14ac:dyDescent="0.2">
      <c r="B17" s="294"/>
      <c r="C17" s="59" t="s">
        <v>202</v>
      </c>
      <c r="D17" s="56"/>
      <c r="E17" s="311"/>
    </row>
    <row r="18" spans="2:7" x14ac:dyDescent="0.2">
      <c r="B18" s="361" t="s">
        <v>893</v>
      </c>
      <c r="C18" s="58" t="s">
        <v>203</v>
      </c>
      <c r="D18" s="140">
        <f>IF(Cover!C23="Scheme pipeline","-",SUMIF('3.5 Depreciation amortisation'!$D$15:$D$58,'3.1 Depreciated Book Value'!C17,'3.5 Depreciation amortisation'!$H$15:$H$58))</f>
        <v>368262579.11000007</v>
      </c>
      <c r="E18" s="77">
        <v>360441485.28000009</v>
      </c>
    </row>
    <row r="19" spans="2:7" x14ac:dyDescent="0.2">
      <c r="B19" s="361" t="s">
        <v>893</v>
      </c>
      <c r="C19" s="58" t="s">
        <v>204</v>
      </c>
      <c r="D19" s="140">
        <f>IF(Cover!C23="Scheme pipeline","-",SUMIF('3.5 Depreciation amortisation'!$D$15:$D$58,'3.1 Depreciated Book Value'!C17,'3.5 Depreciation amortisation'!$I$15:$I$58))</f>
        <v>-1.0000000242143869E-2</v>
      </c>
      <c r="E19" s="77">
        <v>7821093.8299999991</v>
      </c>
    </row>
    <row r="20" spans="2:7" x14ac:dyDescent="0.2">
      <c r="B20" s="361" t="s">
        <v>893</v>
      </c>
      <c r="C20" s="58" t="s">
        <v>205</v>
      </c>
      <c r="D20" s="140">
        <f>IF(Cover!C23="Scheme pipeline","-",SUMIF('3.5 Depreciation amortisation'!$D$15:$D$58,'3.1 Depreciated Book Value'!C17,'3.5 Depreciation amortisation'!$J$15:$J$58))</f>
        <v>0</v>
      </c>
      <c r="E20" s="77">
        <v>0</v>
      </c>
    </row>
    <row r="21" spans="2:7" x14ac:dyDescent="0.2">
      <c r="B21" s="362"/>
      <c r="C21" s="95" t="s">
        <v>206</v>
      </c>
      <c r="D21" s="140">
        <f>IF(Cover!C23="Scheme pipeline","-",SUM(D18:D20))</f>
        <v>368262579.10000008</v>
      </c>
      <c r="E21" s="140">
        <f>SUM(E18:E20)</f>
        <v>368262579.11000007</v>
      </c>
    </row>
    <row r="22" spans="2:7" x14ac:dyDescent="0.2">
      <c r="B22" s="361" t="s">
        <v>893</v>
      </c>
      <c r="C22" s="58" t="s">
        <v>207</v>
      </c>
      <c r="D22" s="140">
        <f>IF(Cover!C23="Scheme pipeline","-",-ABS(SUMIF('3.5 Depreciation amortisation'!$D$15:$D$58,'3.1 Depreciated Book Value'!C17,'3.5 Depreciation amortisation'!$O$15:$O$58)+SUMIF('3.5 Depreciation amortisation'!$D$15:$D$58,'3.1 Depreciated Book Value'!C17,'3.5 Depreciation amortisation'!$P$15:$P$58))-D23)</f>
        <v>-106048038.40340686</v>
      </c>
      <c r="E22" s="77">
        <v>-105082193.42236099</v>
      </c>
    </row>
    <row r="23" spans="2:7" x14ac:dyDescent="0.2">
      <c r="B23" s="361" t="s">
        <v>893</v>
      </c>
      <c r="C23" s="58" t="s">
        <v>208</v>
      </c>
      <c r="D23" s="140">
        <f>IF(Cover!C23="Scheme pipeline","-",-ABS(SUMIF('3.4 Asset impairment'!$C$10:$C$24,'3.1 Depreciated Book Value'!C17,'3.4 Asset impairment'!$D$10:$D$24))+SUMIF('3.4 Asset impairment'!$C$30:$C$56,'3.1 Depreciated Book Value'!C17,'3.4 Asset impairment'!$G$30:$G$56))</f>
        <v>-235981556.53444684</v>
      </c>
      <c r="E23" s="77">
        <v>-235981556.53444684</v>
      </c>
    </row>
    <row r="24" spans="2:7" x14ac:dyDescent="0.2">
      <c r="B24" s="361" t="s">
        <v>893</v>
      </c>
      <c r="C24" s="58" t="s">
        <v>209</v>
      </c>
      <c r="D24" s="140">
        <f>IF(Cover!C23="Scheme pipeline","-",SUMIF('3.5 Depreciation amortisation'!$D$15:$D$58,'3.1 Depreciated Book Value'!C17,'3.5 Depreciation amortisation'!$K$15:$K$58))</f>
        <v>0</v>
      </c>
      <c r="E24" s="77">
        <v>0</v>
      </c>
      <c r="F24" s="251"/>
    </row>
    <row r="25" spans="2:7" x14ac:dyDescent="0.2">
      <c r="B25" s="362"/>
      <c r="C25" s="95" t="s">
        <v>210</v>
      </c>
      <c r="D25" s="140">
        <f>IF(Cover!C23="Scheme pipeline","-",SUM(D21:D24))</f>
        <v>26232984.162146389</v>
      </c>
      <c r="E25" s="140">
        <f>SUM(E21:E24)</f>
        <v>27198829.153192252</v>
      </c>
    </row>
    <row r="26" spans="2:7" x14ac:dyDescent="0.2">
      <c r="B26" s="362"/>
      <c r="C26" s="59" t="s">
        <v>211</v>
      </c>
      <c r="D26" s="141"/>
      <c r="E26" s="141"/>
      <c r="G26" s="170"/>
    </row>
    <row r="27" spans="2:7" x14ac:dyDescent="0.2">
      <c r="B27" s="361" t="s">
        <v>893</v>
      </c>
      <c r="C27" s="58" t="s">
        <v>203</v>
      </c>
      <c r="D27" s="140">
        <f>IF(Cover!C23="Scheme pipeline","-",SUMIF('3.5 Depreciation amortisation'!$D$15:$D$58,'3.1 Depreciated Book Value'!C26,'3.5 Depreciation amortisation'!$H$15:$H$58))</f>
        <v>48452093.409999996</v>
      </c>
      <c r="E27" s="77">
        <v>48452093.409999996</v>
      </c>
      <c r="G27" s="170"/>
    </row>
    <row r="28" spans="2:7" x14ac:dyDescent="0.2">
      <c r="B28" s="361" t="s">
        <v>893</v>
      </c>
      <c r="C28" s="58" t="s">
        <v>204</v>
      </c>
      <c r="D28" s="140">
        <f>IF(Cover!C23="Scheme pipeline","-",SUMIF('3.5 Depreciation amortisation'!$D$15:$D$58,'3.1 Depreciated Book Value'!C26,'3.5 Depreciation amortisation'!$I$15:$I$58))</f>
        <v>587747.53</v>
      </c>
      <c r="E28" s="77">
        <v>0</v>
      </c>
      <c r="G28" s="170"/>
    </row>
    <row r="29" spans="2:7" x14ac:dyDescent="0.2">
      <c r="B29" s="361" t="s">
        <v>893</v>
      </c>
      <c r="C29" s="58" t="s">
        <v>205</v>
      </c>
      <c r="D29" s="140">
        <f>IF(Cover!C23="Scheme pipeline","-",SUMIF('3.5 Depreciation amortisation'!$D$15:$D$58,'3.1 Depreciated Book Value'!C26,'3.5 Depreciation amortisation'!$J$15:$J$58))</f>
        <v>0</v>
      </c>
      <c r="E29" s="77">
        <v>0</v>
      </c>
      <c r="G29" s="170"/>
    </row>
    <row r="30" spans="2:7" x14ac:dyDescent="0.2">
      <c r="B30" s="361" t="s">
        <v>893</v>
      </c>
      <c r="C30" s="58" t="s">
        <v>207</v>
      </c>
      <c r="D30" s="140">
        <f>IF(Cover!C23="Scheme pipeline","-",-ABS(SUMIF('3.5 Depreciation amortisation'!$D$15:$D$58,'3.1 Depreciated Book Value'!C26,'3.5 Depreciation amortisation'!$O$15:$O$58)+SUMIF('3.5 Depreciation amortisation'!$D$15:$D$58,'3.1 Depreciated Book Value'!C26,'3.5 Depreciation amortisation'!$P$15:$P$58))-D31)</f>
        <v>-35596153.859999992</v>
      </c>
      <c r="E30" s="77">
        <v>-32062037.739999995</v>
      </c>
      <c r="F30" s="251"/>
      <c r="G30" s="170"/>
    </row>
    <row r="31" spans="2:7" x14ac:dyDescent="0.2">
      <c r="B31" s="361" t="s">
        <v>893</v>
      </c>
      <c r="C31" s="58" t="s">
        <v>208</v>
      </c>
      <c r="D31" s="140">
        <f>IF(Cover!C23="Scheme pipeline","-",-ABS(SUMIF('3.4 Asset impairment'!$C$10:$C$24,'3.1 Depreciated Book Value'!C26,'3.4 Asset impairment'!$D$10:$D$24))+SUMIF('3.4 Asset impairment'!$C$30:$C$56,C26,'3.4 Asset impairment'!$G$30:$G$56))</f>
        <v>0</v>
      </c>
      <c r="E31" s="77">
        <v>0</v>
      </c>
      <c r="F31" s="251"/>
      <c r="G31" s="170"/>
    </row>
    <row r="32" spans="2:7" x14ac:dyDescent="0.2">
      <c r="B32" s="361" t="s">
        <v>893</v>
      </c>
      <c r="C32" s="58" t="s">
        <v>209</v>
      </c>
      <c r="D32" s="140">
        <f>IF(Cover!C23="Scheme pipeline","-",SUMIF('3.5 Depreciation amortisation'!$D$15:$D$58,'3.1 Depreciated Book Value'!C26,'3.5 Depreciation amortisation'!$K$15:$K$58))</f>
        <v>0</v>
      </c>
      <c r="E32" s="77">
        <v>0</v>
      </c>
      <c r="G32" s="170"/>
    </row>
    <row r="33" spans="2:7" x14ac:dyDescent="0.2">
      <c r="B33" s="362"/>
      <c r="C33" s="95" t="s">
        <v>212</v>
      </c>
      <c r="D33" s="140">
        <f>IF(Cover!C23="Scheme pipeline","-",SUM(D27:D32))</f>
        <v>13443687.080000006</v>
      </c>
      <c r="E33" s="140">
        <f>SUM(E27:E32)</f>
        <v>16390055.670000002</v>
      </c>
      <c r="G33" s="170"/>
    </row>
    <row r="34" spans="2:7" x14ac:dyDescent="0.2">
      <c r="B34" s="362"/>
      <c r="C34" s="59" t="s">
        <v>213</v>
      </c>
      <c r="D34" s="141"/>
      <c r="E34" s="141"/>
      <c r="G34" s="169"/>
    </row>
    <row r="35" spans="2:7" x14ac:dyDescent="0.2">
      <c r="B35" s="361" t="s">
        <v>893</v>
      </c>
      <c r="C35" s="58" t="s">
        <v>203</v>
      </c>
      <c r="D35" s="140">
        <f>IF(Cover!C23="Scheme pipeline","-",SUMIF('3.5 Depreciation amortisation'!$D$15:$D$58,'3.1 Depreciated Book Value'!C34,'3.5 Depreciation amortisation'!$H$15:$H$58))</f>
        <v>1775716.87</v>
      </c>
      <c r="E35" s="77">
        <v>1775716.87</v>
      </c>
    </row>
    <row r="36" spans="2:7" x14ac:dyDescent="0.2">
      <c r="B36" s="361" t="s">
        <v>893</v>
      </c>
      <c r="C36" s="58" t="s">
        <v>204</v>
      </c>
      <c r="D36" s="140">
        <f>IF(Cover!C23="Scheme pipeline","-",SUMIF('3.5 Depreciation amortisation'!$D$15:$D$58,'3.1 Depreciated Book Value'!C34,'3.5 Depreciation amortisation'!$I$15:$I$58))</f>
        <v>0</v>
      </c>
      <c r="E36" s="77">
        <v>0</v>
      </c>
    </row>
    <row r="37" spans="2:7" x14ac:dyDescent="0.2">
      <c r="B37" s="361" t="s">
        <v>893</v>
      </c>
      <c r="C37" s="58" t="s">
        <v>205</v>
      </c>
      <c r="D37" s="140">
        <f>IF(Cover!C23="Scheme pipeline","-",SUMIF('3.5 Depreciation amortisation'!$D$15:$D$58,'3.1 Depreciated Book Value'!C34,'3.5 Depreciation amortisation'!$J$15:$J$58))</f>
        <v>0</v>
      </c>
      <c r="E37" s="77">
        <v>0</v>
      </c>
    </row>
    <row r="38" spans="2:7" x14ac:dyDescent="0.2">
      <c r="B38" s="361" t="s">
        <v>893</v>
      </c>
      <c r="C38" s="58" t="s">
        <v>207</v>
      </c>
      <c r="D38" s="140">
        <f>IF(Cover!C23="Scheme pipeline","-",-ABS(SUMIF('3.5 Depreciation amortisation'!$D$15:$D$58,'3.1 Depreciated Book Value'!C34,'3.5 Depreciation amortisation'!$O$15:$O$58)+SUMIF('3.5 Depreciation amortisation'!$D$15:$D$58,'3.1 Depreciated Book Value'!C34,'3.5 Depreciation amortisation'!$P$15:$P$58))-D39)</f>
        <v>-429241.02000000008</v>
      </c>
      <c r="E38" s="77">
        <v>-380125.81000000006</v>
      </c>
      <c r="F38" s="251"/>
    </row>
    <row r="39" spans="2:7" x14ac:dyDescent="0.2">
      <c r="B39" s="361" t="s">
        <v>893</v>
      </c>
      <c r="C39" s="58" t="s">
        <v>208</v>
      </c>
      <c r="D39" s="140">
        <f>IF(Cover!C23="Scheme pipeline","-",-ABS(SUMIF('3.4 Asset impairment'!$C$10:$C$24,'3.1 Depreciated Book Value'!C34,'3.4 Asset impairment'!$D$10:$D$24))+SUMIF('3.4 Asset impairment'!$C$30:$C$56,'3.1 Depreciated Book Value'!C34,'3.4 Asset impairment'!$G$30:$G$56))</f>
        <v>0</v>
      </c>
      <c r="E39" s="77">
        <v>0</v>
      </c>
      <c r="F39" s="251"/>
    </row>
    <row r="40" spans="2:7" x14ac:dyDescent="0.2">
      <c r="B40" s="361" t="s">
        <v>893</v>
      </c>
      <c r="C40" s="58" t="s">
        <v>209</v>
      </c>
      <c r="D40" s="140">
        <f>IF(Cover!C23="Scheme pipeline","-",SUMIF('3.5 Depreciation amortisation'!$D$15:$D$58,'3.1 Depreciated Book Value'!C34,'3.5 Depreciation amortisation'!$K$15:$K$58))</f>
        <v>0</v>
      </c>
      <c r="E40" s="77">
        <v>0</v>
      </c>
    </row>
    <row r="41" spans="2:7" x14ac:dyDescent="0.2">
      <c r="B41" s="362"/>
      <c r="C41" s="95" t="s">
        <v>214</v>
      </c>
      <c r="D41" s="140">
        <f>SUM(D35:D40)</f>
        <v>1346475.85</v>
      </c>
      <c r="E41" s="140">
        <f>SUM(E35:E40)</f>
        <v>1395591.06</v>
      </c>
    </row>
    <row r="42" spans="2:7" x14ac:dyDescent="0.2">
      <c r="B42" s="362"/>
      <c r="C42" s="59" t="s">
        <v>215</v>
      </c>
      <c r="D42" s="141"/>
      <c r="E42" s="141"/>
    </row>
    <row r="43" spans="2:7" x14ac:dyDescent="0.2">
      <c r="B43" s="361" t="s">
        <v>893</v>
      </c>
      <c r="C43" s="58" t="s">
        <v>203</v>
      </c>
      <c r="D43" s="140">
        <f>IF(Cover!C23="Scheme pipeline","-",SUMIF('3.5 Depreciation amortisation'!$D$15:$D$58,'3.1 Depreciated Book Value'!C42,'3.5 Depreciation amortisation'!$H$15:$H$58))</f>
        <v>10197774.449999997</v>
      </c>
      <c r="E43" s="77">
        <v>10197774.449999997</v>
      </c>
    </row>
    <row r="44" spans="2:7" x14ac:dyDescent="0.2">
      <c r="B44" s="361" t="s">
        <v>893</v>
      </c>
      <c r="C44" s="58" t="s">
        <v>216</v>
      </c>
      <c r="D44" s="140">
        <f>IF(Cover!C23="Scheme pipeline","-",SUMIF('3.5 Depreciation amortisation'!$D$15:$D$58,'3.1 Depreciated Book Value'!C42,'3.5 Depreciation amortisation'!$I$15:$I$58))</f>
        <v>0</v>
      </c>
      <c r="E44" s="77">
        <v>0</v>
      </c>
    </row>
    <row r="45" spans="2:7" x14ac:dyDescent="0.2">
      <c r="B45" s="361" t="s">
        <v>893</v>
      </c>
      <c r="C45" s="58" t="s">
        <v>205</v>
      </c>
      <c r="D45" s="140">
        <f>IF(Cover!C23="Scheme pipeline","-",SUMIF('3.5 Depreciation amortisation'!$D$15:$D$58,'3.1 Depreciated Book Value'!C42,'3.5 Depreciation amortisation'!$J$15:$J$58))</f>
        <v>0</v>
      </c>
      <c r="E45" s="77">
        <v>0</v>
      </c>
    </row>
    <row r="46" spans="2:7" x14ac:dyDescent="0.2">
      <c r="B46" s="361" t="s">
        <v>893</v>
      </c>
      <c r="C46" s="58" t="s">
        <v>207</v>
      </c>
      <c r="D46" s="140">
        <f>IF(Cover!C23="Scheme pipeline","-",-ABS(SUMIF('3.5 Depreciation amortisation'!$D$15:$D$58,'3.1 Depreciated Book Value'!C42,'3.5 Depreciation amortisation'!$O$15:$O$58)+SUMIF('3.5 Depreciation amortisation'!$D$15:$D$58,'3.1 Depreciated Book Value'!C42,'3.5 Depreciation amortisation'!$P$15:$P$58))-D47)</f>
        <v>-7681039.6100000013</v>
      </c>
      <c r="E46" s="77">
        <v>-7538747.8100000015</v>
      </c>
      <c r="F46" s="251"/>
    </row>
    <row r="47" spans="2:7" x14ac:dyDescent="0.2">
      <c r="B47" s="361" t="s">
        <v>893</v>
      </c>
      <c r="C47" s="58" t="s">
        <v>208</v>
      </c>
      <c r="D47" s="140">
        <f>IF(Cover!C23="Scheme pipeline","-",-ABS(SUMIF('3.4 Asset impairment'!$C$10:$C$24,'3.1 Depreciated Book Value'!C42,'3.4 Asset impairment'!$D$10:$D$24))+SUMIF('3.4 Asset impairment'!$C$30:$C$56,'3.1 Depreciated Book Value'!C42,'3.4 Asset impairment'!$G$30:$G$56))</f>
        <v>0</v>
      </c>
      <c r="E47" s="77">
        <v>0</v>
      </c>
      <c r="F47" s="251"/>
    </row>
    <row r="48" spans="2:7" x14ac:dyDescent="0.2">
      <c r="B48" s="361" t="s">
        <v>893</v>
      </c>
      <c r="C48" s="58" t="s">
        <v>209</v>
      </c>
      <c r="D48" s="140">
        <f>IF(Cover!C23="Scheme pipeline","-",SUMIF('3.5 Depreciation amortisation'!$D$15:$D$58,'3.1 Depreciated Book Value'!C42,'3.5 Depreciation amortisation'!$K$15:$K$58))</f>
        <v>0</v>
      </c>
      <c r="E48" s="77">
        <v>0</v>
      </c>
    </row>
    <row r="49" spans="2:6" x14ac:dyDescent="0.2">
      <c r="B49" s="362"/>
      <c r="C49" s="95" t="s">
        <v>217</v>
      </c>
      <c r="D49" s="140">
        <f>SUM(D43:D48)</f>
        <v>2516734.8399999961</v>
      </c>
      <c r="E49" s="140">
        <f>SUM(E43:E48)</f>
        <v>2659026.6399999959</v>
      </c>
    </row>
    <row r="50" spans="2:6" x14ac:dyDescent="0.2">
      <c r="B50" s="362"/>
      <c r="C50" s="59" t="s">
        <v>218</v>
      </c>
      <c r="D50" s="141"/>
      <c r="E50" s="141"/>
    </row>
    <row r="51" spans="2:6" x14ac:dyDescent="0.2">
      <c r="B51" s="361" t="s">
        <v>893</v>
      </c>
      <c r="C51" s="58" t="s">
        <v>203</v>
      </c>
      <c r="D51" s="140">
        <f>IF(Cover!C23="Scheme pipeline","-",SUMIF('3.5 Depreciation amortisation'!$D$15:$D$58,'3.1 Depreciated Book Value'!C50,'3.5 Depreciation amortisation'!$H$15:$H$58))</f>
        <v>0</v>
      </c>
      <c r="E51" s="77">
        <v>0</v>
      </c>
    </row>
    <row r="52" spans="2:6" x14ac:dyDescent="0.2">
      <c r="B52" s="361" t="s">
        <v>893</v>
      </c>
      <c r="C52" s="58" t="s">
        <v>204</v>
      </c>
      <c r="D52" s="140">
        <f>IF(Cover!C23="Scheme pipeline","-",SUMIF('3.5 Depreciation amortisation'!$D$15:$D$58,'3.1 Depreciated Book Value'!C50,'3.5 Depreciation amortisation'!$I$15:$I$58))</f>
        <v>0</v>
      </c>
      <c r="E52" s="77">
        <v>0</v>
      </c>
    </row>
    <row r="53" spans="2:6" x14ac:dyDescent="0.2">
      <c r="B53" s="361" t="s">
        <v>893</v>
      </c>
      <c r="C53" s="58" t="s">
        <v>205</v>
      </c>
      <c r="D53" s="140">
        <f>IF(Cover!C23="Scheme pipeline","-",SUMIF('3.5 Depreciation amortisation'!$D$15:$D$58,'3.1 Depreciated Book Value'!C50,'3.5 Depreciation amortisation'!$J$15:$J$58))</f>
        <v>0</v>
      </c>
      <c r="E53" s="77">
        <v>0</v>
      </c>
    </row>
    <row r="54" spans="2:6" x14ac:dyDescent="0.2">
      <c r="B54" s="361" t="s">
        <v>893</v>
      </c>
      <c r="C54" s="58" t="s">
        <v>207</v>
      </c>
      <c r="D54" s="140">
        <f>IF(Cover!C23="Scheme pipeline","-",-ABS(SUMIF('3.5 Depreciation amortisation'!$D$15:$D$58,'3.1 Depreciated Book Value'!C50,'3.5 Depreciation amortisation'!$O$15:$O$58)+SUMIF('3.5 Depreciation amortisation'!$D$15:$D$58,'3.1 Depreciated Book Value'!C50,'3.5 Depreciation amortisation'!$P$15:$P$58))-D55)</f>
        <v>0</v>
      </c>
      <c r="E54" s="77">
        <v>0</v>
      </c>
      <c r="F54" s="251"/>
    </row>
    <row r="55" spans="2:6" x14ac:dyDescent="0.2">
      <c r="B55" s="361" t="s">
        <v>893</v>
      </c>
      <c r="C55" s="58" t="s">
        <v>208</v>
      </c>
      <c r="D55" s="140">
        <f>IF(Cover!C23="Scheme pipeline","-",-ABS(SUMIF('3.4 Asset impairment'!$C$10:$C$24,'3.1 Depreciated Book Value'!C50,'3.4 Asset impairment'!$D$10:$D$24))+SUMIF('3.4 Asset impairment'!$C$30:$C$56,'3.1 Depreciated Book Value'!C50,'3.4 Asset impairment'!$G$30:$G$56))</f>
        <v>0</v>
      </c>
      <c r="E55" s="77">
        <v>0</v>
      </c>
      <c r="F55" s="251"/>
    </row>
    <row r="56" spans="2:6" x14ac:dyDescent="0.2">
      <c r="B56" s="361" t="s">
        <v>893</v>
      </c>
      <c r="C56" s="58" t="s">
        <v>209</v>
      </c>
      <c r="D56" s="140">
        <f>IF(Cover!C23="Scheme pipeline","-",SUMIF('3.5 Depreciation amortisation'!$D$15:$D$58,'3.1 Depreciated Book Value'!C50,'3.5 Depreciation amortisation'!$K$15:$K$58))</f>
        <v>0</v>
      </c>
      <c r="E56" s="77">
        <v>0</v>
      </c>
    </row>
    <row r="57" spans="2:6" x14ac:dyDescent="0.2">
      <c r="B57" s="362"/>
      <c r="C57" s="95" t="s">
        <v>219</v>
      </c>
      <c r="D57" s="140">
        <f>SUM(D51:D56)</f>
        <v>0</v>
      </c>
      <c r="E57" s="140">
        <f>SUM(E51:E56)</f>
        <v>0</v>
      </c>
    </row>
    <row r="58" spans="2:6" x14ac:dyDescent="0.2">
      <c r="B58" s="362"/>
      <c r="C58" s="59" t="s">
        <v>220</v>
      </c>
      <c r="D58" s="141"/>
      <c r="E58" s="141"/>
    </row>
    <row r="59" spans="2:6" x14ac:dyDescent="0.2">
      <c r="B59" s="361" t="s">
        <v>893</v>
      </c>
      <c r="C59" s="58" t="s">
        <v>203</v>
      </c>
      <c r="D59" s="140">
        <f>IF(Cover!C23="Scheme pipeline","-",SUMIF('3.5 Depreciation amortisation'!$D$15:$D$58,'3.1 Depreciated Book Value'!C58,'3.5 Depreciation amortisation'!$H$15:$H$58))</f>
        <v>3105117.4899999988</v>
      </c>
      <c r="E59" s="77">
        <v>3105117.4899999988</v>
      </c>
    </row>
    <row r="60" spans="2:6" x14ac:dyDescent="0.2">
      <c r="B60" s="361" t="s">
        <v>893</v>
      </c>
      <c r="C60" s="58" t="s">
        <v>204</v>
      </c>
      <c r="D60" s="140">
        <f>IF(Cover!C23="Scheme pipeline","-",SUMIF('3.5 Depreciation amortisation'!$D$15:$D$58,'3.1 Depreciated Book Value'!C58,'3.5 Depreciation amortisation'!$I$15:$I$58))</f>
        <v>0</v>
      </c>
      <c r="E60" s="77">
        <v>0</v>
      </c>
    </row>
    <row r="61" spans="2:6" x14ac:dyDescent="0.2">
      <c r="B61" s="361" t="s">
        <v>893</v>
      </c>
      <c r="C61" s="58" t="s">
        <v>205</v>
      </c>
      <c r="D61" s="140">
        <f>IF(Cover!C23="Scheme pipeline","-",SUMIF('3.5 Depreciation amortisation'!$D$15:$D$58,'3.1 Depreciated Book Value'!C58,'3.5 Depreciation amortisation'!$J$15:$J$58))</f>
        <v>0</v>
      </c>
      <c r="E61" s="77">
        <v>0</v>
      </c>
    </row>
    <row r="62" spans="2:6" x14ac:dyDescent="0.2">
      <c r="B62" s="361" t="s">
        <v>893</v>
      </c>
      <c r="C62" s="58" t="s">
        <v>207</v>
      </c>
      <c r="D62" s="140">
        <f>IF(Cover!C23="Scheme pipeline","-",-ABS(SUMIF('3.5 Depreciation amortisation'!$D$15:$D$58,'3.1 Depreciated Book Value'!C58,'3.5 Depreciation amortisation'!$O$15:$O$58)+SUMIF('3.5 Depreciation amortisation'!$D$15:$D$58,'3.1 Depreciated Book Value'!C58,'3.5 Depreciation amortisation'!$P$15:$P$58))-D63)</f>
        <v>-2688977.84</v>
      </c>
      <c r="E62" s="77">
        <v>-2459662.27</v>
      </c>
      <c r="F62" s="251"/>
    </row>
    <row r="63" spans="2:6" x14ac:dyDescent="0.2">
      <c r="B63" s="361" t="s">
        <v>893</v>
      </c>
      <c r="C63" s="58" t="s">
        <v>208</v>
      </c>
      <c r="D63" s="140">
        <f>IF(Cover!C23="Scheme pipeline","-",-ABS(SUMIF('3.4 Asset impairment'!$C$10:$C$24,'3.1 Depreciated Book Value'!C58,'3.4 Asset impairment'!$D$10:$D$24))+SUMIF('3.4 Asset impairment'!$C$30:$C$56,'3.1 Depreciated Book Value'!C58,'3.4 Asset impairment'!$G$30:$G$56))</f>
        <v>0</v>
      </c>
      <c r="E63" s="77">
        <v>0</v>
      </c>
      <c r="F63" s="251"/>
    </row>
    <row r="64" spans="2:6" x14ac:dyDescent="0.2">
      <c r="B64" s="361" t="s">
        <v>893</v>
      </c>
      <c r="C64" s="58" t="s">
        <v>209</v>
      </c>
      <c r="D64" s="140">
        <f>IF(Cover!C23="Scheme pipeline","-",SUMIF('3.5 Depreciation amortisation'!$D$15:$D$58,'3.1 Depreciated Book Value'!C58,'3.5 Depreciation amortisation'!$K$15:$K$58))</f>
        <v>0</v>
      </c>
      <c r="E64" s="77">
        <v>0</v>
      </c>
    </row>
    <row r="65" spans="2:6" x14ac:dyDescent="0.2">
      <c r="B65" s="362"/>
      <c r="C65" s="95" t="s">
        <v>221</v>
      </c>
      <c r="D65" s="140">
        <f>SUM(D59:D64)</f>
        <v>416139.64999999898</v>
      </c>
      <c r="E65" s="140">
        <f>SUM(E59:E64)</f>
        <v>645455.21999999881</v>
      </c>
    </row>
    <row r="66" spans="2:6" x14ac:dyDescent="0.2">
      <c r="B66" s="362"/>
      <c r="C66" s="59" t="s">
        <v>222</v>
      </c>
      <c r="D66" s="141"/>
      <c r="E66" s="141"/>
    </row>
    <row r="67" spans="2:6" x14ac:dyDescent="0.2">
      <c r="B67" s="361" t="s">
        <v>893</v>
      </c>
      <c r="C67" s="58" t="s">
        <v>203</v>
      </c>
      <c r="D67" s="140">
        <f>IF(Cover!C23="Scheme pipeline","-",SUMIF('3.5 Depreciation amortisation'!$D$15:$D$58,'3.1 Depreciated Book Value'!C66,'3.5 Depreciation amortisation'!$H$15:$H$58))</f>
        <v>3367617.44</v>
      </c>
      <c r="E67" s="77">
        <v>3367617.44</v>
      </c>
    </row>
    <row r="68" spans="2:6" x14ac:dyDescent="0.2">
      <c r="B68" s="361" t="s">
        <v>893</v>
      </c>
      <c r="C68" s="58" t="s">
        <v>204</v>
      </c>
      <c r="D68" s="140">
        <f>IF(Cover!C23="Scheme pipeline","-",SUMIF('3.5 Depreciation amortisation'!$D$15:$D$58,'3.1 Depreciated Book Value'!C66,'3.5 Depreciation amortisation'!$I$15:$I$58))</f>
        <v>0</v>
      </c>
      <c r="E68" s="77">
        <v>0</v>
      </c>
    </row>
    <row r="69" spans="2:6" x14ac:dyDescent="0.2">
      <c r="B69" s="361" t="s">
        <v>893</v>
      </c>
      <c r="C69" s="58" t="s">
        <v>205</v>
      </c>
      <c r="D69" s="140">
        <f>IF(Cover!C23="Scheme pipeline","-",SUMIF('3.5 Depreciation amortisation'!$D$15:$D$58,'3.1 Depreciated Book Value'!C66,'3.5 Depreciation amortisation'!$J$15:$J$58))</f>
        <v>0</v>
      </c>
      <c r="E69" s="77">
        <v>0</v>
      </c>
    </row>
    <row r="70" spans="2:6" x14ac:dyDescent="0.2">
      <c r="B70" s="361" t="s">
        <v>893</v>
      </c>
      <c r="C70" s="58" t="s">
        <v>207</v>
      </c>
      <c r="D70" s="140">
        <f>IF(Cover!C23="Scheme pipeline","-",-ABS(SUMIF('3.5 Depreciation amortisation'!$D$15:$D$58,'3.1 Depreciated Book Value'!C66,'3.5 Depreciation amortisation'!$O$15:$O$58)+SUMIF('3.5 Depreciation amortisation'!$D$15:$D$58,'3.1 Depreciated Book Value'!C66,'3.5 Depreciation amortisation'!$P$15:$P$58))-D71)</f>
        <v>-1729843.9</v>
      </c>
      <c r="E70" s="77">
        <v>-1660797.8099999998</v>
      </c>
      <c r="F70" s="251"/>
    </row>
    <row r="71" spans="2:6" x14ac:dyDescent="0.2">
      <c r="B71" s="361" t="s">
        <v>893</v>
      </c>
      <c r="C71" s="58" t="s">
        <v>208</v>
      </c>
      <c r="D71" s="140">
        <f>IF(Cover!C23="Scheme pipeline","-",-ABS(SUMIF('3.4 Asset impairment'!$C$10:$C$24,'3.1 Depreciated Book Value'!C66,'3.4 Asset impairment'!$D$10:$D$24))+SUMIF('3.4 Asset impairment'!$C$30:$C$56,'3.1 Depreciated Book Value'!C66,'3.4 Asset impairment'!$G$30:$G$56))</f>
        <v>0</v>
      </c>
      <c r="E71" s="77">
        <v>0</v>
      </c>
      <c r="F71" s="251"/>
    </row>
    <row r="72" spans="2:6" x14ac:dyDescent="0.2">
      <c r="B72" s="361" t="s">
        <v>893</v>
      </c>
      <c r="C72" s="58" t="s">
        <v>209</v>
      </c>
      <c r="D72" s="140">
        <f>IF(Cover!C23="Scheme pipeline","-",SUMIF('3.5 Depreciation amortisation'!$D$15:$D$58,'3.1 Depreciated Book Value'!C66,'3.5 Depreciation amortisation'!$K$15:$K$58))</f>
        <v>0</v>
      </c>
      <c r="E72" s="77">
        <v>0</v>
      </c>
    </row>
    <row r="73" spans="2:6" x14ac:dyDescent="0.2">
      <c r="B73" s="362"/>
      <c r="C73" s="95" t="s">
        <v>223</v>
      </c>
      <c r="D73" s="140">
        <f>SUM(D67:D72)</f>
        <v>1637773.54</v>
      </c>
      <c r="E73" s="140">
        <f>SUM(E67:E72)</f>
        <v>1706819.6300000001</v>
      </c>
    </row>
    <row r="74" spans="2:6" x14ac:dyDescent="0.2">
      <c r="B74" s="362"/>
      <c r="C74" s="59" t="s">
        <v>224</v>
      </c>
      <c r="D74" s="141"/>
      <c r="E74" s="141"/>
    </row>
    <row r="75" spans="2:6" x14ac:dyDescent="0.2">
      <c r="B75" s="361" t="s">
        <v>893</v>
      </c>
      <c r="C75" s="58" t="s">
        <v>203</v>
      </c>
      <c r="D75" s="140">
        <f>IF(Cover!C23="Scheme pipeline","-",SUMIF('3.5 Depreciation amortisation'!$D$15:$D$58,'3.1 Depreciated Book Value'!C74,'3.5 Depreciation amortisation'!$H$15:$H$58))</f>
        <v>7947</v>
      </c>
      <c r="E75" s="77">
        <v>7947</v>
      </c>
    </row>
    <row r="76" spans="2:6" x14ac:dyDescent="0.2">
      <c r="B76" s="361" t="s">
        <v>893</v>
      </c>
      <c r="C76" s="58" t="s">
        <v>204</v>
      </c>
      <c r="D76" s="140">
        <f>IF(Cover!C23="Scheme pipeline","-",SUMIF('3.5 Depreciation amortisation'!$D$15:$D$58,'3.1 Depreciated Book Value'!C74,'3.5 Depreciation amortisation'!$I$15:$I$58))</f>
        <v>24590</v>
      </c>
      <c r="E76" s="77">
        <v>0</v>
      </c>
    </row>
    <row r="77" spans="2:6" x14ac:dyDescent="0.2">
      <c r="B77" s="361" t="s">
        <v>893</v>
      </c>
      <c r="C77" s="58" t="s">
        <v>205</v>
      </c>
      <c r="D77" s="140">
        <f>IF(Cover!C23="Scheme pipeline","-",SUMIF('3.5 Depreciation amortisation'!$D$15:$D$58,'3.1 Depreciated Book Value'!C74,'3.5 Depreciation amortisation'!$J$15:$J$58))</f>
        <v>0</v>
      </c>
      <c r="E77" s="77">
        <v>0</v>
      </c>
    </row>
    <row r="78" spans="2:6" x14ac:dyDescent="0.2">
      <c r="B78" s="361" t="s">
        <v>893</v>
      </c>
      <c r="C78" s="58" t="s">
        <v>208</v>
      </c>
      <c r="D78" s="140">
        <f>IF(Cover!C23="Scheme pipeline","-",-ABS(SUMIF('3.4 Asset impairment'!$C$10:$C$24,'3.1 Depreciated Book Value'!C74,'3.4 Asset impairment'!$D$10:$D$24))+SUMIF('3.4 Asset impairment'!$C$30:$C$56,'3.1 Depreciated Book Value'!C74,'3.4 Asset impairment'!$G$30:$G$56))</f>
        <v>0</v>
      </c>
      <c r="E78" s="77">
        <v>0</v>
      </c>
    </row>
    <row r="79" spans="2:6" x14ac:dyDescent="0.2">
      <c r="B79" s="361" t="s">
        <v>893</v>
      </c>
      <c r="C79" s="58" t="s">
        <v>209</v>
      </c>
      <c r="D79" s="140">
        <f>IF(Cover!C23="Scheme pipeline","-",SUMIF('3.5 Depreciation amortisation'!$D$15:$D$58,'3.1 Depreciated Book Value'!C74,'3.5 Depreciation amortisation'!$K$15:$K$58))</f>
        <v>0</v>
      </c>
      <c r="E79" s="77">
        <v>0</v>
      </c>
    </row>
    <row r="80" spans="2:6" x14ac:dyDescent="0.2">
      <c r="B80" s="362"/>
      <c r="C80" s="95" t="s">
        <v>225</v>
      </c>
      <c r="D80" s="140">
        <f>SUM(D75:D79)</f>
        <v>32537</v>
      </c>
      <c r="E80" s="140">
        <f>SUM(E75:E79)</f>
        <v>7947</v>
      </c>
    </row>
    <row r="81" spans="2:8" x14ac:dyDescent="0.2">
      <c r="B81" s="362"/>
      <c r="C81" s="59" t="s">
        <v>226</v>
      </c>
      <c r="D81" s="141"/>
      <c r="E81" s="141"/>
      <c r="G81" s="272"/>
      <c r="H81" s="272"/>
    </row>
    <row r="82" spans="2:8" s="272" customFormat="1" x14ac:dyDescent="0.2">
      <c r="B82" s="361" t="s">
        <v>893</v>
      </c>
      <c r="C82" s="58" t="s">
        <v>203</v>
      </c>
      <c r="D82" s="140">
        <f>IF(Cover!C23="Scheme pipeline","-",SUMIF('3.5 Depreciation amortisation'!$D$15:$D$58,'3.1 Depreciated Book Value'!C81,'3.5 Depreciation amortisation'!$H$15:$H$58))</f>
        <v>8302495.6699999953</v>
      </c>
      <c r="E82" s="142">
        <v>8302495.6699999953</v>
      </c>
      <c r="F82" s="273"/>
    </row>
    <row r="83" spans="2:8" s="272" customFormat="1" x14ac:dyDescent="0.2">
      <c r="B83" s="361" t="s">
        <v>893</v>
      </c>
      <c r="C83" s="58" t="s">
        <v>204</v>
      </c>
      <c r="D83" s="140">
        <f>IF(Cover!C23="Scheme pipeline","-",SUMIF('3.5 Depreciation amortisation'!$D$15:$D$58,'3.1 Depreciated Book Value'!C81,'3.5 Depreciation amortisation'!$I$15:$I$58))</f>
        <v>491445.16000000003</v>
      </c>
      <c r="E83" s="142">
        <v>0</v>
      </c>
      <c r="F83" s="273"/>
    </row>
    <row r="84" spans="2:8" s="272" customFormat="1" x14ac:dyDescent="0.2">
      <c r="B84" s="361" t="s">
        <v>893</v>
      </c>
      <c r="C84" s="58" t="s">
        <v>205</v>
      </c>
      <c r="D84" s="140">
        <f>IF(Cover!C23="Scheme pipeline","-",SUMIF('3.5 Depreciation amortisation'!$D$15:$D$58,'3.1 Depreciated Book Value'!C81,'3.5 Depreciation amortisation'!$J$15:$J$58))</f>
        <v>0</v>
      </c>
      <c r="E84" s="142">
        <v>0</v>
      </c>
      <c r="F84" s="273"/>
    </row>
    <row r="85" spans="2:8" s="272" customFormat="1" x14ac:dyDescent="0.2">
      <c r="B85" s="361" t="s">
        <v>893</v>
      </c>
      <c r="C85" s="58" t="s">
        <v>207</v>
      </c>
      <c r="D85" s="140">
        <f>IF(Cover!C23="Scheme pipeline","-",-ABS(SUMIF('3.5 Depreciation amortisation'!$D$15:$D$58,'3.1 Depreciated Book Value'!C81,'3.5 Depreciation amortisation'!$O$15:$O$58)+SUMIF('3.5 Depreciation amortisation'!$D$15:$D$58,'3.1 Depreciated Book Value'!C81,'3.5 Depreciation amortisation'!$P$15:$P$58))-D86)</f>
        <v>-7024310.0899999971</v>
      </c>
      <c r="E85" s="142">
        <v>-7117699.1999999974</v>
      </c>
      <c r="F85" s="273"/>
    </row>
    <row r="86" spans="2:8" s="272" customFormat="1" x14ac:dyDescent="0.2">
      <c r="B86" s="361" t="s">
        <v>893</v>
      </c>
      <c r="C86" s="58" t="s">
        <v>208</v>
      </c>
      <c r="D86" s="140">
        <f>IF(Cover!C23="Scheme pipeline","-",-ABS(SUMIF('3.4 Asset impairment'!$C$10:$C$24,'3.1 Depreciated Book Value'!C81,'3.4 Asset impairment'!$D$10:$D$24))+SUMIF('3.4 Asset impairment'!$C$30:$C$56,'3.1 Depreciated Book Value'!C81,'3.4 Asset impairment'!$G$30:$G$56))</f>
        <v>0</v>
      </c>
      <c r="E86" s="142">
        <v>0</v>
      </c>
      <c r="F86" s="273"/>
    </row>
    <row r="87" spans="2:8" s="272" customFormat="1" x14ac:dyDescent="0.2">
      <c r="B87" s="361" t="s">
        <v>893</v>
      </c>
      <c r="C87" s="58" t="s">
        <v>209</v>
      </c>
      <c r="D87" s="140">
        <f>IF(Cover!C23="Scheme pipeline","-",SUMIF('3.5 Depreciation amortisation'!$D$15:$D$58,'3.1 Depreciated Book Value'!C81,'3.5 Depreciation amortisation'!$K$15:$K$58))</f>
        <v>-405141.88</v>
      </c>
      <c r="E87" s="142">
        <v>0</v>
      </c>
      <c r="G87" s="4"/>
      <c r="H87" s="4"/>
    </row>
    <row r="88" spans="2:8" x14ac:dyDescent="0.2">
      <c r="B88" s="362"/>
      <c r="C88" s="95" t="s">
        <v>227</v>
      </c>
      <c r="D88" s="140">
        <f>SUM(D82:D87)</f>
        <v>1364488.8599999975</v>
      </c>
      <c r="E88" s="140">
        <f>SUM(E82:E87)</f>
        <v>1184796.4699999979</v>
      </c>
    </row>
    <row r="89" spans="2:8" x14ac:dyDescent="0.2">
      <c r="B89" s="362"/>
      <c r="C89" s="59" t="s">
        <v>228</v>
      </c>
      <c r="D89" s="141"/>
      <c r="E89" s="141"/>
      <c r="F89" s="111"/>
    </row>
    <row r="90" spans="2:8" x14ac:dyDescent="0.2">
      <c r="B90" s="361" t="s">
        <v>893</v>
      </c>
      <c r="C90" s="58" t="s">
        <v>203</v>
      </c>
      <c r="D90" s="140">
        <f>IF(Cover!C23="Scheme pipeline","-",SUMIF('3.5 Depreciation amortisation'!$D$15:$D$58,'3.1 Depreciated Book Value'!C89,'3.5 Depreciation amortisation'!$H$15:$H$58))</f>
        <v>0</v>
      </c>
      <c r="E90" s="77">
        <v>0</v>
      </c>
      <c r="F90" s="111"/>
    </row>
    <row r="91" spans="2:8" x14ac:dyDescent="0.2">
      <c r="B91" s="361" t="s">
        <v>893</v>
      </c>
      <c r="C91" s="58" t="s">
        <v>204</v>
      </c>
      <c r="D91" s="140">
        <f>IF(Cover!C23="Scheme pipeline","-",SUMIF('3.5 Depreciation amortisation'!$D$15:$D$58,'3.1 Depreciated Book Value'!C89,'3.5 Depreciation amortisation'!$I$15:$I$58))</f>
        <v>0</v>
      </c>
      <c r="E91" s="77">
        <v>0</v>
      </c>
      <c r="F91" s="111"/>
    </row>
    <row r="92" spans="2:8" x14ac:dyDescent="0.2">
      <c r="B92" s="361" t="s">
        <v>893</v>
      </c>
      <c r="C92" s="58" t="s">
        <v>205</v>
      </c>
      <c r="D92" s="140">
        <f>IF(Cover!C23="Scheme pipeline","-",SUMIF('3.5 Depreciation amortisation'!$D$15:$D$58,'3.1 Depreciated Book Value'!C89,'3.5 Depreciation amortisation'!$J$15:$J$58))</f>
        <v>0</v>
      </c>
      <c r="E92" s="77">
        <v>0</v>
      </c>
      <c r="F92" s="111"/>
    </row>
    <row r="93" spans="2:8" x14ac:dyDescent="0.2">
      <c r="B93" s="361" t="s">
        <v>893</v>
      </c>
      <c r="C93" s="58" t="s">
        <v>229</v>
      </c>
      <c r="D93" s="140">
        <f>IF(Cover!C23="Scheme pipeline","-",-ABS(SUMIF('3.5 Depreciation amortisation'!$D$15:$D$58,'3.1 Depreciated Book Value'!C89,'3.5 Depreciation amortisation'!$O$15:$O$58)+SUMIF('3.5 Depreciation amortisation'!$D$15:$D$58,'3.1 Depreciated Book Value'!C89,'3.5 Depreciation amortisation'!$P$15:$P$58))-D94)</f>
        <v>0</v>
      </c>
      <c r="E93" s="77">
        <v>0</v>
      </c>
      <c r="F93" s="111"/>
      <c r="G93" s="111"/>
    </row>
    <row r="94" spans="2:8" x14ac:dyDescent="0.2">
      <c r="B94" s="361" t="s">
        <v>893</v>
      </c>
      <c r="C94" s="58" t="s">
        <v>208</v>
      </c>
      <c r="D94" s="140">
        <f>IF(Cover!C23="Scheme pipeline","-",-ABS(SUMIF('3.4 Asset impairment'!$C$10:$C$24,'3.1 Depreciated Book Value'!C89,'3.4 Asset impairment'!$D$10:$D$24))+SUMIF('3.4 Asset impairment'!$C$30:$C$56,'3.1 Depreciated Book Value'!C89,'3.4 Asset impairment'!$G$30:$G$56))</f>
        <v>0</v>
      </c>
      <c r="E94" s="77">
        <v>0</v>
      </c>
      <c r="F94" s="111"/>
      <c r="G94" s="111"/>
    </row>
    <row r="95" spans="2:8" x14ac:dyDescent="0.2">
      <c r="B95" s="361" t="s">
        <v>893</v>
      </c>
      <c r="C95" s="58" t="s">
        <v>209</v>
      </c>
      <c r="D95" s="140">
        <f>IF(Cover!C23="Scheme pipeline","-",SUMIF('3.5 Depreciation amortisation'!$D$15:$D$58,'3.1 Depreciated Book Value'!C89,'3.5 Depreciation amortisation'!$K$15:$K$58))</f>
        <v>0</v>
      </c>
      <c r="E95" s="77">
        <v>0</v>
      </c>
      <c r="F95" s="111"/>
    </row>
    <row r="96" spans="2:8" x14ac:dyDescent="0.2">
      <c r="B96" s="362"/>
      <c r="C96" s="95" t="s">
        <v>230</v>
      </c>
      <c r="D96" s="140">
        <f>SUM(D90:D95)</f>
        <v>0</v>
      </c>
      <c r="E96" s="140">
        <f>SUM(E90:E95)</f>
        <v>0</v>
      </c>
      <c r="F96" s="111"/>
    </row>
    <row r="97" spans="2:7" x14ac:dyDescent="0.2">
      <c r="B97" s="361" t="s">
        <v>893</v>
      </c>
      <c r="C97" s="59" t="s">
        <v>231</v>
      </c>
      <c r="D97" s="141"/>
      <c r="E97" s="141"/>
    </row>
    <row r="98" spans="2:7" x14ac:dyDescent="0.2">
      <c r="B98" s="361" t="s">
        <v>893</v>
      </c>
      <c r="C98" s="58" t="s">
        <v>203</v>
      </c>
      <c r="D98" s="77">
        <v>0</v>
      </c>
      <c r="E98" s="77">
        <v>0</v>
      </c>
      <c r="F98" s="111"/>
    </row>
    <row r="99" spans="2:7" x14ac:dyDescent="0.2">
      <c r="B99" s="361" t="s">
        <v>893</v>
      </c>
      <c r="C99" s="58" t="s">
        <v>204</v>
      </c>
      <c r="D99" s="77">
        <v>0</v>
      </c>
      <c r="E99" s="77">
        <v>0</v>
      </c>
      <c r="F99" s="111"/>
    </row>
    <row r="100" spans="2:7" x14ac:dyDescent="0.2">
      <c r="B100" s="361" t="s">
        <v>893</v>
      </c>
      <c r="C100" s="58" t="s">
        <v>205</v>
      </c>
      <c r="D100" s="77">
        <v>0</v>
      </c>
      <c r="E100" s="77">
        <v>0</v>
      </c>
      <c r="F100" s="111"/>
    </row>
    <row r="101" spans="2:7" x14ac:dyDescent="0.2">
      <c r="B101" s="361" t="s">
        <v>893</v>
      </c>
      <c r="C101" s="58" t="s">
        <v>209</v>
      </c>
      <c r="D101" s="77">
        <v>0</v>
      </c>
      <c r="E101" s="77">
        <v>0</v>
      </c>
      <c r="F101" s="111"/>
      <c r="G101" s="111"/>
    </row>
    <row r="102" spans="2:7" x14ac:dyDescent="0.2">
      <c r="B102" s="362"/>
      <c r="C102" s="95" t="s">
        <v>232</v>
      </c>
      <c r="D102" s="140">
        <f>SUM(D98:D101)</f>
        <v>0</v>
      </c>
      <c r="E102" s="140">
        <f>SUM(E98:E101)</f>
        <v>0</v>
      </c>
      <c r="F102" s="111"/>
    </row>
    <row r="103" spans="2:7" x14ac:dyDescent="0.2">
      <c r="B103" s="362"/>
      <c r="C103" s="96" t="s">
        <v>233</v>
      </c>
      <c r="D103" s="140">
        <f>SUM(D25,D33,D41,D49,D57,D65,D73,D80,D88,D102,D96)</f>
        <v>46990820.98214639</v>
      </c>
      <c r="E103" s="140">
        <f>SUM(E25,E33,E41,E49,E57,E65,E73,E80,E88,E102,E96)</f>
        <v>51188520.84319225</v>
      </c>
      <c r="F103" s="111"/>
    </row>
    <row r="104" spans="2:7" x14ac:dyDescent="0.2">
      <c r="B104" s="362"/>
      <c r="C104" s="57" t="s">
        <v>234</v>
      </c>
      <c r="D104" s="141"/>
      <c r="E104" s="141"/>
    </row>
    <row r="105" spans="2:7" x14ac:dyDescent="0.2">
      <c r="B105" s="362"/>
      <c r="C105" s="59" t="s">
        <v>235</v>
      </c>
      <c r="D105" s="141"/>
      <c r="E105" s="141"/>
    </row>
    <row r="106" spans="2:7" x14ac:dyDescent="0.2">
      <c r="B106" s="361" t="s">
        <v>893</v>
      </c>
      <c r="C106" s="58" t="s">
        <v>203</v>
      </c>
      <c r="D106" s="140">
        <f>IF(Cover!C23="Scheme pipeline","-",SUMIF('3.5 Depreciation amortisation'!$D$66:$D$83,$C$105,'3.5 Depreciation amortisation'!$G$66:$G$83))</f>
        <v>20308397.629434321</v>
      </c>
      <c r="E106" s="77">
        <v>20139157.012560003</v>
      </c>
      <c r="F106" s="111"/>
    </row>
    <row r="107" spans="2:7" x14ac:dyDescent="0.2">
      <c r="B107" s="361" t="s">
        <v>893</v>
      </c>
      <c r="C107" s="58" t="s">
        <v>204</v>
      </c>
      <c r="D107" s="140">
        <f>IF(Cover!C23="Scheme pipeline","-",SUMIF('3.5 Depreciation amortisation'!$D$66:$D$83,$C$105,'3.5 Depreciation amortisation'!$H$66:$H$83))</f>
        <v>3149492.9240197991</v>
      </c>
      <c r="E107" s="77">
        <v>281161.06459889538</v>
      </c>
      <c r="F107" s="111"/>
    </row>
    <row r="108" spans="2:7" x14ac:dyDescent="0.2">
      <c r="B108" s="361" t="s">
        <v>893</v>
      </c>
      <c r="C108" s="58" t="s">
        <v>205</v>
      </c>
      <c r="D108" s="140">
        <f>IF(Cover!C23="Scheme pipeline","-",SUMIF('3.5 Depreciation amortisation'!$D$66:$D$83,$C$105,'3.5 Depreciation amortisation'!$I$66:$I$83))</f>
        <v>0</v>
      </c>
      <c r="E108" s="77">
        <v>0</v>
      </c>
    </row>
    <row r="109" spans="2:7" x14ac:dyDescent="0.2">
      <c r="B109" s="361" t="s">
        <v>893</v>
      </c>
      <c r="C109" s="58" t="s">
        <v>207</v>
      </c>
      <c r="D109" s="140">
        <f>IF(Cover!C23="Scheme pipeline","-",-ABS(SUMIF('3.5 Depreciation amortisation'!$D$66:$D$83,$C$105,'3.5 Depreciation amortisation'!$N$66:$N$83)+SUMIF('3.5 Depreciation amortisation'!$D$66:$D$83,$C$105,'3.5 Depreciation amortisation'!$O$66:$O$83))-D110)</f>
        <v>-16338183.961308807</v>
      </c>
      <c r="E109" s="77">
        <v>-14540904.92517484</v>
      </c>
      <c r="F109" s="111"/>
    </row>
    <row r="110" spans="2:7" x14ac:dyDescent="0.2">
      <c r="B110" s="361" t="s">
        <v>893</v>
      </c>
      <c r="C110" s="58" t="s">
        <v>208</v>
      </c>
      <c r="D110" s="140">
        <f>IF(Cover!C23="Scheme pipeline","-",-ABS(SUMIF('3.4 Asset impairment'!$C$10:$C$24,'3.1 Depreciated Book Value'!C105,'3.4 Asset impairment'!$D$10:$D$24))+SUMIF('3.4 Asset impairment'!$C$30:$C$56,'3.1 Depreciated Book Value'!C105,'3.4 Asset impairment'!$G$30:$G$56))</f>
        <v>0</v>
      </c>
      <c r="E110" s="77">
        <v>0</v>
      </c>
      <c r="F110" s="111"/>
    </row>
    <row r="111" spans="2:7" x14ac:dyDescent="0.2">
      <c r="B111" s="361" t="s">
        <v>893</v>
      </c>
      <c r="C111" s="58" t="s">
        <v>209</v>
      </c>
      <c r="D111" s="140">
        <f>IF(Cover!C23="Scheme pipeline","-",SUMIF('3.5 Depreciation amortisation'!$D$66:$D$83,$C$105,'3.5 Depreciation amortisation'!$J$66:$J$83))</f>
        <v>-34602.255692087703</v>
      </c>
      <c r="E111" s="77">
        <v>-111920.44772457558</v>
      </c>
      <c r="F111" s="111"/>
    </row>
    <row r="112" spans="2:7" x14ac:dyDescent="0.2">
      <c r="B112" s="362"/>
      <c r="C112" s="95" t="s">
        <v>236</v>
      </c>
      <c r="D112" s="140">
        <f>SUM(D106:D111)</f>
        <v>7085104.3364532245</v>
      </c>
      <c r="E112" s="140">
        <f>SUM(E106:E111)</f>
        <v>5767492.7042594831</v>
      </c>
    </row>
    <row r="113" spans="2:7" x14ac:dyDescent="0.2">
      <c r="B113" s="362"/>
      <c r="C113" s="59" t="s">
        <v>237</v>
      </c>
      <c r="D113" s="141"/>
      <c r="E113" s="141"/>
      <c r="F113" s="111"/>
    </row>
    <row r="114" spans="2:7" x14ac:dyDescent="0.2">
      <c r="B114" s="361" t="s">
        <v>893</v>
      </c>
      <c r="C114" s="58" t="s">
        <v>203</v>
      </c>
      <c r="D114" s="140">
        <f>IF(Cover!C23="Scheme pipeline","-",SUMIF('3.5 Depreciation amortisation'!$D$66:$D$83,$C$113,'3.5 Depreciation amortisation'!$G$66:$G$83))</f>
        <v>2314799.2110171439</v>
      </c>
      <c r="E114" s="77">
        <v>1725727.2368601004</v>
      </c>
      <c r="F114" s="111"/>
    </row>
    <row r="115" spans="2:7" x14ac:dyDescent="0.2">
      <c r="B115" s="361" t="s">
        <v>893</v>
      </c>
      <c r="C115" s="58" t="s">
        <v>204</v>
      </c>
      <c r="D115" s="140">
        <f>IF(Cover!C23="Scheme pipeline","-",SUMIF('3.5 Depreciation amortisation'!$D$66:$D$83,$C$113,'3.5 Depreciation amortisation'!$H$66:$H$83))</f>
        <v>422471.83264330932</v>
      </c>
      <c r="E115" s="77">
        <v>587928.87745033635</v>
      </c>
      <c r="F115" s="111"/>
    </row>
    <row r="116" spans="2:7" x14ac:dyDescent="0.2">
      <c r="B116" s="361" t="s">
        <v>893</v>
      </c>
      <c r="C116" s="58" t="s">
        <v>205</v>
      </c>
      <c r="D116" s="140">
        <f>IF(Cover!C23="Scheme pipeline","-",SUMIF('3.5 Depreciation amortisation'!$D$66:$D$83,$C$113,'3.5 Depreciation amortisation'!$I$66:$I$83))</f>
        <v>0</v>
      </c>
      <c r="E116" s="77">
        <v>0</v>
      </c>
      <c r="F116" s="111"/>
    </row>
    <row r="117" spans="2:7" x14ac:dyDescent="0.2">
      <c r="B117" s="361" t="s">
        <v>893</v>
      </c>
      <c r="C117" s="58" t="s">
        <v>229</v>
      </c>
      <c r="D117" s="140">
        <f>IF(Cover!C23="Scheme pipeline","-",-ABS(SUMIF('3.5 Depreciation amortisation'!$D$66:$D$83,$C$113,'3.5 Depreciation amortisation'!$N$66:$N$83)+SUMIF('3.5 Depreciation amortisation'!$D$66:$D$83,$C$113,'3.5 Depreciation amortisation'!$O$66:$O$83))-D118)</f>
        <v>-1565459.7640130632</v>
      </c>
      <c r="E117" s="77">
        <v>-1162302.897614327</v>
      </c>
      <c r="F117" s="111"/>
      <c r="G117" s="111"/>
    </row>
    <row r="118" spans="2:7" x14ac:dyDescent="0.2">
      <c r="B118" s="361" t="s">
        <v>893</v>
      </c>
      <c r="C118" s="58" t="s">
        <v>208</v>
      </c>
      <c r="D118" s="140">
        <f>IF(Cover!C23="Scheme pipeline","-",-ABS(SUMIF('3.4 Asset impairment'!$C$10:$C$24,'3.1 Depreciated Book Value'!C113,'3.4 Asset impairment'!$D$10:$D$24))+SUMIF('3.4 Asset impairment'!$C$30:$C$56,'3.1 Depreciated Book Value'!C113,'3.4 Asset impairment'!$G$30:$G$56))</f>
        <v>0</v>
      </c>
      <c r="E118" s="77">
        <v>0</v>
      </c>
      <c r="F118" s="111"/>
      <c r="G118" s="111"/>
    </row>
    <row r="119" spans="2:7" x14ac:dyDescent="0.2">
      <c r="B119" s="361" t="s">
        <v>893</v>
      </c>
      <c r="C119" s="58" t="s">
        <v>209</v>
      </c>
      <c r="D119" s="140">
        <f>IF(Cover!C23="Scheme pipeline","-",SUMIF('3.5 Depreciation amortisation'!$D$66:$D$83,$C$113,'3.5 Depreciation amortisation'!$J$66:$J$83))</f>
        <v>-9552.1022420072277</v>
      </c>
      <c r="E119" s="77">
        <v>1143.0967067066438</v>
      </c>
      <c r="F119" s="111"/>
    </row>
    <row r="120" spans="2:7" x14ac:dyDescent="0.2">
      <c r="B120" s="362"/>
      <c r="C120" s="95" t="s">
        <v>238</v>
      </c>
      <c r="D120" s="140">
        <f>SUM(D114:D119)</f>
        <v>1162259.1774053827</v>
      </c>
      <c r="E120" s="140">
        <f>SUM(E114:E119)</f>
        <v>1152496.3134028164</v>
      </c>
      <c r="F120" s="111"/>
    </row>
    <row r="121" spans="2:7" x14ac:dyDescent="0.2">
      <c r="B121" s="361" t="s">
        <v>893</v>
      </c>
      <c r="C121" s="59" t="s">
        <v>239</v>
      </c>
      <c r="D121" s="77">
        <v>571448.66</v>
      </c>
      <c r="E121" s="77">
        <v>498777.05</v>
      </c>
      <c r="F121" s="111"/>
    </row>
    <row r="122" spans="2:7" x14ac:dyDescent="0.2">
      <c r="B122" s="361" t="s">
        <v>893</v>
      </c>
      <c r="C122" s="59" t="s">
        <v>240</v>
      </c>
      <c r="D122" s="77">
        <v>4071897.9406181253</v>
      </c>
      <c r="E122" s="77">
        <v>7312971.1993043497</v>
      </c>
    </row>
    <row r="123" spans="2:7" x14ac:dyDescent="0.2">
      <c r="B123" s="361" t="s">
        <v>893</v>
      </c>
      <c r="C123" s="59" t="s">
        <v>241</v>
      </c>
      <c r="D123" s="77">
        <v>10759462.23</v>
      </c>
      <c r="E123" s="77">
        <v>9000969.5300000012</v>
      </c>
    </row>
    <row r="124" spans="2:7" x14ac:dyDescent="0.2">
      <c r="B124" s="362"/>
      <c r="C124" s="97" t="s">
        <v>242</v>
      </c>
      <c r="D124" s="140">
        <f>SUM(D112,D120:D123)</f>
        <v>23650172.344476733</v>
      </c>
      <c r="E124" s="140">
        <f>SUM(E112,E120:E123)</f>
        <v>23732706.79696665</v>
      </c>
      <c r="F124" s="111"/>
    </row>
    <row r="125" spans="2:7" x14ac:dyDescent="0.2">
      <c r="B125" s="362"/>
      <c r="C125" s="97" t="s">
        <v>243</v>
      </c>
      <c r="D125" s="143">
        <f>SUM(D103,D124)</f>
        <v>70640993.326623127</v>
      </c>
      <c r="E125" s="143">
        <f>SUM(E103,E124)</f>
        <v>74921227.640158892</v>
      </c>
    </row>
    <row r="126" spans="2:7" x14ac:dyDescent="0.2">
      <c r="B126" s="363"/>
    </row>
    <row r="127" spans="2:7" x14ac:dyDescent="0.2">
      <c r="B127" s="363"/>
    </row>
    <row r="128" spans="2:7" ht="15.75" x14ac:dyDescent="0.25">
      <c r="B128" s="365" t="s">
        <v>244</v>
      </c>
    </row>
    <row r="129" spans="2:4" ht="15.75" x14ac:dyDescent="0.25">
      <c r="B129" s="364"/>
    </row>
    <row r="130" spans="2:4" ht="25.5" x14ac:dyDescent="0.2">
      <c r="B130" s="55" t="s">
        <v>112</v>
      </c>
      <c r="C130" s="56" t="s">
        <v>113</v>
      </c>
      <c r="D130" s="311" t="str">
        <f>IFERROR(VLOOKUP(C132,Sheet1!rInitialyears,2,FALSE),"")</f>
        <v>Acquisition year</v>
      </c>
    </row>
    <row r="131" spans="2:4" x14ac:dyDescent="0.2">
      <c r="B131" s="55"/>
      <c r="C131" s="97" t="s">
        <v>243</v>
      </c>
      <c r="D131" s="311"/>
    </row>
    <row r="132" spans="2:4" x14ac:dyDescent="0.2">
      <c r="B132" s="361" t="s">
        <v>893</v>
      </c>
      <c r="C132" s="302" t="s">
        <v>481</v>
      </c>
      <c r="D132" s="330">
        <v>365500553.80661565</v>
      </c>
    </row>
  </sheetData>
  <sheetProtection sheet="1"/>
  <mergeCells count="3">
    <mergeCell ref="B13:C13"/>
    <mergeCell ref="B4:C4"/>
    <mergeCell ref="B6:F10"/>
  </mergeCells>
  <phoneticPr fontId="33" type="noConversion"/>
  <pageMargins left="0.75" right="0.75" top="1" bottom="1" header="0.5" footer="0.5"/>
  <pageSetup paperSize="9" scale="27" orientation="landscape" verticalDpi="2" r:id="rId1"/>
  <headerFooter alignWithMargins="0"/>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CAB99EE8-3211-4BEA-8C72-8B2D8AA2AC9C}">
          <x14:formula1>
            <xm:f>Sheet1!$G$3:$G$5</xm:f>
          </x14:formula1>
          <xm:sqref>C132</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7734A-5677-4217-8F12-8538421511F3}">
  <sheetPr codeName="Sheet20">
    <tabColor rgb="FF17415D"/>
    <pageSetUpPr fitToPage="1"/>
  </sheetPr>
  <dimension ref="B1:L119"/>
  <sheetViews>
    <sheetView zoomScale="108" zoomScaleNormal="85" workbookViewId="0">
      <pane xSplit="1" ySplit="9" topLeftCell="B10" activePane="bottomRight" state="frozen"/>
      <selection activeCell="G47" sqref="G47"/>
      <selection pane="topRight" activeCell="G47" sqref="G47"/>
      <selection pane="bottomLeft" activeCell="G47" sqref="G47"/>
      <selection pane="bottomRight"/>
    </sheetView>
  </sheetViews>
  <sheetFormatPr defaultColWidth="9.140625" defaultRowHeight="12.75" x14ac:dyDescent="0.2"/>
  <cols>
    <col min="1" max="1" width="12" style="4" customWidth="1"/>
    <col min="2" max="2" width="34.5703125" style="4" customWidth="1"/>
    <col min="3" max="3" width="70.85546875" style="4" customWidth="1"/>
    <col min="4" max="8" width="20.7109375" style="4" customWidth="1"/>
    <col min="9" max="16384" width="9.140625" style="4"/>
  </cols>
  <sheetData>
    <row r="1" spans="2:8" ht="20.25" x14ac:dyDescent="0.2">
      <c r="B1" s="146" t="s">
        <v>52</v>
      </c>
      <c r="C1" s="146"/>
    </row>
    <row r="2" spans="2:8" ht="20.25" x14ac:dyDescent="0.2">
      <c r="B2" s="146" t="str">
        <f>IF(Tradingname=0," ",Tradingname)</f>
        <v>APT Pipelines (QLD) Pty Limited</v>
      </c>
      <c r="C2" s="146"/>
      <c r="E2" s="270"/>
    </row>
    <row r="3" spans="2:8" ht="20.25" x14ac:dyDescent="0.3">
      <c r="B3" s="146" t="s">
        <v>29</v>
      </c>
      <c r="C3" s="110">
        <f>IF(Yearending=0, "01/01/2000", Yearending)</f>
        <v>45838</v>
      </c>
    </row>
    <row r="4" spans="2:8" ht="20.25" x14ac:dyDescent="0.3">
      <c r="B4" s="146" t="s">
        <v>245</v>
      </c>
      <c r="C4" s="110">
        <f>'1. Pipeline information'!C15</f>
        <v>0</v>
      </c>
    </row>
    <row r="5" spans="2:8" ht="20.25" x14ac:dyDescent="0.2">
      <c r="B5" s="102" t="s">
        <v>246</v>
      </c>
      <c r="C5" s="102"/>
      <c r="D5" s="253"/>
    </row>
    <row r="6" spans="2:8" x14ac:dyDescent="0.2">
      <c r="D6" s="271"/>
    </row>
    <row r="7" spans="2:8" x14ac:dyDescent="0.2">
      <c r="B7" s="446" t="s">
        <v>247</v>
      </c>
      <c r="C7" s="446"/>
      <c r="D7" s="446"/>
    </row>
    <row r="8" spans="2:8" x14ac:dyDescent="0.2">
      <c r="B8" s="446"/>
      <c r="C8" s="446"/>
      <c r="D8" s="446"/>
    </row>
    <row r="9" spans="2:8" x14ac:dyDescent="0.2">
      <c r="B9" s="446"/>
      <c r="C9" s="446"/>
      <c r="D9" s="446"/>
    </row>
    <row r="12" spans="2:8" ht="15.75" x14ac:dyDescent="0.2">
      <c r="B12" s="449" t="s">
        <v>248</v>
      </c>
      <c r="C12" s="449"/>
      <c r="D12" s="271"/>
    </row>
    <row r="14" spans="2:8" x14ac:dyDescent="0.2">
      <c r="B14" s="271"/>
      <c r="C14" s="271"/>
      <c r="D14" s="451" t="s">
        <v>249</v>
      </c>
      <c r="E14" s="451"/>
      <c r="F14" s="451"/>
      <c r="G14" s="451"/>
      <c r="H14" s="451"/>
    </row>
    <row r="15" spans="2:8" x14ac:dyDescent="0.2">
      <c r="B15" s="55" t="s">
        <v>112</v>
      </c>
      <c r="C15" s="311" t="s">
        <v>113</v>
      </c>
      <c r="D15" s="311" t="str">
        <f>YEAR(Yearstart)-4&amp;"-"&amp;RIGHT(YEAR(Yearstart)-3,2)</f>
        <v>2020-21</v>
      </c>
      <c r="E15" s="311" t="str">
        <f>YEAR(Yearstart)-3&amp;"-"&amp;RIGHT(YEAR(Yearstart)-2,2)</f>
        <v>2021-22</v>
      </c>
      <c r="F15" s="56" t="str">
        <f>YEAR(Yearstart)-2&amp;"-"&amp;RIGHT(YEAR(Yearstart)-1,2)</f>
        <v>2022-23</v>
      </c>
      <c r="G15" s="56" t="str">
        <f>YEAR(Yearstart)-1&amp;"-"&amp;RIGHT(YEAR(Yearstart),2)</f>
        <v>2023-24</v>
      </c>
      <c r="H15" s="311" t="str">
        <f>YEAR(Yearstart)&amp;"-"&amp;RIGHT(YEAR(Yearstart)+1,2)</f>
        <v>2024-25</v>
      </c>
    </row>
    <row r="16" spans="2:8" x14ac:dyDescent="0.2">
      <c r="B16" s="295"/>
      <c r="C16" s="56"/>
      <c r="D16" s="56"/>
      <c r="E16" s="56"/>
      <c r="F16" s="56"/>
      <c r="G16" s="56"/>
      <c r="H16" s="311"/>
    </row>
    <row r="17" spans="2:12" x14ac:dyDescent="0.2">
      <c r="B17" s="294"/>
      <c r="C17" s="59" t="s">
        <v>250</v>
      </c>
      <c r="D17" s="172" t="s">
        <v>251</v>
      </c>
      <c r="E17" s="172" t="s">
        <v>251</v>
      </c>
      <c r="F17" s="172" t="s">
        <v>251</v>
      </c>
      <c r="G17" s="172" t="s">
        <v>251</v>
      </c>
      <c r="H17" s="172" t="s">
        <v>251</v>
      </c>
    </row>
    <row r="18" spans="2:12" x14ac:dyDescent="0.2">
      <c r="B18" s="358" t="s">
        <v>906</v>
      </c>
      <c r="C18" s="173" t="s">
        <v>252</v>
      </c>
      <c r="D18" s="77"/>
      <c r="E18" s="140">
        <f>D23</f>
        <v>0</v>
      </c>
      <c r="F18" s="140">
        <f>E23</f>
        <v>0</v>
      </c>
      <c r="G18" s="140">
        <f>F23</f>
        <v>0</v>
      </c>
      <c r="H18" s="140">
        <f>G23</f>
        <v>0</v>
      </c>
    </row>
    <row r="19" spans="2:12" x14ac:dyDescent="0.2">
      <c r="B19" s="361" t="s">
        <v>906</v>
      </c>
      <c r="C19" s="173" t="s">
        <v>253</v>
      </c>
      <c r="D19" s="77"/>
      <c r="E19" s="77"/>
      <c r="F19" s="77"/>
      <c r="G19" s="77"/>
      <c r="H19" s="77"/>
    </row>
    <row r="20" spans="2:12" x14ac:dyDescent="0.2">
      <c r="B20" s="294"/>
      <c r="C20" s="95" t="s">
        <v>254</v>
      </c>
      <c r="D20" s="140">
        <f>SUM(D18:D19)</f>
        <v>0</v>
      </c>
      <c r="E20" s="140">
        <f>SUM(E18:E19)</f>
        <v>0</v>
      </c>
      <c r="F20" s="140">
        <f>SUM(F18:F19)</f>
        <v>0</v>
      </c>
      <c r="G20" s="140">
        <f>SUM(G18:G19)</f>
        <v>0</v>
      </c>
      <c r="H20" s="140">
        <f>SUM(H18:H19)</f>
        <v>0</v>
      </c>
    </row>
    <row r="21" spans="2:12" x14ac:dyDescent="0.2">
      <c r="B21" s="361" t="s">
        <v>906</v>
      </c>
      <c r="C21" s="173" t="s">
        <v>255</v>
      </c>
      <c r="D21" s="77"/>
      <c r="E21" s="77"/>
      <c r="F21" s="77"/>
      <c r="G21" s="77"/>
      <c r="H21" s="77"/>
    </row>
    <row r="22" spans="2:12" x14ac:dyDescent="0.2">
      <c r="B22" s="361" t="s">
        <v>906</v>
      </c>
      <c r="C22" s="173" t="s">
        <v>256</v>
      </c>
      <c r="D22" s="77"/>
      <c r="E22" s="77"/>
      <c r="F22" s="77"/>
      <c r="G22" s="77"/>
      <c r="H22" s="77"/>
      <c r="L22" s="20"/>
    </row>
    <row r="23" spans="2:12" x14ac:dyDescent="0.2">
      <c r="B23" s="294"/>
      <c r="C23" s="95" t="s">
        <v>257</v>
      </c>
      <c r="D23" s="140">
        <f>SUM(D20:D22)</f>
        <v>0</v>
      </c>
      <c r="E23" s="140">
        <f>SUM(E20:E22)</f>
        <v>0</v>
      </c>
      <c r="F23" s="140">
        <f>SUM(F20:F22)</f>
        <v>0</v>
      </c>
      <c r="G23" s="140">
        <f>SUM(G20:G22)</f>
        <v>0</v>
      </c>
      <c r="H23" s="140">
        <f>SUM(H20:H22)</f>
        <v>0</v>
      </c>
    </row>
    <row r="24" spans="2:12" x14ac:dyDescent="0.2">
      <c r="B24" s="294"/>
      <c r="C24" s="59" t="s">
        <v>258</v>
      </c>
      <c r="D24" s="311"/>
      <c r="E24" s="311"/>
      <c r="F24" s="311"/>
      <c r="G24" s="311"/>
      <c r="H24" s="311"/>
    </row>
    <row r="25" spans="2:12" x14ac:dyDescent="0.2">
      <c r="B25" s="361" t="s">
        <v>906</v>
      </c>
      <c r="C25" s="173" t="s">
        <v>252</v>
      </c>
      <c r="D25" s="77"/>
      <c r="E25" s="140">
        <f>D29</f>
        <v>0</v>
      </c>
      <c r="F25" s="140">
        <f>E29</f>
        <v>0</v>
      </c>
      <c r="G25" s="140">
        <f>F29</f>
        <v>0</v>
      </c>
      <c r="H25" s="140">
        <f>G29</f>
        <v>0</v>
      </c>
    </row>
    <row r="26" spans="2:12" x14ac:dyDescent="0.2">
      <c r="B26" s="361" t="s">
        <v>906</v>
      </c>
      <c r="C26" s="173" t="s">
        <v>259</v>
      </c>
      <c r="D26" s="77"/>
      <c r="E26" s="77"/>
      <c r="F26" s="77"/>
      <c r="G26" s="77"/>
      <c r="H26" s="77"/>
    </row>
    <row r="27" spans="2:12" x14ac:dyDescent="0.2">
      <c r="B27" s="361" t="s">
        <v>906</v>
      </c>
      <c r="C27" s="173" t="s">
        <v>260</v>
      </c>
      <c r="D27" s="77"/>
      <c r="E27" s="77"/>
      <c r="F27" s="77"/>
      <c r="G27" s="77"/>
      <c r="H27" s="77"/>
    </row>
    <row r="28" spans="2:12" x14ac:dyDescent="0.2">
      <c r="B28" s="361" t="s">
        <v>906</v>
      </c>
      <c r="C28" s="173" t="s">
        <v>261</v>
      </c>
      <c r="D28" s="77"/>
      <c r="E28" s="77"/>
      <c r="F28" s="77"/>
      <c r="G28" s="77"/>
      <c r="H28" s="77"/>
    </row>
    <row r="29" spans="2:12" x14ac:dyDescent="0.2">
      <c r="B29" s="294"/>
      <c r="C29" s="95" t="s">
        <v>262</v>
      </c>
      <c r="D29" s="140">
        <f>SUM(D25:D28)</f>
        <v>0</v>
      </c>
      <c r="E29" s="140">
        <f>SUM(E25:E28)</f>
        <v>0</v>
      </c>
      <c r="F29" s="140">
        <f>SUM(F25:F28)</f>
        <v>0</v>
      </c>
      <c r="G29" s="140">
        <f>SUM(G25:G28)</f>
        <v>0</v>
      </c>
      <c r="H29" s="140">
        <f>SUM(H25:H28)</f>
        <v>0</v>
      </c>
    </row>
    <row r="30" spans="2:12" x14ac:dyDescent="0.2">
      <c r="B30" s="294"/>
      <c r="C30" s="59" t="s">
        <v>263</v>
      </c>
      <c r="D30" s="311"/>
      <c r="E30" s="311"/>
      <c r="F30" s="311"/>
      <c r="G30" s="311"/>
      <c r="H30" s="311"/>
    </row>
    <row r="31" spans="2:12" x14ac:dyDescent="0.2">
      <c r="B31" s="361" t="s">
        <v>906</v>
      </c>
      <c r="C31" s="173" t="s">
        <v>252</v>
      </c>
      <c r="D31" s="77"/>
      <c r="E31" s="140">
        <f>D35</f>
        <v>0</v>
      </c>
      <c r="F31" s="140">
        <f>E35</f>
        <v>0</v>
      </c>
      <c r="G31" s="140">
        <f>F35</f>
        <v>0</v>
      </c>
      <c r="H31" s="140">
        <f>G35</f>
        <v>0</v>
      </c>
    </row>
    <row r="32" spans="2:12" x14ac:dyDescent="0.2">
      <c r="B32" s="361" t="s">
        <v>906</v>
      </c>
      <c r="C32" s="173" t="s">
        <v>264</v>
      </c>
      <c r="D32" s="77"/>
      <c r="E32" s="77"/>
      <c r="F32" s="77"/>
      <c r="G32" s="77"/>
      <c r="H32" s="77"/>
    </row>
    <row r="33" spans="2:8" ht="11.25" customHeight="1" x14ac:dyDescent="0.2">
      <c r="B33" s="361" t="s">
        <v>906</v>
      </c>
      <c r="C33" s="173" t="s">
        <v>265</v>
      </c>
      <c r="D33" s="77"/>
      <c r="E33" s="77"/>
      <c r="F33" s="77"/>
      <c r="G33" s="77"/>
      <c r="H33" s="77"/>
    </row>
    <row r="34" spans="2:8" x14ac:dyDescent="0.2">
      <c r="B34" s="361" t="s">
        <v>906</v>
      </c>
      <c r="C34" s="173" t="s">
        <v>261</v>
      </c>
      <c r="D34" s="77"/>
      <c r="E34" s="77"/>
      <c r="F34" s="77"/>
      <c r="G34" s="77"/>
      <c r="H34" s="77"/>
    </row>
    <row r="35" spans="2:8" x14ac:dyDescent="0.2">
      <c r="B35" s="294"/>
      <c r="C35" s="95" t="s">
        <v>266</v>
      </c>
      <c r="D35" s="140">
        <f>SUM(D31:D34)</f>
        <v>0</v>
      </c>
      <c r="E35" s="140">
        <f>SUM(E31:E34)</f>
        <v>0</v>
      </c>
      <c r="F35" s="140">
        <f>SUM(F31:F34)</f>
        <v>0</v>
      </c>
      <c r="G35" s="140">
        <f>SUM(G31:G34)</f>
        <v>0</v>
      </c>
      <c r="H35" s="140">
        <f>SUM(H31:H34)</f>
        <v>0</v>
      </c>
    </row>
    <row r="36" spans="2:8" x14ac:dyDescent="0.2">
      <c r="B36" s="294"/>
      <c r="C36" s="59" t="s">
        <v>267</v>
      </c>
      <c r="D36" s="311"/>
      <c r="E36" s="311"/>
      <c r="F36" s="311"/>
      <c r="G36" s="311"/>
      <c r="H36" s="311"/>
    </row>
    <row r="37" spans="2:8" x14ac:dyDescent="0.2">
      <c r="B37" s="361" t="s">
        <v>906</v>
      </c>
      <c r="C37" s="173" t="s">
        <v>252</v>
      </c>
      <c r="D37" s="77"/>
      <c r="E37" s="140">
        <f>D41</f>
        <v>0</v>
      </c>
      <c r="F37" s="140">
        <f>E41</f>
        <v>0</v>
      </c>
      <c r="G37" s="140">
        <f>F41</f>
        <v>0</v>
      </c>
      <c r="H37" s="140">
        <f>G41</f>
        <v>0</v>
      </c>
    </row>
    <row r="38" spans="2:8" x14ac:dyDescent="0.2">
      <c r="B38" s="361" t="s">
        <v>906</v>
      </c>
      <c r="C38" s="173" t="s">
        <v>259</v>
      </c>
      <c r="D38" s="77"/>
      <c r="E38" s="77"/>
      <c r="F38" s="77"/>
      <c r="G38" s="77"/>
      <c r="H38" s="77"/>
    </row>
    <row r="39" spans="2:8" x14ac:dyDescent="0.2">
      <c r="B39" s="361" t="s">
        <v>906</v>
      </c>
      <c r="C39" s="173" t="s">
        <v>268</v>
      </c>
      <c r="D39" s="77"/>
      <c r="E39" s="77"/>
      <c r="F39" s="77"/>
      <c r="G39" s="77"/>
      <c r="H39" s="77"/>
    </row>
    <row r="40" spans="2:8" x14ac:dyDescent="0.2">
      <c r="B40" s="361" t="s">
        <v>906</v>
      </c>
      <c r="C40" s="173" t="s">
        <v>261</v>
      </c>
      <c r="D40" s="77"/>
      <c r="E40" s="77"/>
      <c r="F40" s="77"/>
      <c r="G40" s="77"/>
      <c r="H40" s="77"/>
    </row>
    <row r="41" spans="2:8" ht="11.25" customHeight="1" x14ac:dyDescent="0.2">
      <c r="B41" s="294"/>
      <c r="C41" s="95" t="s">
        <v>269</v>
      </c>
      <c r="D41" s="140">
        <f>SUM(D37:D40)</f>
        <v>0</v>
      </c>
      <c r="E41" s="140">
        <f>SUM(E37:E40)</f>
        <v>0</v>
      </c>
      <c r="F41" s="140">
        <f>SUM(F37:F40)</f>
        <v>0</v>
      </c>
      <c r="G41" s="140">
        <f>SUM(G37:G40)</f>
        <v>0</v>
      </c>
      <c r="H41" s="140">
        <f>SUM(H37:H40)</f>
        <v>0</v>
      </c>
    </row>
    <row r="42" spans="2:8" x14ac:dyDescent="0.2">
      <c r="B42" s="294"/>
      <c r="C42" s="59" t="s">
        <v>270</v>
      </c>
      <c r="D42" s="311"/>
      <c r="E42" s="311"/>
      <c r="F42" s="311"/>
      <c r="G42" s="311"/>
      <c r="H42" s="311"/>
    </row>
    <row r="43" spans="2:8" x14ac:dyDescent="0.2">
      <c r="B43" s="361" t="s">
        <v>906</v>
      </c>
      <c r="C43" s="173" t="s">
        <v>252</v>
      </c>
      <c r="D43" s="77"/>
      <c r="E43" s="140">
        <f>D47</f>
        <v>0</v>
      </c>
      <c r="F43" s="140">
        <f>E47</f>
        <v>0</v>
      </c>
      <c r="G43" s="140">
        <f>F47</f>
        <v>0</v>
      </c>
      <c r="H43" s="140">
        <f>G47</f>
        <v>0</v>
      </c>
    </row>
    <row r="44" spans="2:8" x14ac:dyDescent="0.2">
      <c r="B44" s="361" t="s">
        <v>906</v>
      </c>
      <c r="C44" s="173" t="s">
        <v>259</v>
      </c>
      <c r="D44" s="77"/>
      <c r="E44" s="77"/>
      <c r="F44" s="77"/>
      <c r="G44" s="77"/>
      <c r="H44" s="77"/>
    </row>
    <row r="45" spans="2:8" x14ac:dyDescent="0.2">
      <c r="B45" s="361" t="s">
        <v>906</v>
      </c>
      <c r="C45" s="173" t="s">
        <v>271</v>
      </c>
      <c r="D45" s="77"/>
      <c r="E45" s="77"/>
      <c r="F45" s="77"/>
      <c r="G45" s="77"/>
      <c r="H45" s="77"/>
    </row>
    <row r="46" spans="2:8" x14ac:dyDescent="0.2">
      <c r="B46" s="361" t="s">
        <v>906</v>
      </c>
      <c r="C46" s="173" t="s">
        <v>261</v>
      </c>
      <c r="D46" s="77"/>
      <c r="E46" s="77"/>
      <c r="F46" s="77"/>
      <c r="G46" s="77"/>
      <c r="H46" s="77"/>
    </row>
    <row r="47" spans="2:8" x14ac:dyDescent="0.2">
      <c r="B47" s="294"/>
      <c r="C47" s="95" t="s">
        <v>272</v>
      </c>
      <c r="D47" s="140">
        <f>SUM(D43:D46)</f>
        <v>0</v>
      </c>
      <c r="E47" s="140">
        <f>SUM(E43:E46)</f>
        <v>0</v>
      </c>
      <c r="F47" s="140">
        <f>SUM(F43:F46)</f>
        <v>0</v>
      </c>
      <c r="G47" s="140">
        <f>SUM(G43:G46)</f>
        <v>0</v>
      </c>
      <c r="H47" s="140">
        <f>SUM(H43:H46)</f>
        <v>0</v>
      </c>
    </row>
    <row r="48" spans="2:8" x14ac:dyDescent="0.2">
      <c r="B48" s="294"/>
      <c r="C48" s="59" t="s">
        <v>273</v>
      </c>
      <c r="D48" s="311"/>
      <c r="E48" s="311"/>
      <c r="F48" s="311"/>
      <c r="G48" s="311"/>
      <c r="H48" s="311"/>
    </row>
    <row r="49" spans="2:8" ht="11.25" customHeight="1" x14ac:dyDescent="0.2">
      <c r="B49" s="361" t="s">
        <v>906</v>
      </c>
      <c r="C49" s="173" t="s">
        <v>252</v>
      </c>
      <c r="D49" s="77"/>
      <c r="E49" s="140">
        <f>D53</f>
        <v>0</v>
      </c>
      <c r="F49" s="140">
        <f>E53</f>
        <v>0</v>
      </c>
      <c r="G49" s="140">
        <f>F53</f>
        <v>0</v>
      </c>
      <c r="H49" s="140">
        <f>G53</f>
        <v>0</v>
      </c>
    </row>
    <row r="50" spans="2:8" x14ac:dyDescent="0.2">
      <c r="B50" s="361" t="s">
        <v>906</v>
      </c>
      <c r="C50" s="173" t="s">
        <v>259</v>
      </c>
      <c r="D50" s="77"/>
      <c r="E50" s="77"/>
      <c r="F50" s="77"/>
      <c r="G50" s="77"/>
      <c r="H50" s="77"/>
    </row>
    <row r="51" spans="2:8" x14ac:dyDescent="0.2">
      <c r="B51" s="361" t="s">
        <v>906</v>
      </c>
      <c r="C51" s="173" t="s">
        <v>274</v>
      </c>
      <c r="D51" s="77"/>
      <c r="E51" s="77"/>
      <c r="F51" s="77"/>
      <c r="G51" s="77"/>
      <c r="H51" s="77"/>
    </row>
    <row r="52" spans="2:8" x14ac:dyDescent="0.2">
      <c r="B52" s="361" t="s">
        <v>906</v>
      </c>
      <c r="C52" s="173" t="s">
        <v>261</v>
      </c>
      <c r="D52" s="77"/>
      <c r="E52" s="77"/>
      <c r="F52" s="77"/>
      <c r="G52" s="77"/>
      <c r="H52" s="77"/>
    </row>
    <row r="53" spans="2:8" x14ac:dyDescent="0.2">
      <c r="B53" s="294"/>
      <c r="C53" s="95" t="s">
        <v>275</v>
      </c>
      <c r="D53" s="140">
        <f>SUM(D49:D52)</f>
        <v>0</v>
      </c>
      <c r="E53" s="140">
        <f>SUM(E49:E52)</f>
        <v>0</v>
      </c>
      <c r="F53" s="140">
        <f>SUM(F49:F52)</f>
        <v>0</v>
      </c>
      <c r="G53" s="140">
        <f>SUM(G49:G52)</f>
        <v>0</v>
      </c>
      <c r="H53" s="140">
        <f>SUM(H49:H52)</f>
        <v>0</v>
      </c>
    </row>
    <row r="54" spans="2:8" x14ac:dyDescent="0.2">
      <c r="B54" s="294"/>
      <c r="C54" s="59" t="s">
        <v>276</v>
      </c>
      <c r="D54" s="311"/>
      <c r="E54" s="311"/>
      <c r="F54" s="311"/>
      <c r="G54" s="311"/>
      <c r="H54" s="311"/>
    </row>
    <row r="55" spans="2:8" x14ac:dyDescent="0.2">
      <c r="B55" s="361" t="s">
        <v>906</v>
      </c>
      <c r="C55" s="173" t="s">
        <v>252</v>
      </c>
      <c r="D55" s="77"/>
      <c r="E55" s="140">
        <f>D59</f>
        <v>0</v>
      </c>
      <c r="F55" s="140">
        <f>E59</f>
        <v>0</v>
      </c>
      <c r="G55" s="140">
        <f>F59</f>
        <v>0</v>
      </c>
      <c r="H55" s="140">
        <f>G59</f>
        <v>0</v>
      </c>
    </row>
    <row r="56" spans="2:8" x14ac:dyDescent="0.2">
      <c r="B56" s="361" t="s">
        <v>906</v>
      </c>
      <c r="C56" s="173" t="s">
        <v>259</v>
      </c>
      <c r="D56" s="77"/>
      <c r="E56" s="77"/>
      <c r="F56" s="77"/>
      <c r="G56" s="77"/>
      <c r="H56" s="77"/>
    </row>
    <row r="57" spans="2:8" ht="11.25" customHeight="1" x14ac:dyDescent="0.2">
      <c r="B57" s="361" t="s">
        <v>906</v>
      </c>
      <c r="C57" s="173" t="s">
        <v>277</v>
      </c>
      <c r="D57" s="77"/>
      <c r="E57" s="77"/>
      <c r="F57" s="77"/>
      <c r="G57" s="77"/>
      <c r="H57" s="77"/>
    </row>
    <row r="58" spans="2:8" x14ac:dyDescent="0.2">
      <c r="B58" s="361" t="s">
        <v>906</v>
      </c>
      <c r="C58" s="173" t="s">
        <v>261</v>
      </c>
      <c r="D58" s="77"/>
      <c r="E58" s="77"/>
      <c r="F58" s="77"/>
      <c r="G58" s="77"/>
      <c r="H58" s="77"/>
    </row>
    <row r="59" spans="2:8" x14ac:dyDescent="0.2">
      <c r="B59" s="294"/>
      <c r="C59" s="95" t="s">
        <v>278</v>
      </c>
      <c r="D59" s="140">
        <f>SUM(D55:D58)</f>
        <v>0</v>
      </c>
      <c r="E59" s="140">
        <f>SUM(E55:E58)</f>
        <v>0</v>
      </c>
      <c r="F59" s="140">
        <f>SUM(F55:F58)</f>
        <v>0</v>
      </c>
      <c r="G59" s="140">
        <f>SUM(G55:G58)</f>
        <v>0</v>
      </c>
      <c r="H59" s="140">
        <f>SUM(H55:H58)</f>
        <v>0</v>
      </c>
    </row>
    <row r="60" spans="2:8" x14ac:dyDescent="0.2">
      <c r="B60" s="294"/>
      <c r="C60" s="59" t="s">
        <v>279</v>
      </c>
      <c r="D60" s="311"/>
      <c r="E60" s="311"/>
      <c r="F60" s="311"/>
      <c r="G60" s="311"/>
      <c r="H60" s="311"/>
    </row>
    <row r="61" spans="2:8" x14ac:dyDescent="0.2">
      <c r="B61" s="361" t="s">
        <v>906</v>
      </c>
      <c r="C61" s="173" t="s">
        <v>252</v>
      </c>
      <c r="D61" s="77"/>
      <c r="E61" s="140">
        <f>D65</f>
        <v>0</v>
      </c>
      <c r="F61" s="140">
        <f>E65</f>
        <v>0</v>
      </c>
      <c r="G61" s="140">
        <f>F65</f>
        <v>0</v>
      </c>
      <c r="H61" s="140">
        <f>G65</f>
        <v>0</v>
      </c>
    </row>
    <row r="62" spans="2:8" x14ac:dyDescent="0.2">
      <c r="B62" s="361" t="s">
        <v>906</v>
      </c>
      <c r="C62" s="173" t="s">
        <v>259</v>
      </c>
      <c r="D62" s="77"/>
      <c r="E62" s="77"/>
      <c r="F62" s="77"/>
      <c r="G62" s="77"/>
      <c r="H62" s="77"/>
    </row>
    <row r="63" spans="2:8" ht="11.25" customHeight="1" x14ac:dyDescent="0.2">
      <c r="B63" s="361" t="s">
        <v>906</v>
      </c>
      <c r="C63" s="173" t="s">
        <v>280</v>
      </c>
      <c r="D63" s="77"/>
      <c r="E63" s="77"/>
      <c r="F63" s="77"/>
      <c r="G63" s="77"/>
      <c r="H63" s="77"/>
    </row>
    <row r="64" spans="2:8" ht="11.25" customHeight="1" x14ac:dyDescent="0.2">
      <c r="B64" s="361" t="s">
        <v>906</v>
      </c>
      <c r="C64" s="173" t="s">
        <v>261</v>
      </c>
      <c r="D64" s="77"/>
      <c r="E64" s="77"/>
      <c r="F64" s="77"/>
      <c r="G64" s="77"/>
      <c r="H64" s="77"/>
    </row>
    <row r="65" spans="2:8" ht="11.25" customHeight="1" x14ac:dyDescent="0.2">
      <c r="B65" s="294"/>
      <c r="C65" s="95" t="s">
        <v>281</v>
      </c>
      <c r="D65" s="140">
        <f>SUM(D61:D64)</f>
        <v>0</v>
      </c>
      <c r="E65" s="140">
        <f>SUM(E61:E64)</f>
        <v>0</v>
      </c>
      <c r="F65" s="140">
        <f>SUM(F61:F64)</f>
        <v>0</v>
      </c>
      <c r="G65" s="140">
        <f>SUM(G61:G64)</f>
        <v>0</v>
      </c>
      <c r="H65" s="140">
        <f>SUM(H61:H64)</f>
        <v>0</v>
      </c>
    </row>
    <row r="66" spans="2:8" x14ac:dyDescent="0.2">
      <c r="B66" s="294"/>
      <c r="C66" s="59" t="s">
        <v>282</v>
      </c>
      <c r="D66" s="311"/>
      <c r="E66" s="311"/>
      <c r="F66" s="311"/>
      <c r="G66" s="311"/>
      <c r="H66" s="311"/>
    </row>
    <row r="67" spans="2:8" x14ac:dyDescent="0.2">
      <c r="B67" s="361" t="s">
        <v>906</v>
      </c>
      <c r="C67" s="173" t="s">
        <v>252</v>
      </c>
      <c r="D67" s="77"/>
      <c r="E67" s="140">
        <f>D71</f>
        <v>0</v>
      </c>
      <c r="F67" s="140">
        <f>E71</f>
        <v>0</v>
      </c>
      <c r="G67" s="140">
        <f>F71</f>
        <v>0</v>
      </c>
      <c r="H67" s="140">
        <f>G71</f>
        <v>0</v>
      </c>
    </row>
    <row r="68" spans="2:8" x14ac:dyDescent="0.2">
      <c r="B68" s="361" t="s">
        <v>906</v>
      </c>
      <c r="C68" s="173" t="s">
        <v>259</v>
      </c>
      <c r="D68" s="77"/>
      <c r="E68" s="77"/>
      <c r="F68" s="77"/>
      <c r="G68" s="77"/>
      <c r="H68" s="77"/>
    </row>
    <row r="69" spans="2:8" x14ac:dyDescent="0.2">
      <c r="B69" s="361" t="s">
        <v>906</v>
      </c>
      <c r="C69" s="173" t="s">
        <v>283</v>
      </c>
      <c r="D69" s="77"/>
      <c r="E69" s="77"/>
      <c r="F69" s="77"/>
      <c r="G69" s="77"/>
      <c r="H69" s="77"/>
    </row>
    <row r="70" spans="2:8" x14ac:dyDescent="0.2">
      <c r="B70" s="361" t="s">
        <v>906</v>
      </c>
      <c r="C70" s="173" t="s">
        <v>261</v>
      </c>
      <c r="D70" s="77"/>
      <c r="E70" s="77"/>
      <c r="F70" s="77"/>
      <c r="G70" s="77"/>
      <c r="H70" s="77"/>
    </row>
    <row r="71" spans="2:8" x14ac:dyDescent="0.2">
      <c r="B71" s="294"/>
      <c r="C71" s="95" t="s">
        <v>284</v>
      </c>
      <c r="D71" s="140">
        <f>SUM(D67:D70)</f>
        <v>0</v>
      </c>
      <c r="E71" s="140">
        <f>SUM(E67:E70)</f>
        <v>0</v>
      </c>
      <c r="F71" s="140">
        <f>SUM(F67:F70)</f>
        <v>0</v>
      </c>
      <c r="G71" s="140">
        <f>SUM(G67:G70)</f>
        <v>0</v>
      </c>
      <c r="H71" s="140">
        <f>SUM(H67:H70)</f>
        <v>0</v>
      </c>
    </row>
    <row r="72" spans="2:8" x14ac:dyDescent="0.2">
      <c r="B72" s="294"/>
      <c r="C72" s="59" t="s">
        <v>285</v>
      </c>
      <c r="D72" s="311"/>
      <c r="E72" s="311"/>
      <c r="F72" s="311"/>
      <c r="G72" s="311"/>
      <c r="H72" s="311"/>
    </row>
    <row r="73" spans="2:8" ht="11.25" customHeight="1" x14ac:dyDescent="0.2">
      <c r="B73" s="361" t="s">
        <v>906</v>
      </c>
      <c r="C73" s="173" t="s">
        <v>252</v>
      </c>
      <c r="D73" s="77"/>
      <c r="E73" s="140">
        <f>D77</f>
        <v>0</v>
      </c>
      <c r="F73" s="140">
        <f>E77</f>
        <v>0</v>
      </c>
      <c r="G73" s="140">
        <f>F77</f>
        <v>0</v>
      </c>
      <c r="H73" s="140">
        <f>G77</f>
        <v>0</v>
      </c>
    </row>
    <row r="74" spans="2:8" x14ac:dyDescent="0.2">
      <c r="B74" s="361" t="s">
        <v>906</v>
      </c>
      <c r="C74" s="173" t="s">
        <v>259</v>
      </c>
      <c r="D74" s="77"/>
      <c r="E74" s="77"/>
      <c r="F74" s="77"/>
      <c r="G74" s="77"/>
      <c r="H74" s="77"/>
    </row>
    <row r="75" spans="2:8" x14ac:dyDescent="0.2">
      <c r="B75" s="361" t="s">
        <v>906</v>
      </c>
      <c r="C75" s="173" t="s">
        <v>283</v>
      </c>
      <c r="D75" s="77"/>
      <c r="E75" s="77"/>
      <c r="F75" s="77"/>
      <c r="G75" s="77"/>
      <c r="H75" s="77"/>
    </row>
    <row r="76" spans="2:8" x14ac:dyDescent="0.2">
      <c r="B76" s="361" t="s">
        <v>906</v>
      </c>
      <c r="C76" s="173" t="s">
        <v>261</v>
      </c>
      <c r="D76" s="77"/>
      <c r="E76" s="77"/>
      <c r="F76" s="77"/>
      <c r="G76" s="77"/>
      <c r="H76" s="77"/>
    </row>
    <row r="77" spans="2:8" x14ac:dyDescent="0.2">
      <c r="B77" s="294"/>
      <c r="C77" s="95" t="s">
        <v>286</v>
      </c>
      <c r="D77" s="140">
        <f>SUM(D73:D76)</f>
        <v>0</v>
      </c>
      <c r="E77" s="140">
        <f>SUM(E73:E76)</f>
        <v>0</v>
      </c>
      <c r="F77" s="140">
        <f>SUM(F73:F76)</f>
        <v>0</v>
      </c>
      <c r="G77" s="140">
        <f>SUM(G73:G76)</f>
        <v>0</v>
      </c>
      <c r="H77" s="140">
        <f>SUM(H73:H76)</f>
        <v>0</v>
      </c>
    </row>
    <row r="78" spans="2:8" x14ac:dyDescent="0.2">
      <c r="B78" s="294"/>
      <c r="C78" s="95" t="s">
        <v>287</v>
      </c>
      <c r="D78" s="140">
        <f>SUM(D23,D29,D35,D41,D47,D53,D59,D65,D71,D77)</f>
        <v>0</v>
      </c>
      <c r="E78" s="140">
        <f>SUM(E23,E29,E35,E41,E47,E53,E59,E65,E71,E77)</f>
        <v>0</v>
      </c>
      <c r="F78" s="140">
        <f>SUM(F23,F29,F35,F41,F47,F53,F59,F65,F71,F77)</f>
        <v>0</v>
      </c>
      <c r="G78" s="140">
        <f>SUM(G23,G29,G35,G41,G47,G53,G59,G65,G71,G77)</f>
        <v>0</v>
      </c>
      <c r="H78" s="140">
        <f>SUM(H23,H29,H35,H41,H47,H53,H59,H65,H71,H77)</f>
        <v>0</v>
      </c>
    </row>
    <row r="79" spans="2:8" x14ac:dyDescent="0.2">
      <c r="B79" s="294"/>
      <c r="C79" s="59" t="s">
        <v>288</v>
      </c>
      <c r="D79" s="311"/>
      <c r="E79" s="311"/>
      <c r="F79" s="311"/>
      <c r="G79" s="311"/>
      <c r="H79" s="311"/>
    </row>
    <row r="80" spans="2:8" ht="11.25" customHeight="1" x14ac:dyDescent="0.2">
      <c r="B80" s="361" t="s">
        <v>906</v>
      </c>
      <c r="C80" s="173" t="s">
        <v>252</v>
      </c>
      <c r="D80" s="77"/>
      <c r="E80" s="140">
        <f>D84</f>
        <v>0</v>
      </c>
      <c r="F80" s="140">
        <f>E84</f>
        <v>0</v>
      </c>
      <c r="G80" s="140">
        <f>F84</f>
        <v>0</v>
      </c>
      <c r="H80" s="140">
        <f>G84</f>
        <v>0</v>
      </c>
    </row>
    <row r="81" spans="2:8" x14ac:dyDescent="0.2">
      <c r="B81" s="361" t="s">
        <v>906</v>
      </c>
      <c r="C81" s="173" t="s">
        <v>259</v>
      </c>
      <c r="D81" s="77"/>
      <c r="E81" s="77"/>
      <c r="F81" s="77"/>
      <c r="G81" s="77"/>
      <c r="H81" s="77"/>
    </row>
    <row r="82" spans="2:8" x14ac:dyDescent="0.2">
      <c r="B82" s="361" t="s">
        <v>906</v>
      </c>
      <c r="C82" s="173" t="s">
        <v>289</v>
      </c>
      <c r="D82" s="77"/>
      <c r="E82" s="77"/>
      <c r="F82" s="77"/>
      <c r="G82" s="77"/>
      <c r="H82" s="77"/>
    </row>
    <row r="83" spans="2:8" s="272" customFormat="1" x14ac:dyDescent="0.2">
      <c r="B83" s="361" t="s">
        <v>906</v>
      </c>
      <c r="C83" s="173" t="s">
        <v>290</v>
      </c>
      <c r="D83" s="77"/>
      <c r="E83" s="77"/>
      <c r="F83" s="77"/>
      <c r="G83" s="77"/>
      <c r="H83" s="77"/>
    </row>
    <row r="84" spans="2:8" s="272" customFormat="1" x14ac:dyDescent="0.2">
      <c r="B84" s="294"/>
      <c r="C84" s="95" t="s">
        <v>291</v>
      </c>
      <c r="D84" s="140">
        <f>SUM(D80:D83)</f>
        <v>0</v>
      </c>
      <c r="E84" s="140">
        <f>SUM(E80:E83)</f>
        <v>0</v>
      </c>
      <c r="F84" s="140">
        <f>SUM(F80:F83)</f>
        <v>0</v>
      </c>
      <c r="G84" s="140">
        <f>SUM(G80:G83)</f>
        <v>0</v>
      </c>
      <c r="H84" s="140">
        <f>SUM(H80:H83)</f>
        <v>0</v>
      </c>
    </row>
    <row r="85" spans="2:8" s="272" customFormat="1" x14ac:dyDescent="0.2">
      <c r="B85" s="294"/>
      <c r="C85" s="59" t="s">
        <v>292</v>
      </c>
      <c r="D85" s="311"/>
      <c r="E85" s="311"/>
      <c r="F85" s="311"/>
      <c r="G85" s="311"/>
      <c r="H85" s="311"/>
    </row>
    <row r="86" spans="2:8" s="272" customFormat="1" x14ac:dyDescent="0.2">
      <c r="B86" s="361" t="s">
        <v>906</v>
      </c>
      <c r="C86" s="173" t="s">
        <v>252</v>
      </c>
      <c r="D86" s="77"/>
      <c r="E86" s="140">
        <f>D90</f>
        <v>0</v>
      </c>
      <c r="F86" s="140">
        <f>E90</f>
        <v>0</v>
      </c>
      <c r="G86" s="140">
        <f>F90</f>
        <v>0</v>
      </c>
      <c r="H86" s="140">
        <f>G90</f>
        <v>0</v>
      </c>
    </row>
    <row r="87" spans="2:8" s="272" customFormat="1" x14ac:dyDescent="0.2">
      <c r="B87" s="361" t="s">
        <v>906</v>
      </c>
      <c r="C87" s="173" t="s">
        <v>259</v>
      </c>
      <c r="D87" s="77"/>
      <c r="E87" s="77"/>
      <c r="F87" s="77"/>
      <c r="G87" s="77"/>
      <c r="H87" s="77"/>
    </row>
    <row r="88" spans="2:8" s="272" customFormat="1" x14ac:dyDescent="0.2">
      <c r="B88" s="361" t="s">
        <v>906</v>
      </c>
      <c r="C88" s="173" t="s">
        <v>283</v>
      </c>
      <c r="D88" s="77"/>
      <c r="E88" s="77"/>
      <c r="F88" s="77"/>
      <c r="G88" s="77"/>
      <c r="H88" s="77"/>
    </row>
    <row r="89" spans="2:8" x14ac:dyDescent="0.2">
      <c r="B89" s="361" t="s">
        <v>906</v>
      </c>
      <c r="C89" s="173" t="s">
        <v>261</v>
      </c>
      <c r="D89" s="77"/>
      <c r="E89" s="77"/>
      <c r="F89" s="77"/>
      <c r="G89" s="77"/>
      <c r="H89" s="77"/>
    </row>
    <row r="90" spans="2:8" x14ac:dyDescent="0.2">
      <c r="B90" s="294"/>
      <c r="C90" s="95" t="s">
        <v>293</v>
      </c>
      <c r="D90" s="140">
        <f>SUM(D86:D89)</f>
        <v>0</v>
      </c>
      <c r="E90" s="140">
        <f>SUM(E86:E89)</f>
        <v>0</v>
      </c>
      <c r="F90" s="140">
        <f>SUM(F86:F89)</f>
        <v>0</v>
      </c>
      <c r="G90" s="140">
        <f>SUM(G86:G89)</f>
        <v>0</v>
      </c>
      <c r="H90" s="140">
        <f>SUM(H86:H89)</f>
        <v>0</v>
      </c>
    </row>
    <row r="91" spans="2:8" x14ac:dyDescent="0.2">
      <c r="B91" s="361" t="s">
        <v>906</v>
      </c>
      <c r="C91" s="173" t="s">
        <v>294</v>
      </c>
      <c r="D91" s="77"/>
      <c r="E91" s="140">
        <f>D93</f>
        <v>0</v>
      </c>
      <c r="F91" s="140">
        <f>E93</f>
        <v>0</v>
      </c>
      <c r="G91" s="140">
        <f>F93</f>
        <v>0</v>
      </c>
      <c r="H91" s="140">
        <f>G93</f>
        <v>0</v>
      </c>
    </row>
    <row r="92" spans="2:8" x14ac:dyDescent="0.2">
      <c r="B92" s="361" t="s">
        <v>906</v>
      </c>
      <c r="C92" s="173" t="s">
        <v>295</v>
      </c>
      <c r="D92" s="77"/>
      <c r="E92" s="77"/>
      <c r="F92" s="77"/>
      <c r="G92" s="77"/>
      <c r="H92" s="77"/>
    </row>
    <row r="93" spans="2:8" x14ac:dyDescent="0.2">
      <c r="B93" s="294"/>
      <c r="C93" s="95" t="s">
        <v>296</v>
      </c>
      <c r="D93" s="140">
        <f>SUM(D91:D92)</f>
        <v>0</v>
      </c>
      <c r="E93" s="140">
        <f>SUM(E91:E92)</f>
        <v>0</v>
      </c>
      <c r="F93" s="140">
        <f>SUM(F91:F92)</f>
        <v>0</v>
      </c>
      <c r="G93" s="140">
        <f>SUM(G91:G92)</f>
        <v>0</v>
      </c>
      <c r="H93" s="140">
        <f>SUM(H91:H92)</f>
        <v>0</v>
      </c>
    </row>
    <row r="94" spans="2:8" x14ac:dyDescent="0.2">
      <c r="B94" s="294"/>
      <c r="C94" s="95" t="s">
        <v>297</v>
      </c>
      <c r="D94" s="140">
        <f>SUM(D84,D90,D93)</f>
        <v>0</v>
      </c>
      <c r="E94" s="140">
        <f>SUM(E84,E90,E93)</f>
        <v>0</v>
      </c>
      <c r="F94" s="140">
        <f>SUM(F84,F90,F93)</f>
        <v>0</v>
      </c>
      <c r="G94" s="140">
        <f>SUM(G84,G90,G93)</f>
        <v>0</v>
      </c>
      <c r="H94" s="140">
        <f>SUM(H84,H90,H93)</f>
        <v>0</v>
      </c>
    </row>
    <row r="95" spans="2:8" x14ac:dyDescent="0.2">
      <c r="B95" s="294"/>
      <c r="C95" s="95" t="s">
        <v>298</v>
      </c>
      <c r="D95" s="140">
        <f>D78+D94</f>
        <v>0</v>
      </c>
      <c r="E95" s="140">
        <f>E78+E94</f>
        <v>0</v>
      </c>
      <c r="F95" s="140">
        <f>F78+F94</f>
        <v>0</v>
      </c>
      <c r="G95" s="140">
        <f>G78+G94</f>
        <v>0</v>
      </c>
      <c r="H95" s="140">
        <f>H78+H94</f>
        <v>0</v>
      </c>
    </row>
    <row r="119" spans="3:3" x14ac:dyDescent="0.2">
      <c r="C119" s="274"/>
    </row>
  </sheetData>
  <sheetProtection sheet="1"/>
  <mergeCells count="3">
    <mergeCell ref="B12:C12"/>
    <mergeCell ref="D14:H14"/>
    <mergeCell ref="B7:D9"/>
  </mergeCells>
  <pageMargins left="0.75" right="0.75" top="1" bottom="1" header="0.5" footer="0.5"/>
  <pageSetup paperSize="9" scale="47" orientation="landscape" verticalDpi="2"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857AC-1A6C-4B5E-AA59-E29ACF01E9F9}">
  <sheetPr codeName="Sheet12">
    <tabColor rgb="FF17415D"/>
  </sheetPr>
  <dimension ref="B1:G39"/>
  <sheetViews>
    <sheetView zoomScaleNormal="100" workbookViewId="0">
      <pane xSplit="1" ySplit="4" topLeftCell="B5" activePane="bottomRight" state="frozen"/>
      <selection activeCell="G47" sqref="G47"/>
      <selection pane="topRight" activeCell="G47" sqref="G47"/>
      <selection pane="bottomLeft" activeCell="G47" sqref="G47"/>
      <selection pane="bottomRight"/>
    </sheetView>
  </sheetViews>
  <sheetFormatPr defaultColWidth="9.140625" defaultRowHeight="12.75" x14ac:dyDescent="0.2"/>
  <cols>
    <col min="1" max="1" width="12.140625" style="215" customWidth="1"/>
    <col min="2" max="2" width="21" style="215" customWidth="1"/>
    <col min="3" max="6" width="42.28515625" style="215" customWidth="1"/>
    <col min="7" max="7" width="9.42578125" style="215" customWidth="1"/>
    <col min="8" max="8" width="25.140625" style="215" customWidth="1"/>
    <col min="9" max="16384" width="9.140625" style="215"/>
  </cols>
  <sheetData>
    <row r="1" spans="2:6" ht="20.25" customHeight="1" x14ac:dyDescent="0.2">
      <c r="B1" s="146" t="s">
        <v>52</v>
      </c>
      <c r="C1" s="146"/>
    </row>
    <row r="2" spans="2:6" ht="20.25" x14ac:dyDescent="0.2">
      <c r="B2" s="146" t="str">
        <f>IF(Tradingname=0," ",Tradingname)</f>
        <v>APT Pipelines (QLD) Pty Limited</v>
      </c>
      <c r="C2" s="146"/>
    </row>
    <row r="3" spans="2:6" ht="20.25" x14ac:dyDescent="0.3">
      <c r="B3" s="146" t="s">
        <v>29</v>
      </c>
      <c r="C3" s="110">
        <f>IF(Yearending=0, "01/01/2000", Yearending)</f>
        <v>45838</v>
      </c>
    </row>
    <row r="4" spans="2:6" ht="20.25" x14ac:dyDescent="0.2">
      <c r="B4" s="102" t="s">
        <v>299</v>
      </c>
      <c r="C4" s="102"/>
    </row>
    <row r="7" spans="2:6" ht="15.75" x14ac:dyDescent="0.25">
      <c r="B7" s="217" t="s">
        <v>300</v>
      </c>
      <c r="C7" s="218"/>
      <c r="D7" s="218"/>
      <c r="E7" s="218"/>
    </row>
    <row r="8" spans="2:6" ht="15.75" x14ac:dyDescent="0.25">
      <c r="B8" s="217"/>
      <c r="C8" s="218"/>
      <c r="D8" s="218"/>
      <c r="E8" s="218"/>
    </row>
    <row r="9" spans="2:6" ht="25.5" x14ac:dyDescent="0.2">
      <c r="B9" s="48" t="s">
        <v>112</v>
      </c>
      <c r="C9" s="48" t="s">
        <v>301</v>
      </c>
      <c r="D9" s="48" t="s">
        <v>302</v>
      </c>
      <c r="E9" s="48" t="s">
        <v>303</v>
      </c>
      <c r="F9" s="60" t="s">
        <v>304</v>
      </c>
    </row>
    <row r="10" spans="2:6" x14ac:dyDescent="0.2">
      <c r="B10" s="50"/>
      <c r="C10" s="50"/>
      <c r="D10" s="53"/>
      <c r="E10" s="275" t="s">
        <v>305</v>
      </c>
      <c r="F10" s="276"/>
    </row>
    <row r="11" spans="2:6" ht="25.5" x14ac:dyDescent="0.2">
      <c r="B11" s="360" t="s">
        <v>894</v>
      </c>
      <c r="C11" s="24" t="str">
        <f>'3.1 Depreciated Book Value'!C17</f>
        <v xml:space="preserve">Pipelines </v>
      </c>
      <c r="D11" s="320" t="s">
        <v>872</v>
      </c>
      <c r="E11" s="144">
        <v>47.352272032826086</v>
      </c>
      <c r="F11" s="319" t="s">
        <v>903</v>
      </c>
    </row>
    <row r="12" spans="2:6" ht="25.5" x14ac:dyDescent="0.2">
      <c r="B12" s="360" t="s">
        <v>894</v>
      </c>
      <c r="C12" s="24" t="str">
        <f>'3.1 Depreciated Book Value'!C26</f>
        <v xml:space="preserve">Compressors </v>
      </c>
      <c r="D12" s="320" t="s">
        <v>878</v>
      </c>
      <c r="E12" s="144">
        <v>10.845679299474908</v>
      </c>
      <c r="F12" s="145" t="s">
        <v>903</v>
      </c>
    </row>
    <row r="13" spans="2:6" ht="25.5" x14ac:dyDescent="0.2">
      <c r="B13" s="360" t="s">
        <v>894</v>
      </c>
      <c r="C13" s="24" t="str">
        <f>'3.1 Depreciated Book Value'!C34</f>
        <v xml:space="preserve">City Gates, supply regulators and valve stations </v>
      </c>
      <c r="D13" s="85" t="s">
        <v>873</v>
      </c>
      <c r="E13" s="144">
        <v>34.425838314152713</v>
      </c>
      <c r="F13" s="145" t="s">
        <v>903</v>
      </c>
    </row>
    <row r="14" spans="2:6" ht="25.5" x14ac:dyDescent="0.2">
      <c r="B14" s="360" t="s">
        <v>894</v>
      </c>
      <c r="C14" s="24" t="str">
        <f>'3.1 Depreciated Book Value'!C42</f>
        <v xml:space="preserve">Metering </v>
      </c>
      <c r="D14" s="85" t="s">
        <v>874</v>
      </c>
      <c r="E14" s="144">
        <v>8.8140775314787749</v>
      </c>
      <c r="F14" s="145" t="s">
        <v>903</v>
      </c>
    </row>
    <row r="15" spans="2:6" x14ac:dyDescent="0.2">
      <c r="B15" s="360" t="s">
        <v>894</v>
      </c>
      <c r="C15" s="24" t="str">
        <f>'3.1 Depreciated Book Value'!C50</f>
        <v xml:space="preserve">Odorant plants </v>
      </c>
      <c r="D15" s="85" t="s">
        <v>875</v>
      </c>
      <c r="E15" s="144" t="s">
        <v>740</v>
      </c>
      <c r="F15" s="145" t="s">
        <v>740</v>
      </c>
    </row>
    <row r="16" spans="2:6" ht="25.5" x14ac:dyDescent="0.2">
      <c r="B16" s="360" t="s">
        <v>894</v>
      </c>
      <c r="C16" s="24" t="str">
        <f>'3.1 Depreciated Book Value'!C58</f>
        <v xml:space="preserve">SCADA (Communications) </v>
      </c>
      <c r="D16" s="320" t="s">
        <v>876</v>
      </c>
      <c r="E16" s="144">
        <v>9.0602090116081229</v>
      </c>
      <c r="F16" s="145" t="s">
        <v>903</v>
      </c>
    </row>
    <row r="17" spans="2:7" ht="25.5" x14ac:dyDescent="0.2">
      <c r="B17" s="360" t="s">
        <v>894</v>
      </c>
      <c r="C17" s="24" t="str">
        <f>'3.1 Depreciated Book Value'!C66</f>
        <v xml:space="preserve">Buildings </v>
      </c>
      <c r="D17" s="321" t="s">
        <v>877</v>
      </c>
      <c r="E17" s="144">
        <v>48.341431006634757</v>
      </c>
      <c r="F17" s="145" t="s">
        <v>903</v>
      </c>
    </row>
    <row r="18" spans="2:7" ht="25.5" x14ac:dyDescent="0.2">
      <c r="B18" s="360" t="s">
        <v>894</v>
      </c>
      <c r="C18" s="24" t="str">
        <f>'3.1 Depreciated Book Value'!C81</f>
        <v>Other depreciable pipeline assets</v>
      </c>
      <c r="D18" s="320" t="s">
        <v>879</v>
      </c>
      <c r="E18" s="144">
        <v>9.608848822150815</v>
      </c>
      <c r="F18" s="145" t="s">
        <v>903</v>
      </c>
    </row>
    <row r="19" spans="2:7" x14ac:dyDescent="0.2">
      <c r="B19" s="292"/>
      <c r="C19" s="84" t="s">
        <v>224</v>
      </c>
      <c r="D19" s="320" t="s">
        <v>880</v>
      </c>
      <c r="E19" s="332" t="s">
        <v>740</v>
      </c>
      <c r="F19" s="319" t="s">
        <v>871</v>
      </c>
    </row>
    <row r="20" spans="2:7" x14ac:dyDescent="0.2">
      <c r="B20" s="292"/>
      <c r="C20" s="84" t="s">
        <v>306</v>
      </c>
      <c r="D20" s="85"/>
      <c r="E20" s="144"/>
      <c r="F20" s="145"/>
    </row>
    <row r="21" spans="2:7" x14ac:dyDescent="0.2">
      <c r="B21" s="292"/>
      <c r="C21" s="84" t="s">
        <v>306</v>
      </c>
      <c r="D21" s="85"/>
      <c r="E21" s="144"/>
      <c r="F21" s="145"/>
      <c r="G21" s="277"/>
    </row>
    <row r="22" spans="2:7" x14ac:dyDescent="0.2">
      <c r="B22" s="292"/>
      <c r="C22" s="84" t="s">
        <v>306</v>
      </c>
      <c r="D22" s="85"/>
      <c r="E22" s="144"/>
      <c r="F22" s="145"/>
      <c r="G22" s="277"/>
    </row>
    <row r="23" spans="2:7" x14ac:dyDescent="0.2">
      <c r="B23" s="360" t="s">
        <v>894</v>
      </c>
      <c r="C23" s="24" t="str">
        <f>'3.1 Depreciated Book Value'!C89</f>
        <v xml:space="preserve">Leased assets </v>
      </c>
      <c r="D23" s="85" t="s">
        <v>740</v>
      </c>
      <c r="E23" s="332" t="s">
        <v>740</v>
      </c>
      <c r="F23" s="145" t="s">
        <v>740</v>
      </c>
      <c r="G23" s="277"/>
    </row>
    <row r="24" spans="2:7" x14ac:dyDescent="0.2">
      <c r="B24" s="360"/>
      <c r="C24" s="84" t="s">
        <v>306</v>
      </c>
      <c r="D24" s="85"/>
      <c r="E24" s="144"/>
      <c r="F24" s="145"/>
      <c r="G24" s="277"/>
    </row>
    <row r="25" spans="2:7" x14ac:dyDescent="0.2">
      <c r="B25" s="360"/>
      <c r="C25" s="84" t="s">
        <v>306</v>
      </c>
      <c r="D25" s="85"/>
      <c r="E25" s="144"/>
      <c r="F25" s="145"/>
      <c r="G25" s="277"/>
    </row>
    <row r="26" spans="2:7" x14ac:dyDescent="0.2">
      <c r="B26" s="360"/>
      <c r="C26" s="84" t="s">
        <v>306</v>
      </c>
      <c r="D26" s="85"/>
      <c r="E26" s="144"/>
      <c r="F26" s="145"/>
    </row>
    <row r="27" spans="2:7" x14ac:dyDescent="0.2">
      <c r="B27" s="360"/>
      <c r="C27" s="84" t="s">
        <v>306</v>
      </c>
      <c r="D27" s="85"/>
      <c r="E27" s="144"/>
      <c r="F27" s="145"/>
    </row>
    <row r="28" spans="2:7" ht="25.5" x14ac:dyDescent="0.2">
      <c r="B28" s="360" t="s">
        <v>894</v>
      </c>
      <c r="C28" s="24" t="str">
        <f>'3.1 Depreciated Book Value'!C105</f>
        <v>Shared property, plant and equipment</v>
      </c>
      <c r="D28" s="85" t="s">
        <v>915</v>
      </c>
      <c r="E28" s="332">
        <v>3.4323791017076388</v>
      </c>
      <c r="F28" s="145" t="s">
        <v>903</v>
      </c>
    </row>
    <row r="29" spans="2:7" x14ac:dyDescent="0.2">
      <c r="B29" s="360"/>
      <c r="C29" s="84" t="s">
        <v>306</v>
      </c>
      <c r="D29" s="85"/>
      <c r="E29" s="144"/>
      <c r="F29" s="145"/>
    </row>
    <row r="30" spans="2:7" x14ac:dyDescent="0.2">
      <c r="B30" s="360"/>
      <c r="C30" s="84" t="s">
        <v>306</v>
      </c>
      <c r="D30" s="85"/>
      <c r="E30" s="144"/>
      <c r="F30" s="145"/>
    </row>
    <row r="31" spans="2:7" x14ac:dyDescent="0.2">
      <c r="B31" s="360"/>
      <c r="C31" s="84" t="s">
        <v>306</v>
      </c>
      <c r="D31" s="85"/>
      <c r="E31" s="144"/>
      <c r="F31" s="145"/>
    </row>
    <row r="32" spans="2:7" x14ac:dyDescent="0.2">
      <c r="B32" s="360"/>
      <c r="C32" s="84" t="s">
        <v>306</v>
      </c>
      <c r="D32" s="85"/>
      <c r="E32" s="144"/>
      <c r="F32" s="145"/>
      <c r="G32" s="277"/>
    </row>
    <row r="33" spans="2:7" x14ac:dyDescent="0.2">
      <c r="B33" s="360"/>
      <c r="C33" s="84" t="s">
        <v>306</v>
      </c>
      <c r="D33" s="85"/>
      <c r="E33" s="144"/>
      <c r="F33" s="145"/>
      <c r="G33" s="277"/>
    </row>
    <row r="34" spans="2:7" ht="25.5" x14ac:dyDescent="0.2">
      <c r="B34" s="360" t="s">
        <v>894</v>
      </c>
      <c r="C34" s="24" t="str">
        <f>'3.1 Depreciated Book Value'!C113</f>
        <v>Shared leased assets</v>
      </c>
      <c r="D34" s="85" t="s">
        <v>916</v>
      </c>
      <c r="E34" s="144" t="s">
        <v>785</v>
      </c>
      <c r="F34" s="145" t="s">
        <v>903</v>
      </c>
      <c r="G34" s="277"/>
    </row>
    <row r="35" spans="2:7" x14ac:dyDescent="0.2">
      <c r="B35" s="292"/>
      <c r="C35" s="84" t="s">
        <v>306</v>
      </c>
      <c r="D35" s="85"/>
      <c r="E35" s="144"/>
      <c r="F35" s="145"/>
      <c r="G35" s="277"/>
    </row>
    <row r="36" spans="2:7" x14ac:dyDescent="0.2">
      <c r="B36" s="292"/>
      <c r="C36" s="84" t="s">
        <v>306</v>
      </c>
      <c r="D36" s="85"/>
      <c r="E36" s="144"/>
      <c r="F36" s="145"/>
      <c r="G36" s="277"/>
    </row>
    <row r="37" spans="2:7" x14ac:dyDescent="0.2">
      <c r="B37" s="292"/>
      <c r="C37" s="84" t="s">
        <v>306</v>
      </c>
      <c r="D37" s="85"/>
      <c r="E37" s="144"/>
      <c r="F37" s="145"/>
      <c r="G37" s="277"/>
    </row>
    <row r="38" spans="2:7" x14ac:dyDescent="0.2">
      <c r="B38" s="292"/>
      <c r="C38" s="84" t="s">
        <v>306</v>
      </c>
      <c r="D38" s="85"/>
      <c r="E38" s="144"/>
      <c r="F38" s="145"/>
    </row>
    <row r="39" spans="2:7" x14ac:dyDescent="0.2">
      <c r="B39" s="292"/>
      <c r="C39" s="84" t="s">
        <v>306</v>
      </c>
      <c r="D39" s="85"/>
      <c r="E39" s="144"/>
      <c r="F39" s="145"/>
    </row>
  </sheetData>
  <sheetProtection sheet="1" insertRows="0" autoFilter="0"/>
  <pageMargins left="0.75" right="0.75" top="1" bottom="1" header="0.5" footer="0.5"/>
  <pageSetup paperSize="9" scale="30"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313EC-4FB4-4C17-AF8F-F19E6DA7E231}">
  <sheetPr codeName="Sheet13">
    <tabColor rgb="FF17415D"/>
  </sheetPr>
  <dimension ref="B1:J56"/>
  <sheetViews>
    <sheetView workbookViewId="0">
      <pane xSplit="1" ySplit="4" topLeftCell="B5" activePane="bottomRight" state="frozen"/>
      <selection activeCell="G47" sqref="G47"/>
      <selection pane="topRight" activeCell="G47" sqref="G47"/>
      <selection pane="bottomLeft" activeCell="G47" sqref="G47"/>
      <selection pane="bottomRight"/>
    </sheetView>
  </sheetViews>
  <sheetFormatPr defaultColWidth="9.140625" defaultRowHeight="12.75" x14ac:dyDescent="0.2"/>
  <cols>
    <col min="1" max="1" width="12" style="4" customWidth="1"/>
    <col min="2" max="2" width="31.7109375" style="4" customWidth="1"/>
    <col min="3" max="3" width="41.85546875" style="4" bestFit="1" customWidth="1"/>
    <col min="4" max="4" width="27.28515625" style="4" customWidth="1"/>
    <col min="5" max="5" width="32.85546875" style="4" customWidth="1"/>
    <col min="6" max="6" width="21.42578125" style="4" customWidth="1"/>
    <col min="7" max="7" width="24.42578125" style="4" customWidth="1"/>
    <col min="8" max="8" width="45" style="4" customWidth="1"/>
    <col min="9" max="10" width="19.85546875" style="4" customWidth="1"/>
    <col min="11" max="11" width="18.28515625" style="4" customWidth="1"/>
    <col min="12" max="16384" width="9.140625" style="4"/>
  </cols>
  <sheetData>
    <row r="1" spans="2:10" ht="20.25" x14ac:dyDescent="0.3">
      <c r="B1" s="146" t="s">
        <v>52</v>
      </c>
      <c r="C1" s="146"/>
      <c r="D1" s="214"/>
      <c r="E1" s="214"/>
      <c r="F1" s="214"/>
      <c r="G1" s="214"/>
      <c r="H1" s="214"/>
      <c r="I1" s="214"/>
      <c r="J1" s="214"/>
    </row>
    <row r="2" spans="2:10" ht="20.25" x14ac:dyDescent="0.2">
      <c r="B2" s="146" t="str">
        <f>IF(Tradingname=0," ",Tradingname)</f>
        <v>APT Pipelines (QLD) Pty Limited</v>
      </c>
      <c r="C2" s="146"/>
    </row>
    <row r="3" spans="2:10" ht="18" customHeight="1" x14ac:dyDescent="0.45">
      <c r="B3" s="146" t="s">
        <v>29</v>
      </c>
      <c r="C3" s="110">
        <f>IF(Yearending=0, "01/01/2000", Yearending)</f>
        <v>45838</v>
      </c>
      <c r="F3" s="247"/>
    </row>
    <row r="4" spans="2:10" ht="20.25" x14ac:dyDescent="0.2">
      <c r="B4" s="102" t="s">
        <v>307</v>
      </c>
      <c r="C4" s="102"/>
    </row>
    <row r="6" spans="2:10" ht="15.75" x14ac:dyDescent="0.25">
      <c r="B6" s="224"/>
    </row>
    <row r="7" spans="2:10" ht="15.75" x14ac:dyDescent="0.25">
      <c r="B7" s="224" t="s">
        <v>308</v>
      </c>
    </row>
    <row r="8" spans="2:10" x14ac:dyDescent="0.2">
      <c r="B8" s="225"/>
      <c r="C8" s="226"/>
      <c r="D8" s="226"/>
      <c r="E8" s="226"/>
      <c r="F8" s="226"/>
      <c r="G8" s="249"/>
      <c r="H8" s="250"/>
      <c r="I8" s="251"/>
      <c r="J8" s="251"/>
    </row>
    <row r="9" spans="2:10" ht="31.7" customHeight="1" x14ac:dyDescent="0.2">
      <c r="B9" s="41" t="s">
        <v>309</v>
      </c>
      <c r="C9" s="62" t="s">
        <v>310</v>
      </c>
      <c r="D9" s="41" t="s">
        <v>311</v>
      </c>
      <c r="E9" s="41" t="s">
        <v>312</v>
      </c>
      <c r="F9" s="41" t="s">
        <v>313</v>
      </c>
    </row>
    <row r="10" spans="2:10" ht="13.7" customHeight="1" x14ac:dyDescent="0.2">
      <c r="B10" s="350" t="s">
        <v>870</v>
      </c>
      <c r="C10" s="351" t="s">
        <v>202</v>
      </c>
      <c r="D10" s="79">
        <v>216864216.45711854</v>
      </c>
      <c r="E10" s="353">
        <v>45107</v>
      </c>
      <c r="F10" s="354" t="s">
        <v>890</v>
      </c>
    </row>
    <row r="11" spans="2:10" ht="13.7" customHeight="1" x14ac:dyDescent="0.2">
      <c r="B11" s="75" t="s">
        <v>870</v>
      </c>
      <c r="C11" s="351" t="s">
        <v>488</v>
      </c>
      <c r="D11" s="79">
        <v>25332051.630000003</v>
      </c>
      <c r="E11" s="353">
        <v>45107</v>
      </c>
      <c r="F11" s="354" t="s">
        <v>890</v>
      </c>
    </row>
    <row r="12" spans="2:10" ht="13.7" customHeight="1" x14ac:dyDescent="0.2">
      <c r="B12" s="75" t="s">
        <v>870</v>
      </c>
      <c r="C12" s="351" t="s">
        <v>202</v>
      </c>
      <c r="D12" s="355">
        <v>19117340.077328309</v>
      </c>
      <c r="E12" s="352">
        <v>45473</v>
      </c>
      <c r="F12" s="354" t="s">
        <v>890</v>
      </c>
    </row>
    <row r="13" spans="2:10" ht="13.7" customHeight="1" x14ac:dyDescent="0.2">
      <c r="B13" s="78"/>
      <c r="C13" s="87"/>
      <c r="D13" s="79"/>
      <c r="E13" s="86"/>
      <c r="F13" s="80"/>
    </row>
    <row r="14" spans="2:10" ht="13.7" customHeight="1" x14ac:dyDescent="0.2">
      <c r="B14" s="78"/>
      <c r="C14" s="87"/>
      <c r="D14" s="79"/>
      <c r="E14" s="86"/>
      <c r="F14" s="80"/>
    </row>
    <row r="15" spans="2:10" ht="13.7" customHeight="1" x14ac:dyDescent="0.2">
      <c r="B15" s="78"/>
      <c r="C15" s="87"/>
      <c r="D15" s="79"/>
      <c r="E15" s="86"/>
      <c r="F15" s="80"/>
    </row>
    <row r="16" spans="2:10" ht="13.7" customHeight="1" x14ac:dyDescent="0.2">
      <c r="B16" s="78"/>
      <c r="C16" s="87"/>
      <c r="D16" s="79"/>
      <c r="E16" s="86"/>
      <c r="F16" s="80"/>
    </row>
    <row r="17" spans="2:9" ht="13.7" customHeight="1" x14ac:dyDescent="0.2">
      <c r="B17" s="78"/>
      <c r="C17" s="87"/>
      <c r="D17" s="79"/>
      <c r="E17" s="86"/>
      <c r="F17" s="80"/>
    </row>
    <row r="18" spans="2:9" ht="13.7" customHeight="1" x14ac:dyDescent="0.2">
      <c r="B18" s="78"/>
      <c r="C18" s="87"/>
      <c r="D18" s="79"/>
      <c r="E18" s="86"/>
      <c r="F18" s="80"/>
    </row>
    <row r="19" spans="2:9" ht="13.7" customHeight="1" x14ac:dyDescent="0.2">
      <c r="B19" s="78"/>
      <c r="C19" s="87"/>
      <c r="D19" s="79"/>
      <c r="E19" s="86"/>
      <c r="F19" s="80"/>
    </row>
    <row r="20" spans="2:9" ht="13.7" customHeight="1" x14ac:dyDescent="0.2">
      <c r="B20" s="78"/>
      <c r="C20" s="87"/>
      <c r="D20" s="79"/>
      <c r="E20" s="86"/>
      <c r="F20" s="80"/>
    </row>
    <row r="21" spans="2:9" ht="13.7" customHeight="1" x14ac:dyDescent="0.2">
      <c r="B21" s="78"/>
      <c r="C21" s="87"/>
      <c r="D21" s="79"/>
      <c r="E21" s="86"/>
      <c r="F21" s="80"/>
    </row>
    <row r="22" spans="2:9" ht="13.7" customHeight="1" x14ac:dyDescent="0.2">
      <c r="B22" s="78"/>
      <c r="C22" s="87"/>
      <c r="D22" s="79"/>
      <c r="E22" s="86"/>
      <c r="F22" s="80"/>
    </row>
    <row r="23" spans="2:9" ht="13.7" customHeight="1" x14ac:dyDescent="0.2">
      <c r="B23" s="78"/>
      <c r="C23" s="87"/>
      <c r="D23" s="79"/>
      <c r="E23" s="86"/>
      <c r="F23" s="80"/>
    </row>
    <row r="24" spans="2:9" ht="13.7" customHeight="1" x14ac:dyDescent="0.2">
      <c r="B24" s="78"/>
      <c r="C24" s="87"/>
      <c r="D24" s="79"/>
      <c r="E24" s="86"/>
      <c r="F24" s="80"/>
    </row>
    <row r="27" spans="2:9" ht="15.75" x14ac:dyDescent="0.25">
      <c r="B27" s="224" t="s">
        <v>314</v>
      </c>
    </row>
    <row r="28" spans="2:9" x14ac:dyDescent="0.2">
      <c r="B28" s="225"/>
      <c r="C28" s="226"/>
      <c r="D28" s="226"/>
      <c r="E28" s="226"/>
    </row>
    <row r="29" spans="2:9" ht="36.950000000000003" customHeight="1" x14ac:dyDescent="0.2">
      <c r="B29" s="41" t="s">
        <v>309</v>
      </c>
      <c r="C29" s="62" t="s">
        <v>310</v>
      </c>
      <c r="D29" s="41" t="s">
        <v>315</v>
      </c>
      <c r="E29" s="41" t="s">
        <v>312</v>
      </c>
      <c r="F29" s="41" t="s">
        <v>313</v>
      </c>
      <c r="G29" s="41" t="s">
        <v>316</v>
      </c>
      <c r="H29" s="41" t="s">
        <v>317</v>
      </c>
      <c r="I29" s="41" t="s">
        <v>318</v>
      </c>
    </row>
    <row r="30" spans="2:9" x14ac:dyDescent="0.2">
      <c r="B30" s="78"/>
      <c r="C30" s="87"/>
      <c r="D30" s="79"/>
      <c r="E30" s="86"/>
      <c r="F30" s="80"/>
      <c r="G30" s="79"/>
      <c r="H30" s="86"/>
      <c r="I30" s="80"/>
    </row>
    <row r="31" spans="2:9" x14ac:dyDescent="0.2">
      <c r="B31" s="78"/>
      <c r="C31" s="87"/>
      <c r="D31" s="79"/>
      <c r="E31" s="86"/>
      <c r="F31" s="80"/>
      <c r="G31" s="79"/>
      <c r="H31" s="86"/>
      <c r="I31" s="80"/>
    </row>
    <row r="32" spans="2:9" x14ac:dyDescent="0.2">
      <c r="B32" s="78"/>
      <c r="C32" s="87"/>
      <c r="D32" s="79"/>
      <c r="E32" s="86"/>
      <c r="F32" s="80"/>
      <c r="G32" s="79"/>
      <c r="H32" s="86"/>
      <c r="I32" s="80"/>
    </row>
    <row r="33" spans="2:9" x14ac:dyDescent="0.2">
      <c r="B33" s="78"/>
      <c r="C33" s="87"/>
      <c r="D33" s="79"/>
      <c r="E33" s="86"/>
      <c r="F33" s="80"/>
      <c r="G33" s="79"/>
      <c r="H33" s="86"/>
      <c r="I33" s="80"/>
    </row>
    <row r="34" spans="2:9" x14ac:dyDescent="0.2">
      <c r="B34" s="78"/>
      <c r="C34" s="87"/>
      <c r="D34" s="79"/>
      <c r="E34" s="86"/>
      <c r="F34" s="80"/>
      <c r="G34" s="79"/>
      <c r="H34" s="86"/>
      <c r="I34" s="80"/>
    </row>
    <row r="35" spans="2:9" x14ac:dyDescent="0.2">
      <c r="B35" s="78"/>
      <c r="C35" s="87"/>
      <c r="D35" s="79"/>
      <c r="E35" s="86"/>
      <c r="F35" s="80"/>
      <c r="G35" s="79"/>
      <c r="H35" s="86"/>
      <c r="I35" s="80"/>
    </row>
    <row r="36" spans="2:9" x14ac:dyDescent="0.2">
      <c r="B36" s="78"/>
      <c r="C36" s="87"/>
      <c r="D36" s="79"/>
      <c r="E36" s="86"/>
      <c r="F36" s="80"/>
      <c r="G36" s="79"/>
      <c r="H36" s="86"/>
      <c r="I36" s="80"/>
    </row>
    <row r="37" spans="2:9" x14ac:dyDescent="0.2">
      <c r="B37" s="78"/>
      <c r="C37" s="87"/>
      <c r="D37" s="79"/>
      <c r="E37" s="86"/>
      <c r="F37" s="80"/>
      <c r="G37" s="79"/>
      <c r="H37" s="86"/>
      <c r="I37" s="80"/>
    </row>
    <row r="38" spans="2:9" x14ac:dyDescent="0.2">
      <c r="B38" s="78"/>
      <c r="C38" s="87"/>
      <c r="D38" s="79"/>
      <c r="E38" s="86"/>
      <c r="F38" s="80"/>
      <c r="G38" s="79"/>
      <c r="H38" s="86"/>
      <c r="I38" s="80"/>
    </row>
    <row r="39" spans="2:9" x14ac:dyDescent="0.2">
      <c r="B39" s="78"/>
      <c r="C39" s="87"/>
      <c r="D39" s="79"/>
      <c r="E39" s="86"/>
      <c r="F39" s="80"/>
      <c r="G39" s="79"/>
      <c r="H39" s="86"/>
      <c r="I39" s="80"/>
    </row>
    <row r="40" spans="2:9" x14ac:dyDescent="0.2">
      <c r="B40" s="78"/>
      <c r="C40" s="87"/>
      <c r="D40" s="79"/>
      <c r="E40" s="86"/>
      <c r="F40" s="80"/>
      <c r="G40" s="79"/>
      <c r="H40" s="86"/>
      <c r="I40" s="80"/>
    </row>
    <row r="41" spans="2:9" x14ac:dyDescent="0.2">
      <c r="B41" s="78"/>
      <c r="C41" s="87"/>
      <c r="D41" s="79"/>
      <c r="E41" s="86"/>
      <c r="F41" s="80"/>
      <c r="G41" s="79"/>
      <c r="H41" s="86"/>
      <c r="I41" s="80"/>
    </row>
    <row r="42" spans="2:9" x14ac:dyDescent="0.2">
      <c r="B42" s="78"/>
      <c r="C42" s="87"/>
      <c r="D42" s="79"/>
      <c r="E42" s="86"/>
      <c r="F42" s="80"/>
      <c r="G42" s="79"/>
      <c r="H42" s="86"/>
      <c r="I42" s="80"/>
    </row>
    <row r="43" spans="2:9" x14ac:dyDescent="0.2">
      <c r="B43" s="78"/>
      <c r="C43" s="87"/>
      <c r="D43" s="79"/>
      <c r="E43" s="86"/>
      <c r="F43" s="80"/>
      <c r="G43" s="79"/>
      <c r="H43" s="86"/>
      <c r="I43" s="80"/>
    </row>
    <row r="44" spans="2:9" x14ac:dyDescent="0.2">
      <c r="B44" s="78"/>
      <c r="C44" s="87"/>
      <c r="D44" s="79"/>
      <c r="E44" s="86"/>
      <c r="F44" s="80"/>
      <c r="G44" s="79"/>
      <c r="H44" s="86"/>
      <c r="I44" s="80"/>
    </row>
    <row r="45" spans="2:9" x14ac:dyDescent="0.2">
      <c r="B45" s="78"/>
      <c r="C45" s="87"/>
      <c r="D45" s="79"/>
      <c r="E45" s="86"/>
      <c r="F45" s="80"/>
      <c r="G45" s="79"/>
      <c r="H45" s="86"/>
      <c r="I45" s="80"/>
    </row>
    <row r="46" spans="2:9" x14ac:dyDescent="0.2">
      <c r="B46" s="78"/>
      <c r="C46" s="87"/>
      <c r="D46" s="79"/>
      <c r="E46" s="86"/>
      <c r="F46" s="80"/>
      <c r="G46" s="79"/>
      <c r="H46" s="86"/>
      <c r="I46" s="80"/>
    </row>
    <row r="47" spans="2:9" x14ac:dyDescent="0.2">
      <c r="B47" s="78"/>
      <c r="C47" s="87"/>
      <c r="D47" s="79"/>
      <c r="E47" s="86"/>
      <c r="F47" s="80"/>
      <c r="G47" s="79"/>
      <c r="H47" s="86"/>
      <c r="I47" s="80"/>
    </row>
    <row r="48" spans="2:9" x14ac:dyDescent="0.2">
      <c r="B48" s="78"/>
      <c r="C48" s="87"/>
      <c r="D48" s="79"/>
      <c r="E48" s="86"/>
      <c r="F48" s="80"/>
      <c r="G48" s="79"/>
      <c r="H48" s="86"/>
      <c r="I48" s="80"/>
    </row>
    <row r="49" spans="2:9" x14ac:dyDescent="0.2">
      <c r="B49" s="78"/>
      <c r="C49" s="87"/>
      <c r="D49" s="79"/>
      <c r="E49" s="86"/>
      <c r="F49" s="80"/>
      <c r="G49" s="79"/>
      <c r="H49" s="86"/>
      <c r="I49" s="80"/>
    </row>
    <row r="50" spans="2:9" x14ac:dyDescent="0.2">
      <c r="B50" s="78"/>
      <c r="C50" s="87"/>
      <c r="D50" s="79"/>
      <c r="E50" s="86"/>
      <c r="F50" s="80"/>
      <c r="G50" s="79"/>
      <c r="H50" s="86"/>
      <c r="I50" s="80"/>
    </row>
    <row r="51" spans="2:9" x14ac:dyDescent="0.2">
      <c r="B51" s="78"/>
      <c r="C51" s="87"/>
      <c r="D51" s="79"/>
      <c r="E51" s="86"/>
      <c r="F51" s="80"/>
      <c r="G51" s="79"/>
      <c r="H51" s="86"/>
      <c r="I51" s="80"/>
    </row>
    <row r="52" spans="2:9" x14ac:dyDescent="0.2">
      <c r="B52" s="78"/>
      <c r="C52" s="87"/>
      <c r="D52" s="79"/>
      <c r="E52" s="86"/>
      <c r="F52" s="80"/>
      <c r="G52" s="79"/>
      <c r="H52" s="86"/>
      <c r="I52" s="80"/>
    </row>
    <row r="53" spans="2:9" x14ac:dyDescent="0.2">
      <c r="B53" s="78"/>
      <c r="C53" s="87"/>
      <c r="D53" s="79"/>
      <c r="E53" s="86"/>
      <c r="F53" s="80"/>
      <c r="G53" s="79"/>
      <c r="H53" s="86"/>
      <c r="I53" s="80"/>
    </row>
    <row r="54" spans="2:9" x14ac:dyDescent="0.2">
      <c r="B54" s="78"/>
      <c r="C54" s="87"/>
      <c r="D54" s="79"/>
      <c r="E54" s="86"/>
      <c r="F54" s="80"/>
      <c r="G54" s="79"/>
      <c r="H54" s="86"/>
      <c r="I54" s="80"/>
    </row>
    <row r="55" spans="2:9" x14ac:dyDescent="0.2">
      <c r="B55" s="78"/>
      <c r="C55" s="87"/>
      <c r="D55" s="79"/>
      <c r="E55" s="86"/>
      <c r="F55" s="80"/>
      <c r="G55" s="79"/>
      <c r="H55" s="86"/>
      <c r="I55" s="80"/>
    </row>
    <row r="56" spans="2:9" x14ac:dyDescent="0.2">
      <c r="B56" s="78"/>
      <c r="C56" s="87"/>
      <c r="D56" s="79"/>
      <c r="E56" s="86"/>
      <c r="F56" s="80"/>
      <c r="G56" s="79"/>
      <c r="H56" s="86"/>
      <c r="I56" s="80"/>
    </row>
  </sheetData>
  <sheetProtection sheet="1" insertRows="0"/>
  <pageMargins left="0.25" right="0.25" top="0.75" bottom="0.75" header="0.3" footer="0.3"/>
  <pageSetup paperSize="9" scale="59"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F71852C-FA0D-4537-BE5B-E917B55AF536}">
          <x14:formula1>
            <xm:f>Sheet1!$A$3:$A$17</xm:f>
          </x14:formula1>
          <xm:sqref>C30:C56 C10:C24</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F8051-F5D1-42AB-841F-CD74E6598AB9}">
  <sheetPr codeName="Sheet14">
    <tabColor rgb="FF17415D"/>
  </sheetPr>
  <dimension ref="B1:Q84"/>
  <sheetViews>
    <sheetView showGridLines="0" zoomScaleNormal="100" workbookViewId="0">
      <pane xSplit="1" ySplit="8" topLeftCell="B9" activePane="bottomRight" state="frozen"/>
      <selection activeCell="G47" sqref="G47"/>
      <selection pane="topRight" activeCell="G47" sqref="G47"/>
      <selection pane="bottomLeft" activeCell="G47" sqref="G47"/>
      <selection pane="bottomRight"/>
    </sheetView>
  </sheetViews>
  <sheetFormatPr defaultColWidth="8.7109375" defaultRowHeight="12.75" x14ac:dyDescent="0.2"/>
  <cols>
    <col min="1" max="1" width="11.42578125" customWidth="1"/>
    <col min="2" max="2" width="32.42578125" customWidth="1"/>
    <col min="3" max="3" width="40.7109375" customWidth="1"/>
    <col min="4" max="4" width="44.28515625" bestFit="1" customWidth="1"/>
    <col min="5" max="5" width="36.85546875" customWidth="1"/>
    <col min="6" max="8" width="20.7109375" customWidth="1"/>
    <col min="9" max="9" width="30.7109375" customWidth="1"/>
    <col min="10" max="10" width="32.7109375" customWidth="1"/>
    <col min="11" max="11" width="20.7109375" customWidth="1"/>
    <col min="12" max="12" width="24" customWidth="1"/>
    <col min="13" max="13" width="31" customWidth="1"/>
    <col min="14" max="17" width="20.7109375" customWidth="1"/>
  </cols>
  <sheetData>
    <row r="1" spans="2:17" ht="20.25" customHeight="1" x14ac:dyDescent="0.2">
      <c r="B1" s="146" t="s">
        <v>52</v>
      </c>
      <c r="C1" s="146"/>
    </row>
    <row r="2" spans="2:17" ht="20.25" x14ac:dyDescent="0.2">
      <c r="B2" s="146" t="str">
        <f>IF(Tradingname=0," ",Tradingname)</f>
        <v>APT Pipelines (QLD) Pty Limited</v>
      </c>
      <c r="C2" s="146"/>
    </row>
    <row r="3" spans="2:17" ht="20.25" customHeight="1" x14ac:dyDescent="0.3">
      <c r="B3" s="146" t="s">
        <v>29</v>
      </c>
      <c r="C3" s="110">
        <f>IF(Yearending=0, "01/01/2000", Yearending)</f>
        <v>45838</v>
      </c>
    </row>
    <row r="4" spans="2:17" ht="20.25" x14ac:dyDescent="0.2">
      <c r="B4" s="102" t="s">
        <v>319</v>
      </c>
      <c r="C4" s="102"/>
    </row>
    <row r="5" spans="2:17" ht="12.75" customHeight="1" x14ac:dyDescent="0.2"/>
    <row r="6" spans="2:17" x14ac:dyDescent="0.2">
      <c r="B6" s="452" t="s">
        <v>320</v>
      </c>
      <c r="C6" s="452"/>
      <c r="D6" s="452"/>
      <c r="E6" s="452"/>
    </row>
    <row r="7" spans="2:17" ht="15.75" customHeight="1" x14ac:dyDescent="0.2">
      <c r="B7" s="452"/>
      <c r="C7" s="452"/>
      <c r="D7" s="452"/>
      <c r="E7" s="452"/>
      <c r="G7" s="170"/>
    </row>
    <row r="8" spans="2:17" ht="15.75" customHeight="1" x14ac:dyDescent="0.2">
      <c r="B8" s="452"/>
      <c r="C8" s="452"/>
      <c r="D8" s="452"/>
      <c r="E8" s="452"/>
      <c r="G8" s="170"/>
    </row>
    <row r="9" spans="2:17" x14ac:dyDescent="0.2">
      <c r="G9" s="170"/>
    </row>
    <row r="11" spans="2:17" ht="15.75" x14ac:dyDescent="0.25">
      <c r="B11" s="207" t="s">
        <v>321</v>
      </c>
    </row>
    <row r="13" spans="2:17" ht="45" customHeight="1" x14ac:dyDescent="0.2">
      <c r="B13" s="61" t="s">
        <v>112</v>
      </c>
      <c r="C13" s="62" t="s">
        <v>113</v>
      </c>
      <c r="D13" s="62" t="s">
        <v>310</v>
      </c>
      <c r="E13" s="62" t="s">
        <v>322</v>
      </c>
      <c r="F13" s="62" t="s">
        <v>323</v>
      </c>
      <c r="G13" s="62" t="s">
        <v>324</v>
      </c>
      <c r="H13" s="63" t="s">
        <v>203</v>
      </c>
      <c r="I13" s="63" t="s">
        <v>325</v>
      </c>
      <c r="J13" s="63" t="s">
        <v>326</v>
      </c>
      <c r="K13" s="63" t="s">
        <v>327</v>
      </c>
      <c r="L13" s="62" t="s">
        <v>328</v>
      </c>
      <c r="M13" s="62" t="s">
        <v>329</v>
      </c>
      <c r="N13" s="62" t="s">
        <v>330</v>
      </c>
      <c r="O13" s="62" t="s">
        <v>331</v>
      </c>
      <c r="P13" s="62" t="s">
        <v>332</v>
      </c>
      <c r="Q13" s="41" t="s">
        <v>333</v>
      </c>
    </row>
    <row r="14" spans="2:17" x14ac:dyDescent="0.2">
      <c r="B14" s="296"/>
      <c r="C14" s="64"/>
      <c r="D14" s="64"/>
      <c r="E14" s="64"/>
      <c r="F14" s="64" t="s">
        <v>334</v>
      </c>
      <c r="G14" s="64" t="s">
        <v>115</v>
      </c>
      <c r="H14" s="65" t="s">
        <v>115</v>
      </c>
      <c r="I14" s="65" t="s">
        <v>115</v>
      </c>
      <c r="J14" s="65" t="s">
        <v>115</v>
      </c>
      <c r="K14" s="65" t="s">
        <v>115</v>
      </c>
      <c r="L14" s="64" t="s">
        <v>115</v>
      </c>
      <c r="M14" s="64"/>
      <c r="N14" s="64" t="s">
        <v>115</v>
      </c>
      <c r="O14" s="64" t="s">
        <v>115</v>
      </c>
      <c r="P14" s="64" t="s">
        <v>115</v>
      </c>
      <c r="Q14" s="64" t="s">
        <v>115</v>
      </c>
    </row>
    <row r="15" spans="2:17" x14ac:dyDescent="0.2">
      <c r="B15" s="366" t="s">
        <v>895</v>
      </c>
      <c r="C15" s="87"/>
      <c r="D15" s="279" t="s">
        <v>202</v>
      </c>
      <c r="E15" s="322" t="str">
        <f>'3.3 Asset useful life'!D11</f>
        <v>1/7/1997 to 30/6/2024</v>
      </c>
      <c r="F15" s="323">
        <f>'3.3 Asset useful life'!E11</f>
        <v>47.352272032826086</v>
      </c>
      <c r="G15" s="90"/>
      <c r="H15" s="90">
        <v>368262579.11000007</v>
      </c>
      <c r="I15" s="90">
        <v>-1.0000000242143869E-2</v>
      </c>
      <c r="J15" s="90">
        <v>0</v>
      </c>
      <c r="K15" s="90">
        <v>0</v>
      </c>
      <c r="L15" s="25">
        <f>SUM(H15:K15)</f>
        <v>368262579.10000008</v>
      </c>
      <c r="M15" s="83">
        <v>1</v>
      </c>
      <c r="N15" s="101">
        <f>L15*M15</f>
        <v>368262579.10000008</v>
      </c>
      <c r="O15" s="90">
        <v>-341063749.95680785</v>
      </c>
      <c r="P15" s="90">
        <v>-965844.98104586732</v>
      </c>
      <c r="Q15" s="21">
        <f>SUM(N15:P15)</f>
        <v>26232984.162146363</v>
      </c>
    </row>
    <row r="16" spans="2:17" x14ac:dyDescent="0.2">
      <c r="B16" s="366" t="s">
        <v>895</v>
      </c>
      <c r="C16" s="87"/>
      <c r="D16" s="279" t="s">
        <v>211</v>
      </c>
      <c r="E16" s="322" t="str">
        <f>'3.3 Asset useful life'!D12</f>
        <v>1/7/2002 to 30/6/2025</v>
      </c>
      <c r="F16" s="323">
        <f>'3.3 Asset useful life'!E12</f>
        <v>10.845679299474908</v>
      </c>
      <c r="G16" s="90"/>
      <c r="H16" s="90">
        <v>48452093.409999996</v>
      </c>
      <c r="I16" s="90">
        <v>587747.53</v>
      </c>
      <c r="J16" s="90">
        <v>0</v>
      </c>
      <c r="K16" s="90">
        <v>0</v>
      </c>
      <c r="L16" s="25">
        <f>SUM(H16:K16)</f>
        <v>49039840.939999998</v>
      </c>
      <c r="M16" s="83">
        <v>1</v>
      </c>
      <c r="N16" s="101">
        <f t="shared" ref="N16:N58" si="0">L16*M16</f>
        <v>49039840.939999998</v>
      </c>
      <c r="O16" s="90">
        <v>-32062037.739999995</v>
      </c>
      <c r="P16" s="90">
        <v>-3534116.12</v>
      </c>
      <c r="Q16" s="21">
        <f t="shared" ref="Q16:Q58" si="1">SUM(N16:P16)</f>
        <v>13443687.080000002</v>
      </c>
    </row>
    <row r="17" spans="2:17" x14ac:dyDescent="0.2">
      <c r="B17" s="366" t="s">
        <v>895</v>
      </c>
      <c r="C17" s="87"/>
      <c r="D17" s="279" t="s">
        <v>213</v>
      </c>
      <c r="E17" s="322" t="str">
        <f>'3.3 Asset useful life'!D13</f>
        <v>1/7/2001 to 30/6/2016</v>
      </c>
      <c r="F17" s="323">
        <f>'3.3 Asset useful life'!E13</f>
        <v>34.425838314152713</v>
      </c>
      <c r="G17" s="90"/>
      <c r="H17" s="90">
        <v>1775716.87</v>
      </c>
      <c r="I17" s="90">
        <v>0</v>
      </c>
      <c r="J17" s="90">
        <v>0</v>
      </c>
      <c r="K17" s="90">
        <v>0</v>
      </c>
      <c r="L17" s="25">
        <f t="shared" ref="L17:L58" si="2">SUM(H17:K17)</f>
        <v>1775716.87</v>
      </c>
      <c r="M17" s="83">
        <v>1</v>
      </c>
      <c r="N17" s="101">
        <f t="shared" si="0"/>
        <v>1775716.87</v>
      </c>
      <c r="O17" s="90">
        <v>-380125.81000000006</v>
      </c>
      <c r="P17" s="90">
        <v>-49115.210000000006</v>
      </c>
      <c r="Q17" s="21">
        <f t="shared" si="1"/>
        <v>1346475.85</v>
      </c>
    </row>
    <row r="18" spans="2:17" x14ac:dyDescent="0.2">
      <c r="B18" s="366" t="s">
        <v>895</v>
      </c>
      <c r="C18" s="87"/>
      <c r="D18" s="279" t="s">
        <v>215</v>
      </c>
      <c r="E18" s="322" t="str">
        <f>'3.3 Asset useful life'!D14</f>
        <v>1/7/1997 to 30/6/2023</v>
      </c>
      <c r="F18" s="323">
        <f>'3.3 Asset useful life'!E14</f>
        <v>8.8140775314787749</v>
      </c>
      <c r="G18" s="90"/>
      <c r="H18" s="90">
        <v>10197774.449999997</v>
      </c>
      <c r="I18" s="90">
        <v>0</v>
      </c>
      <c r="J18" s="90">
        <v>0</v>
      </c>
      <c r="K18" s="90">
        <v>0</v>
      </c>
      <c r="L18" s="25">
        <f t="shared" si="2"/>
        <v>10197774.449999997</v>
      </c>
      <c r="M18" s="83">
        <v>1</v>
      </c>
      <c r="N18" s="101">
        <f t="shared" si="0"/>
        <v>10197774.449999997</v>
      </c>
      <c r="O18" s="90">
        <v>-7538747.8100000015</v>
      </c>
      <c r="P18" s="90">
        <v>-142291.80000000002</v>
      </c>
      <c r="Q18" s="21">
        <f t="shared" si="1"/>
        <v>2516734.8399999961</v>
      </c>
    </row>
    <row r="19" spans="2:17" x14ac:dyDescent="0.2">
      <c r="B19" s="366" t="s">
        <v>895</v>
      </c>
      <c r="C19" s="87"/>
      <c r="D19" s="279" t="s">
        <v>218</v>
      </c>
      <c r="E19" s="322" t="str">
        <f>'3.3 Asset useful life'!D15</f>
        <v>1/7/2006 to 30/6/2014</v>
      </c>
      <c r="F19" s="323" t="str">
        <f>'3.3 Asset useful life'!E15</f>
        <v>N/A</v>
      </c>
      <c r="G19" s="90"/>
      <c r="H19" s="90">
        <v>0</v>
      </c>
      <c r="I19" s="90">
        <v>0</v>
      </c>
      <c r="J19" s="90">
        <v>0</v>
      </c>
      <c r="K19" s="90">
        <v>0</v>
      </c>
      <c r="L19" s="25">
        <f t="shared" si="2"/>
        <v>0</v>
      </c>
      <c r="M19" s="83">
        <v>1</v>
      </c>
      <c r="N19" s="101">
        <f t="shared" si="0"/>
        <v>0</v>
      </c>
      <c r="O19" s="90">
        <v>0</v>
      </c>
      <c r="P19" s="90">
        <v>0</v>
      </c>
      <c r="Q19" s="21">
        <f t="shared" si="1"/>
        <v>0</v>
      </c>
    </row>
    <row r="20" spans="2:17" x14ac:dyDescent="0.2">
      <c r="B20" s="366" t="s">
        <v>895</v>
      </c>
      <c r="C20" s="87"/>
      <c r="D20" s="279" t="s">
        <v>220</v>
      </c>
      <c r="E20" s="322" t="str">
        <f>'3.3 Asset useful life'!D16</f>
        <v>1/7/1999 to 30/6/2020</v>
      </c>
      <c r="F20" s="323">
        <f>'3.3 Asset useful life'!E16</f>
        <v>9.0602090116081229</v>
      </c>
      <c r="G20" s="90"/>
      <c r="H20" s="90">
        <v>3105117.4899999988</v>
      </c>
      <c r="I20" s="90">
        <v>0</v>
      </c>
      <c r="J20" s="90">
        <v>0</v>
      </c>
      <c r="K20" s="90">
        <v>0</v>
      </c>
      <c r="L20" s="25">
        <f t="shared" si="2"/>
        <v>3105117.4899999988</v>
      </c>
      <c r="M20" s="83">
        <v>1</v>
      </c>
      <c r="N20" s="101">
        <f t="shared" si="0"/>
        <v>3105117.4899999988</v>
      </c>
      <c r="O20" s="90">
        <v>-2459662.27</v>
      </c>
      <c r="P20" s="90">
        <v>-229315.57</v>
      </c>
      <c r="Q20" s="21">
        <f t="shared" si="1"/>
        <v>416139.6499999988</v>
      </c>
    </row>
    <row r="21" spans="2:17" x14ac:dyDescent="0.2">
      <c r="B21" s="366" t="s">
        <v>895</v>
      </c>
      <c r="C21" s="87"/>
      <c r="D21" s="279" t="s">
        <v>222</v>
      </c>
      <c r="E21" s="322" t="str">
        <f>'3.3 Asset useful life'!D17</f>
        <v>1/7/1997 to 30/6/2021</v>
      </c>
      <c r="F21" s="323">
        <f>'3.3 Asset useful life'!E17</f>
        <v>48.341431006634757</v>
      </c>
      <c r="G21" s="90"/>
      <c r="H21" s="90">
        <v>3367617.44</v>
      </c>
      <c r="I21" s="90">
        <v>0</v>
      </c>
      <c r="J21" s="90">
        <v>0</v>
      </c>
      <c r="K21" s="90">
        <v>0</v>
      </c>
      <c r="L21" s="25">
        <f t="shared" si="2"/>
        <v>3367617.44</v>
      </c>
      <c r="M21" s="83">
        <v>1</v>
      </c>
      <c r="N21" s="101">
        <f t="shared" si="0"/>
        <v>3367617.44</v>
      </c>
      <c r="O21" s="90">
        <v>-1660797.8099999998</v>
      </c>
      <c r="P21" s="90">
        <v>-69046.090000000011</v>
      </c>
      <c r="Q21" s="21">
        <f t="shared" si="1"/>
        <v>1637773.54</v>
      </c>
    </row>
    <row r="22" spans="2:17" x14ac:dyDescent="0.2">
      <c r="B22" s="366" t="s">
        <v>895</v>
      </c>
      <c r="C22" s="87"/>
      <c r="D22" s="279" t="s">
        <v>224</v>
      </c>
      <c r="E22" s="322" t="str">
        <f>'3.3 Asset useful life'!D19</f>
        <v>1/7/1997 to 30/6/2025</v>
      </c>
      <c r="F22" s="324" t="str">
        <f>'3.3 Asset useful life'!E19</f>
        <v>N/A</v>
      </c>
      <c r="G22" s="90"/>
      <c r="H22" s="90">
        <v>7947</v>
      </c>
      <c r="I22" s="90">
        <v>24590</v>
      </c>
      <c r="J22" s="90">
        <v>0</v>
      </c>
      <c r="K22" s="90">
        <v>0</v>
      </c>
      <c r="L22" s="25">
        <f t="shared" si="2"/>
        <v>32537</v>
      </c>
      <c r="M22" s="83">
        <v>1</v>
      </c>
      <c r="N22" s="101">
        <f t="shared" si="0"/>
        <v>32537</v>
      </c>
      <c r="O22" s="90">
        <v>0</v>
      </c>
      <c r="P22" s="90">
        <v>0</v>
      </c>
      <c r="Q22" s="21">
        <f t="shared" si="1"/>
        <v>32537</v>
      </c>
    </row>
    <row r="23" spans="2:17" x14ac:dyDescent="0.2">
      <c r="B23" s="366" t="s">
        <v>895</v>
      </c>
      <c r="C23" s="87"/>
      <c r="D23" s="279" t="s">
        <v>226</v>
      </c>
      <c r="E23" s="322" t="str">
        <f>'3.3 Asset useful life'!D18</f>
        <v>1/7/1996 to 30/6/2025</v>
      </c>
      <c r="F23" s="323">
        <f>'3.3 Asset useful life'!E18</f>
        <v>9.608848822150815</v>
      </c>
      <c r="G23" s="90"/>
      <c r="H23" s="90">
        <v>8302495.6699999953</v>
      </c>
      <c r="I23" s="90">
        <v>491445.16000000003</v>
      </c>
      <c r="J23" s="90">
        <v>0</v>
      </c>
      <c r="K23" s="90">
        <v>-405141.88</v>
      </c>
      <c r="L23" s="25">
        <f t="shared" si="2"/>
        <v>8388798.9499999937</v>
      </c>
      <c r="M23" s="83">
        <v>1</v>
      </c>
      <c r="N23" s="101">
        <f t="shared" si="0"/>
        <v>8388798.9499999937</v>
      </c>
      <c r="O23" s="90">
        <v>-7117699.1999999974</v>
      </c>
      <c r="P23" s="90">
        <v>93389.109999999986</v>
      </c>
      <c r="Q23" s="21">
        <f t="shared" si="1"/>
        <v>1364488.8599999961</v>
      </c>
    </row>
    <row r="24" spans="2:17" x14ac:dyDescent="0.2">
      <c r="B24" s="366" t="s">
        <v>895</v>
      </c>
      <c r="C24" s="87"/>
      <c r="D24" s="279" t="s">
        <v>228</v>
      </c>
      <c r="E24" s="322" t="str">
        <f>'3.3 Asset useful life'!D23</f>
        <v>N/A</v>
      </c>
      <c r="F24" s="324" t="str">
        <f>'3.3 Asset useful life'!E23</f>
        <v>N/A</v>
      </c>
      <c r="G24" s="90"/>
      <c r="H24" s="90">
        <v>0</v>
      </c>
      <c r="I24" s="90">
        <v>0</v>
      </c>
      <c r="J24" s="90">
        <v>0</v>
      </c>
      <c r="K24" s="90">
        <v>0</v>
      </c>
      <c r="L24" s="25">
        <f t="shared" si="2"/>
        <v>0</v>
      </c>
      <c r="M24" s="83">
        <v>1</v>
      </c>
      <c r="N24" s="101">
        <f t="shared" si="0"/>
        <v>0</v>
      </c>
      <c r="O24" s="90">
        <v>0</v>
      </c>
      <c r="P24" s="90">
        <v>0</v>
      </c>
      <c r="Q24" s="21">
        <f t="shared" si="1"/>
        <v>0</v>
      </c>
    </row>
    <row r="25" spans="2:17" x14ac:dyDescent="0.2">
      <c r="B25" s="297"/>
      <c r="C25" s="87"/>
      <c r="D25" s="279"/>
      <c r="E25" s="88"/>
      <c r="F25" s="89"/>
      <c r="G25" s="90"/>
      <c r="H25" s="90"/>
      <c r="I25" s="90"/>
      <c r="J25" s="90"/>
      <c r="K25" s="90"/>
      <c r="L25" s="25">
        <f t="shared" si="2"/>
        <v>0</v>
      </c>
      <c r="M25" s="83">
        <v>1</v>
      </c>
      <c r="N25" s="101">
        <f t="shared" si="0"/>
        <v>0</v>
      </c>
      <c r="O25" s="90"/>
      <c r="P25" s="90"/>
      <c r="Q25" s="21">
        <f t="shared" si="1"/>
        <v>0</v>
      </c>
    </row>
    <row r="26" spans="2:17" x14ac:dyDescent="0.2">
      <c r="B26" s="297"/>
      <c r="C26" s="87"/>
      <c r="D26" s="279"/>
      <c r="E26" s="88"/>
      <c r="F26" s="89"/>
      <c r="G26" s="90"/>
      <c r="H26" s="90"/>
      <c r="I26" s="90"/>
      <c r="J26" s="90"/>
      <c r="K26" s="90"/>
      <c r="L26" s="25">
        <f t="shared" si="2"/>
        <v>0</v>
      </c>
      <c r="M26" s="83">
        <v>1</v>
      </c>
      <c r="N26" s="101">
        <f t="shared" si="0"/>
        <v>0</v>
      </c>
      <c r="O26" s="90"/>
      <c r="P26" s="90"/>
      <c r="Q26" s="21">
        <f t="shared" si="1"/>
        <v>0</v>
      </c>
    </row>
    <row r="27" spans="2:17" x14ac:dyDescent="0.2">
      <c r="B27" s="297"/>
      <c r="C27" s="87"/>
      <c r="D27" s="279"/>
      <c r="E27" s="88"/>
      <c r="F27" s="89"/>
      <c r="G27" s="90"/>
      <c r="H27" s="90"/>
      <c r="I27" s="90"/>
      <c r="J27" s="90"/>
      <c r="K27" s="90"/>
      <c r="L27" s="25">
        <f t="shared" si="2"/>
        <v>0</v>
      </c>
      <c r="M27" s="83">
        <v>1</v>
      </c>
      <c r="N27" s="101">
        <f t="shared" si="0"/>
        <v>0</v>
      </c>
      <c r="O27" s="90"/>
      <c r="P27" s="90"/>
      <c r="Q27" s="21">
        <f t="shared" si="1"/>
        <v>0</v>
      </c>
    </row>
    <row r="28" spans="2:17" x14ac:dyDescent="0.2">
      <c r="B28" s="297"/>
      <c r="C28" s="87"/>
      <c r="D28" s="279"/>
      <c r="E28" s="88"/>
      <c r="F28" s="89"/>
      <c r="G28" s="90"/>
      <c r="H28" s="90"/>
      <c r="I28" s="90"/>
      <c r="J28" s="90"/>
      <c r="K28" s="90"/>
      <c r="L28" s="25">
        <f t="shared" si="2"/>
        <v>0</v>
      </c>
      <c r="M28" s="83">
        <v>1</v>
      </c>
      <c r="N28" s="101">
        <f t="shared" si="0"/>
        <v>0</v>
      </c>
      <c r="O28" s="90"/>
      <c r="P28" s="90"/>
      <c r="Q28" s="21">
        <f t="shared" si="1"/>
        <v>0</v>
      </c>
    </row>
    <row r="29" spans="2:17" x14ac:dyDescent="0.2">
      <c r="B29" s="297"/>
      <c r="C29" s="87"/>
      <c r="D29" s="279"/>
      <c r="E29" s="88"/>
      <c r="F29" s="89"/>
      <c r="G29" s="90"/>
      <c r="H29" s="90"/>
      <c r="I29" s="90"/>
      <c r="J29" s="90"/>
      <c r="K29" s="90"/>
      <c r="L29" s="25">
        <f t="shared" si="2"/>
        <v>0</v>
      </c>
      <c r="M29" s="83">
        <v>1</v>
      </c>
      <c r="N29" s="101">
        <f t="shared" si="0"/>
        <v>0</v>
      </c>
      <c r="O29" s="90"/>
      <c r="P29" s="90"/>
      <c r="Q29" s="21">
        <f t="shared" si="1"/>
        <v>0</v>
      </c>
    </row>
    <row r="30" spans="2:17" x14ac:dyDescent="0.2">
      <c r="B30" s="297"/>
      <c r="C30" s="87"/>
      <c r="D30" s="279"/>
      <c r="E30" s="88"/>
      <c r="F30" s="89"/>
      <c r="G30" s="90"/>
      <c r="H30" s="90"/>
      <c r="I30" s="90"/>
      <c r="J30" s="90"/>
      <c r="K30" s="90"/>
      <c r="L30" s="25">
        <f t="shared" si="2"/>
        <v>0</v>
      </c>
      <c r="M30" s="83">
        <v>1</v>
      </c>
      <c r="N30" s="101">
        <f t="shared" si="0"/>
        <v>0</v>
      </c>
      <c r="O30" s="90"/>
      <c r="P30" s="90"/>
      <c r="Q30" s="21">
        <f t="shared" si="1"/>
        <v>0</v>
      </c>
    </row>
    <row r="31" spans="2:17" x14ac:dyDescent="0.2">
      <c r="B31" s="297"/>
      <c r="C31" s="87"/>
      <c r="D31" s="279"/>
      <c r="E31" s="88"/>
      <c r="F31" s="89"/>
      <c r="G31" s="90"/>
      <c r="H31" s="90"/>
      <c r="I31" s="90"/>
      <c r="J31" s="90"/>
      <c r="K31" s="90"/>
      <c r="L31" s="25">
        <f t="shared" si="2"/>
        <v>0</v>
      </c>
      <c r="M31" s="83">
        <v>1</v>
      </c>
      <c r="N31" s="101">
        <f t="shared" si="0"/>
        <v>0</v>
      </c>
      <c r="O31" s="90"/>
      <c r="P31" s="90"/>
      <c r="Q31" s="21">
        <f t="shared" si="1"/>
        <v>0</v>
      </c>
    </row>
    <row r="32" spans="2:17" x14ac:dyDescent="0.2">
      <c r="B32" s="297"/>
      <c r="C32" s="87"/>
      <c r="D32" s="279"/>
      <c r="E32" s="88"/>
      <c r="F32" s="89"/>
      <c r="G32" s="90"/>
      <c r="H32" s="90"/>
      <c r="I32" s="90"/>
      <c r="J32" s="90"/>
      <c r="K32" s="90"/>
      <c r="L32" s="25">
        <f t="shared" si="2"/>
        <v>0</v>
      </c>
      <c r="M32" s="83">
        <v>1</v>
      </c>
      <c r="N32" s="101">
        <f t="shared" si="0"/>
        <v>0</v>
      </c>
      <c r="O32" s="90"/>
      <c r="P32" s="90"/>
      <c r="Q32" s="21">
        <f t="shared" si="1"/>
        <v>0</v>
      </c>
    </row>
    <row r="33" spans="2:17" x14ac:dyDescent="0.2">
      <c r="B33" s="297"/>
      <c r="C33" s="87"/>
      <c r="D33" s="279"/>
      <c r="E33" s="88"/>
      <c r="F33" s="89"/>
      <c r="G33" s="90"/>
      <c r="H33" s="90"/>
      <c r="I33" s="90"/>
      <c r="J33" s="90"/>
      <c r="K33" s="90"/>
      <c r="L33" s="25">
        <f t="shared" si="2"/>
        <v>0</v>
      </c>
      <c r="M33" s="83">
        <v>1</v>
      </c>
      <c r="N33" s="101">
        <f t="shared" si="0"/>
        <v>0</v>
      </c>
      <c r="O33" s="90"/>
      <c r="P33" s="90"/>
      <c r="Q33" s="21">
        <f t="shared" si="1"/>
        <v>0</v>
      </c>
    </row>
    <row r="34" spans="2:17" x14ac:dyDescent="0.2">
      <c r="B34" s="297"/>
      <c r="C34" s="87"/>
      <c r="D34" s="279"/>
      <c r="E34" s="88"/>
      <c r="F34" s="89"/>
      <c r="G34" s="90"/>
      <c r="H34" s="90"/>
      <c r="I34" s="90"/>
      <c r="J34" s="90"/>
      <c r="K34" s="90"/>
      <c r="L34" s="25">
        <f t="shared" si="2"/>
        <v>0</v>
      </c>
      <c r="M34" s="83">
        <v>1</v>
      </c>
      <c r="N34" s="101">
        <f t="shared" si="0"/>
        <v>0</v>
      </c>
      <c r="O34" s="90"/>
      <c r="P34" s="90"/>
      <c r="Q34" s="21">
        <f t="shared" si="1"/>
        <v>0</v>
      </c>
    </row>
    <row r="35" spans="2:17" x14ac:dyDescent="0.2">
      <c r="B35" s="297"/>
      <c r="C35" s="87"/>
      <c r="D35" s="279"/>
      <c r="E35" s="88"/>
      <c r="F35" s="89"/>
      <c r="G35" s="90"/>
      <c r="H35" s="90"/>
      <c r="I35" s="90"/>
      <c r="J35" s="90"/>
      <c r="K35" s="90"/>
      <c r="L35" s="25">
        <f t="shared" si="2"/>
        <v>0</v>
      </c>
      <c r="M35" s="83">
        <v>1</v>
      </c>
      <c r="N35" s="101">
        <f t="shared" si="0"/>
        <v>0</v>
      </c>
      <c r="O35" s="90"/>
      <c r="P35" s="90"/>
      <c r="Q35" s="21">
        <f t="shared" si="1"/>
        <v>0</v>
      </c>
    </row>
    <row r="36" spans="2:17" x14ac:dyDescent="0.2">
      <c r="B36" s="297"/>
      <c r="C36" s="87"/>
      <c r="D36" s="279"/>
      <c r="E36" s="88"/>
      <c r="F36" s="89"/>
      <c r="G36" s="90"/>
      <c r="H36" s="90"/>
      <c r="I36" s="90"/>
      <c r="J36" s="90"/>
      <c r="K36" s="90"/>
      <c r="L36" s="25">
        <f t="shared" si="2"/>
        <v>0</v>
      </c>
      <c r="M36" s="83">
        <v>1</v>
      </c>
      <c r="N36" s="101">
        <f t="shared" si="0"/>
        <v>0</v>
      </c>
      <c r="O36" s="90"/>
      <c r="P36" s="90"/>
      <c r="Q36" s="21">
        <f t="shared" si="1"/>
        <v>0</v>
      </c>
    </row>
    <row r="37" spans="2:17" x14ac:dyDescent="0.2">
      <c r="B37" s="297"/>
      <c r="C37" s="87"/>
      <c r="D37" s="279"/>
      <c r="E37" s="88"/>
      <c r="F37" s="89"/>
      <c r="G37" s="90"/>
      <c r="H37" s="90"/>
      <c r="I37" s="90"/>
      <c r="J37" s="90"/>
      <c r="K37" s="90"/>
      <c r="L37" s="25">
        <f t="shared" si="2"/>
        <v>0</v>
      </c>
      <c r="M37" s="83">
        <v>1</v>
      </c>
      <c r="N37" s="101">
        <f t="shared" si="0"/>
        <v>0</v>
      </c>
      <c r="O37" s="90"/>
      <c r="P37" s="90"/>
      <c r="Q37" s="21">
        <f t="shared" si="1"/>
        <v>0</v>
      </c>
    </row>
    <row r="38" spans="2:17" x14ac:dyDescent="0.2">
      <c r="B38" s="297"/>
      <c r="C38" s="87"/>
      <c r="D38" s="279"/>
      <c r="E38" s="88"/>
      <c r="F38" s="89"/>
      <c r="G38" s="90"/>
      <c r="H38" s="90"/>
      <c r="I38" s="90"/>
      <c r="J38" s="90"/>
      <c r="K38" s="90"/>
      <c r="L38" s="25">
        <f t="shared" si="2"/>
        <v>0</v>
      </c>
      <c r="M38" s="83">
        <v>1</v>
      </c>
      <c r="N38" s="101">
        <f t="shared" si="0"/>
        <v>0</v>
      </c>
      <c r="O38" s="90"/>
      <c r="P38" s="90"/>
      <c r="Q38" s="21">
        <f t="shared" si="1"/>
        <v>0</v>
      </c>
    </row>
    <row r="39" spans="2:17" x14ac:dyDescent="0.2">
      <c r="B39" s="297"/>
      <c r="C39" s="87"/>
      <c r="D39" s="279"/>
      <c r="E39" s="88"/>
      <c r="F39" s="89"/>
      <c r="G39" s="90"/>
      <c r="H39" s="90"/>
      <c r="I39" s="90"/>
      <c r="J39" s="90"/>
      <c r="K39" s="90"/>
      <c r="L39" s="25">
        <f t="shared" si="2"/>
        <v>0</v>
      </c>
      <c r="M39" s="83">
        <v>1</v>
      </c>
      <c r="N39" s="101">
        <f t="shared" si="0"/>
        <v>0</v>
      </c>
      <c r="O39" s="90"/>
      <c r="P39" s="90"/>
      <c r="Q39" s="21">
        <f t="shared" si="1"/>
        <v>0</v>
      </c>
    </row>
    <row r="40" spans="2:17" x14ac:dyDescent="0.2">
      <c r="B40" s="297"/>
      <c r="C40" s="87"/>
      <c r="D40" s="279"/>
      <c r="E40" s="88"/>
      <c r="F40" s="89"/>
      <c r="G40" s="90"/>
      <c r="H40" s="90"/>
      <c r="I40" s="90"/>
      <c r="J40" s="90"/>
      <c r="K40" s="90"/>
      <c r="L40" s="25">
        <f t="shared" si="2"/>
        <v>0</v>
      </c>
      <c r="M40" s="83">
        <v>1</v>
      </c>
      <c r="N40" s="101">
        <f t="shared" si="0"/>
        <v>0</v>
      </c>
      <c r="O40" s="90"/>
      <c r="P40" s="90"/>
      <c r="Q40" s="21">
        <f t="shared" si="1"/>
        <v>0</v>
      </c>
    </row>
    <row r="41" spans="2:17" x14ac:dyDescent="0.2">
      <c r="B41" s="297"/>
      <c r="C41" s="87"/>
      <c r="D41" s="279"/>
      <c r="E41" s="88"/>
      <c r="F41" s="89"/>
      <c r="G41" s="90"/>
      <c r="H41" s="90"/>
      <c r="I41" s="90"/>
      <c r="J41" s="90"/>
      <c r="K41" s="90"/>
      <c r="L41" s="25">
        <f t="shared" si="2"/>
        <v>0</v>
      </c>
      <c r="M41" s="83">
        <v>1</v>
      </c>
      <c r="N41" s="101">
        <f t="shared" si="0"/>
        <v>0</v>
      </c>
      <c r="O41" s="90"/>
      <c r="P41" s="90"/>
      <c r="Q41" s="21">
        <f t="shared" si="1"/>
        <v>0</v>
      </c>
    </row>
    <row r="42" spans="2:17" x14ac:dyDescent="0.2">
      <c r="B42" s="297"/>
      <c r="C42" s="87"/>
      <c r="D42" s="279"/>
      <c r="E42" s="88"/>
      <c r="F42" s="89"/>
      <c r="G42" s="90"/>
      <c r="H42" s="90"/>
      <c r="I42" s="90"/>
      <c r="J42" s="90"/>
      <c r="K42" s="90"/>
      <c r="L42" s="25">
        <f t="shared" si="2"/>
        <v>0</v>
      </c>
      <c r="M42" s="83">
        <v>1</v>
      </c>
      <c r="N42" s="101">
        <f t="shared" si="0"/>
        <v>0</v>
      </c>
      <c r="O42" s="90"/>
      <c r="P42" s="90"/>
      <c r="Q42" s="21">
        <f t="shared" si="1"/>
        <v>0</v>
      </c>
    </row>
    <row r="43" spans="2:17" x14ac:dyDescent="0.2">
      <c r="B43" s="297"/>
      <c r="C43" s="87"/>
      <c r="D43" s="279"/>
      <c r="E43" s="88"/>
      <c r="F43" s="89"/>
      <c r="G43" s="90"/>
      <c r="H43" s="90"/>
      <c r="I43" s="90"/>
      <c r="J43" s="90"/>
      <c r="K43" s="90"/>
      <c r="L43" s="25">
        <f t="shared" si="2"/>
        <v>0</v>
      </c>
      <c r="M43" s="83">
        <v>1</v>
      </c>
      <c r="N43" s="101">
        <f t="shared" si="0"/>
        <v>0</v>
      </c>
      <c r="O43" s="90"/>
      <c r="P43" s="90"/>
      <c r="Q43" s="21">
        <f t="shared" si="1"/>
        <v>0</v>
      </c>
    </row>
    <row r="44" spans="2:17" x14ac:dyDescent="0.2">
      <c r="B44" s="297"/>
      <c r="C44" s="87"/>
      <c r="D44" s="279"/>
      <c r="E44" s="88"/>
      <c r="F44" s="89"/>
      <c r="G44" s="90"/>
      <c r="H44" s="90"/>
      <c r="I44" s="90"/>
      <c r="J44" s="90"/>
      <c r="K44" s="90"/>
      <c r="L44" s="25">
        <f t="shared" si="2"/>
        <v>0</v>
      </c>
      <c r="M44" s="83">
        <v>1</v>
      </c>
      <c r="N44" s="101">
        <f t="shared" si="0"/>
        <v>0</v>
      </c>
      <c r="O44" s="90"/>
      <c r="P44" s="90"/>
      <c r="Q44" s="21">
        <f t="shared" si="1"/>
        <v>0</v>
      </c>
    </row>
    <row r="45" spans="2:17" x14ac:dyDescent="0.2">
      <c r="B45" s="297"/>
      <c r="C45" s="87"/>
      <c r="D45" s="279"/>
      <c r="E45" s="88"/>
      <c r="F45" s="89"/>
      <c r="G45" s="90"/>
      <c r="H45" s="90"/>
      <c r="I45" s="90"/>
      <c r="J45" s="90"/>
      <c r="K45" s="90"/>
      <c r="L45" s="25">
        <f t="shared" si="2"/>
        <v>0</v>
      </c>
      <c r="M45" s="83">
        <v>1</v>
      </c>
      <c r="N45" s="101">
        <f t="shared" si="0"/>
        <v>0</v>
      </c>
      <c r="O45" s="90"/>
      <c r="P45" s="90"/>
      <c r="Q45" s="21">
        <f t="shared" si="1"/>
        <v>0</v>
      </c>
    </row>
    <row r="46" spans="2:17" x14ac:dyDescent="0.2">
      <c r="B46" s="297"/>
      <c r="C46" s="87"/>
      <c r="D46" s="279"/>
      <c r="E46" s="88"/>
      <c r="F46" s="89"/>
      <c r="G46" s="90"/>
      <c r="H46" s="90"/>
      <c r="I46" s="90"/>
      <c r="J46" s="90"/>
      <c r="K46" s="90"/>
      <c r="L46" s="25">
        <f t="shared" si="2"/>
        <v>0</v>
      </c>
      <c r="M46" s="83">
        <v>1</v>
      </c>
      <c r="N46" s="101">
        <f t="shared" si="0"/>
        <v>0</v>
      </c>
      <c r="O46" s="90"/>
      <c r="P46" s="90"/>
      <c r="Q46" s="21">
        <f t="shared" si="1"/>
        <v>0</v>
      </c>
    </row>
    <row r="47" spans="2:17" x14ac:dyDescent="0.2">
      <c r="B47" s="297"/>
      <c r="C47" s="87"/>
      <c r="D47" s="279"/>
      <c r="E47" s="88"/>
      <c r="F47" s="89"/>
      <c r="G47" s="90"/>
      <c r="H47" s="90"/>
      <c r="I47" s="90"/>
      <c r="J47" s="90"/>
      <c r="K47" s="90"/>
      <c r="L47" s="25">
        <f t="shared" si="2"/>
        <v>0</v>
      </c>
      <c r="M47" s="83">
        <v>1</v>
      </c>
      <c r="N47" s="101">
        <f t="shared" si="0"/>
        <v>0</v>
      </c>
      <c r="O47" s="90"/>
      <c r="P47" s="90"/>
      <c r="Q47" s="21">
        <f t="shared" si="1"/>
        <v>0</v>
      </c>
    </row>
    <row r="48" spans="2:17" x14ac:dyDescent="0.2">
      <c r="B48" s="297"/>
      <c r="C48" s="87"/>
      <c r="D48" s="279"/>
      <c r="E48" s="88"/>
      <c r="F48" s="89"/>
      <c r="G48" s="90"/>
      <c r="H48" s="90"/>
      <c r="I48" s="90"/>
      <c r="J48" s="90"/>
      <c r="K48" s="90"/>
      <c r="L48" s="25">
        <f t="shared" si="2"/>
        <v>0</v>
      </c>
      <c r="M48" s="83">
        <v>1</v>
      </c>
      <c r="N48" s="101">
        <f t="shared" si="0"/>
        <v>0</v>
      </c>
      <c r="O48" s="90"/>
      <c r="P48" s="90"/>
      <c r="Q48" s="21">
        <f t="shared" si="1"/>
        <v>0</v>
      </c>
    </row>
    <row r="49" spans="2:17" x14ac:dyDescent="0.2">
      <c r="B49" s="297"/>
      <c r="C49" s="87"/>
      <c r="D49" s="279"/>
      <c r="E49" s="88"/>
      <c r="F49" s="89"/>
      <c r="G49" s="90"/>
      <c r="H49" s="90"/>
      <c r="I49" s="90"/>
      <c r="J49" s="90"/>
      <c r="K49" s="90"/>
      <c r="L49" s="25">
        <f t="shared" si="2"/>
        <v>0</v>
      </c>
      <c r="M49" s="83">
        <v>1</v>
      </c>
      <c r="N49" s="101">
        <f t="shared" si="0"/>
        <v>0</v>
      </c>
      <c r="O49" s="90"/>
      <c r="P49" s="90"/>
      <c r="Q49" s="21">
        <f t="shared" si="1"/>
        <v>0</v>
      </c>
    </row>
    <row r="50" spans="2:17" x14ac:dyDescent="0.2">
      <c r="B50" s="297"/>
      <c r="C50" s="87"/>
      <c r="D50" s="279"/>
      <c r="E50" s="88"/>
      <c r="F50" s="89"/>
      <c r="G50" s="90"/>
      <c r="H50" s="90"/>
      <c r="I50" s="90"/>
      <c r="J50" s="90"/>
      <c r="K50" s="90"/>
      <c r="L50" s="25">
        <f t="shared" si="2"/>
        <v>0</v>
      </c>
      <c r="M50" s="83">
        <v>1</v>
      </c>
      <c r="N50" s="101">
        <f t="shared" si="0"/>
        <v>0</v>
      </c>
      <c r="O50" s="90"/>
      <c r="P50" s="90"/>
      <c r="Q50" s="21">
        <f t="shared" si="1"/>
        <v>0</v>
      </c>
    </row>
    <row r="51" spans="2:17" x14ac:dyDescent="0.2">
      <c r="B51" s="297"/>
      <c r="C51" s="87"/>
      <c r="D51" s="279"/>
      <c r="E51" s="88"/>
      <c r="F51" s="89"/>
      <c r="G51" s="90"/>
      <c r="H51" s="90"/>
      <c r="I51" s="90"/>
      <c r="J51" s="90"/>
      <c r="K51" s="90"/>
      <c r="L51" s="25">
        <f t="shared" si="2"/>
        <v>0</v>
      </c>
      <c r="M51" s="83">
        <v>1</v>
      </c>
      <c r="N51" s="101">
        <f t="shared" si="0"/>
        <v>0</v>
      </c>
      <c r="O51" s="90"/>
      <c r="P51" s="90"/>
      <c r="Q51" s="21">
        <f t="shared" si="1"/>
        <v>0</v>
      </c>
    </row>
    <row r="52" spans="2:17" x14ac:dyDescent="0.2">
      <c r="B52" s="297"/>
      <c r="C52" s="87"/>
      <c r="D52" s="279"/>
      <c r="E52" s="88"/>
      <c r="F52" s="89"/>
      <c r="G52" s="90"/>
      <c r="H52" s="90"/>
      <c r="I52" s="90"/>
      <c r="J52" s="90"/>
      <c r="K52" s="90"/>
      <c r="L52" s="25">
        <f t="shared" si="2"/>
        <v>0</v>
      </c>
      <c r="M52" s="83">
        <v>1</v>
      </c>
      <c r="N52" s="101">
        <f t="shared" si="0"/>
        <v>0</v>
      </c>
      <c r="O52" s="90"/>
      <c r="P52" s="90"/>
      <c r="Q52" s="21">
        <f t="shared" si="1"/>
        <v>0</v>
      </c>
    </row>
    <row r="53" spans="2:17" x14ac:dyDescent="0.2">
      <c r="B53" s="297"/>
      <c r="C53" s="87"/>
      <c r="D53" s="279"/>
      <c r="E53" s="88"/>
      <c r="F53" s="89"/>
      <c r="G53" s="90"/>
      <c r="H53" s="90"/>
      <c r="I53" s="90"/>
      <c r="J53" s="90"/>
      <c r="K53" s="90"/>
      <c r="L53" s="25">
        <f t="shared" si="2"/>
        <v>0</v>
      </c>
      <c r="M53" s="83">
        <v>1</v>
      </c>
      <c r="N53" s="101">
        <f t="shared" si="0"/>
        <v>0</v>
      </c>
      <c r="O53" s="90"/>
      <c r="P53" s="90"/>
      <c r="Q53" s="21">
        <f t="shared" si="1"/>
        <v>0</v>
      </c>
    </row>
    <row r="54" spans="2:17" x14ac:dyDescent="0.2">
      <c r="B54" s="297"/>
      <c r="C54" s="87"/>
      <c r="D54" s="279"/>
      <c r="E54" s="88"/>
      <c r="F54" s="89"/>
      <c r="G54" s="90"/>
      <c r="H54" s="90"/>
      <c r="I54" s="90"/>
      <c r="J54" s="90"/>
      <c r="K54" s="90"/>
      <c r="L54" s="25">
        <f t="shared" si="2"/>
        <v>0</v>
      </c>
      <c r="M54" s="83">
        <v>1</v>
      </c>
      <c r="N54" s="101">
        <f t="shared" si="0"/>
        <v>0</v>
      </c>
      <c r="O54" s="90"/>
      <c r="P54" s="90"/>
      <c r="Q54" s="21">
        <f>SUM(N54:P54)</f>
        <v>0</v>
      </c>
    </row>
    <row r="55" spans="2:17" x14ac:dyDescent="0.2">
      <c r="B55" s="297"/>
      <c r="C55" s="87"/>
      <c r="D55" s="279"/>
      <c r="E55" s="88"/>
      <c r="F55" s="89"/>
      <c r="G55" s="90"/>
      <c r="H55" s="90"/>
      <c r="I55" s="90"/>
      <c r="J55" s="90"/>
      <c r="K55" s="90"/>
      <c r="L55" s="25">
        <f t="shared" si="2"/>
        <v>0</v>
      </c>
      <c r="M55" s="83">
        <v>1</v>
      </c>
      <c r="N55" s="101">
        <f t="shared" si="0"/>
        <v>0</v>
      </c>
      <c r="O55" s="90"/>
      <c r="P55" s="90"/>
      <c r="Q55" s="21">
        <f t="shared" si="1"/>
        <v>0</v>
      </c>
    </row>
    <row r="56" spans="2:17" x14ac:dyDescent="0.2">
      <c r="B56" s="297"/>
      <c r="C56" s="87"/>
      <c r="D56" s="279"/>
      <c r="E56" s="88"/>
      <c r="F56" s="89"/>
      <c r="G56" s="90"/>
      <c r="H56" s="90"/>
      <c r="I56" s="90"/>
      <c r="J56" s="90"/>
      <c r="K56" s="90"/>
      <c r="L56" s="25">
        <f t="shared" si="2"/>
        <v>0</v>
      </c>
      <c r="M56" s="83">
        <v>1</v>
      </c>
      <c r="N56" s="101">
        <f t="shared" si="0"/>
        <v>0</v>
      </c>
      <c r="O56" s="90"/>
      <c r="P56" s="90"/>
      <c r="Q56" s="21">
        <f t="shared" si="1"/>
        <v>0</v>
      </c>
    </row>
    <row r="57" spans="2:17" x14ac:dyDescent="0.2">
      <c r="B57" s="297"/>
      <c r="C57" s="87"/>
      <c r="D57" s="279"/>
      <c r="E57" s="88"/>
      <c r="F57" s="89"/>
      <c r="G57" s="90"/>
      <c r="H57" s="90"/>
      <c r="I57" s="90"/>
      <c r="J57" s="90"/>
      <c r="K57" s="90"/>
      <c r="L57" s="25">
        <f t="shared" si="2"/>
        <v>0</v>
      </c>
      <c r="M57" s="83">
        <v>1</v>
      </c>
      <c r="N57" s="101">
        <f t="shared" si="0"/>
        <v>0</v>
      </c>
      <c r="O57" s="90"/>
      <c r="P57" s="90"/>
      <c r="Q57" s="21">
        <f>SUM(N57:P57)</f>
        <v>0</v>
      </c>
    </row>
    <row r="58" spans="2:17" x14ac:dyDescent="0.2">
      <c r="B58" s="297"/>
      <c r="C58" s="87"/>
      <c r="D58" s="279"/>
      <c r="E58" s="88"/>
      <c r="F58" s="89"/>
      <c r="G58" s="90"/>
      <c r="H58" s="90"/>
      <c r="I58" s="90"/>
      <c r="J58" s="90"/>
      <c r="K58" s="90"/>
      <c r="L58" s="25">
        <f t="shared" si="2"/>
        <v>0</v>
      </c>
      <c r="M58" s="83">
        <v>1</v>
      </c>
      <c r="N58" s="101">
        <f t="shared" si="0"/>
        <v>0</v>
      </c>
      <c r="O58" s="90"/>
      <c r="P58" s="90"/>
      <c r="Q58" s="21">
        <f t="shared" si="1"/>
        <v>0</v>
      </c>
    </row>
    <row r="59" spans="2:17" x14ac:dyDescent="0.2">
      <c r="B59" s="298"/>
      <c r="C59" s="26" t="s">
        <v>233</v>
      </c>
      <c r="D59" s="26"/>
      <c r="E59" s="27"/>
      <c r="F59" s="28"/>
      <c r="G59" s="22">
        <f t="shared" ref="G59:L59" si="3">SUM(G15:G58)</f>
        <v>0</v>
      </c>
      <c r="H59" s="22">
        <f t="shared" si="3"/>
        <v>443471341.44000012</v>
      </c>
      <c r="I59" s="22">
        <f t="shared" si="3"/>
        <v>1103782.6799999997</v>
      </c>
      <c r="J59" s="22">
        <f t="shared" si="3"/>
        <v>0</v>
      </c>
      <c r="K59" s="22">
        <f t="shared" si="3"/>
        <v>-405141.88</v>
      </c>
      <c r="L59" s="22">
        <f t="shared" si="3"/>
        <v>444169982.24000007</v>
      </c>
      <c r="M59" s="152"/>
      <c r="N59" s="152">
        <f>SUM(N15:N58)</f>
        <v>444169982.24000007</v>
      </c>
      <c r="O59" s="22">
        <f>SUM(O15:O58)</f>
        <v>-392282820.59680784</v>
      </c>
      <c r="P59" s="22">
        <f>SUM(P15:P58)</f>
        <v>-4896340.661045867</v>
      </c>
      <c r="Q59" s="22">
        <f>SUM(Q15:Q58)</f>
        <v>46990820.98214636</v>
      </c>
    </row>
    <row r="62" spans="2:17" ht="15.75" x14ac:dyDescent="0.25">
      <c r="B62" s="207" t="s">
        <v>335</v>
      </c>
    </row>
    <row r="64" spans="2:17" ht="46.5" customHeight="1" x14ac:dyDescent="0.2">
      <c r="B64" s="61" t="s">
        <v>112</v>
      </c>
      <c r="C64" s="62" t="s">
        <v>113</v>
      </c>
      <c r="D64" s="62" t="s">
        <v>310</v>
      </c>
      <c r="E64" s="62" t="s">
        <v>336</v>
      </c>
      <c r="F64" s="62" t="s">
        <v>323</v>
      </c>
      <c r="G64" s="63" t="s">
        <v>203</v>
      </c>
      <c r="H64" s="63" t="s">
        <v>325</v>
      </c>
      <c r="I64" s="63" t="s">
        <v>326</v>
      </c>
      <c r="J64" s="63" t="s">
        <v>327</v>
      </c>
      <c r="K64" s="63" t="s">
        <v>328</v>
      </c>
      <c r="L64" s="62" t="s">
        <v>329</v>
      </c>
      <c r="M64" s="62" t="s">
        <v>330</v>
      </c>
      <c r="N64" s="63" t="s">
        <v>331</v>
      </c>
      <c r="O64" s="63" t="s">
        <v>337</v>
      </c>
      <c r="P64" s="41" t="s">
        <v>333</v>
      </c>
    </row>
    <row r="65" spans="2:16" x14ac:dyDescent="0.2">
      <c r="B65" s="72"/>
      <c r="C65" s="64"/>
      <c r="D65" s="64"/>
      <c r="E65" s="64"/>
      <c r="F65" s="64" t="s">
        <v>334</v>
      </c>
      <c r="G65" s="64" t="s">
        <v>115</v>
      </c>
      <c r="H65" s="64" t="s">
        <v>115</v>
      </c>
      <c r="I65" s="64" t="s">
        <v>115</v>
      </c>
      <c r="J65" s="64" t="s">
        <v>115</v>
      </c>
      <c r="K65" s="64" t="s">
        <v>115</v>
      </c>
      <c r="L65" s="64"/>
      <c r="M65" s="64" t="s">
        <v>115</v>
      </c>
      <c r="N65" s="64" t="s">
        <v>115</v>
      </c>
      <c r="O65" s="64" t="s">
        <v>115</v>
      </c>
      <c r="P65" s="64" t="s">
        <v>115</v>
      </c>
    </row>
    <row r="66" spans="2:16" x14ac:dyDescent="0.2">
      <c r="B66" s="372" t="s">
        <v>904</v>
      </c>
      <c r="C66" s="87" t="s">
        <v>783</v>
      </c>
      <c r="D66" s="87" t="s">
        <v>235</v>
      </c>
      <c r="E66" s="88" t="str">
        <f>'3.3 Asset useful life'!D28</f>
        <v>13/6/2000 to 30/6/2025</v>
      </c>
      <c r="F66" s="89">
        <f>'3.3 Asset useful life'!E28</f>
        <v>3.4323791017076388</v>
      </c>
      <c r="G66" s="90">
        <v>20308397.629434321</v>
      </c>
      <c r="H66" s="90">
        <v>3149492.9240197991</v>
      </c>
      <c r="I66" s="90"/>
      <c r="J66" s="90">
        <v>-34602.255692087703</v>
      </c>
      <c r="K66" s="25">
        <f>SUM(G66:J66)</f>
        <v>23423288.297762033</v>
      </c>
      <c r="L66" s="83">
        <v>1</v>
      </c>
      <c r="M66" s="101">
        <f>K66*L66</f>
        <v>23423288.297762033</v>
      </c>
      <c r="N66" s="90">
        <v>-14540904.92517484</v>
      </c>
      <c r="O66" s="90">
        <v>-1797279.0361339676</v>
      </c>
      <c r="P66" s="21">
        <f>SUM(M66:O66)</f>
        <v>7085104.3364532255</v>
      </c>
    </row>
    <row r="67" spans="2:16" x14ac:dyDescent="0.2">
      <c r="B67" s="372" t="s">
        <v>904</v>
      </c>
      <c r="C67" s="87" t="s">
        <v>237</v>
      </c>
      <c r="D67" s="87" t="s">
        <v>237</v>
      </c>
      <c r="E67" s="88" t="str">
        <f>'3.3 Asset useful life'!D34</f>
        <v>1/7/2019 to 30/6/2025</v>
      </c>
      <c r="F67" s="89" t="str">
        <f>'3.3 Asset useful life'!E34</f>
        <v>Various</v>
      </c>
      <c r="G67" s="90">
        <v>2314799.2110171439</v>
      </c>
      <c r="H67" s="90">
        <v>422471.83264330932</v>
      </c>
      <c r="I67" s="90">
        <v>0</v>
      </c>
      <c r="J67" s="90">
        <v>-9552.1022420072277</v>
      </c>
      <c r="K67" s="25">
        <f t="shared" ref="K67:K83" si="4">SUM(G67:J67)</f>
        <v>2727718.9414184457</v>
      </c>
      <c r="L67" s="83">
        <v>1</v>
      </c>
      <c r="M67" s="101">
        <f t="shared" ref="M67:M83" si="5">K67*L67</f>
        <v>2727718.9414184457</v>
      </c>
      <c r="N67" s="90">
        <v>-1162302.897614327</v>
      </c>
      <c r="O67" s="90">
        <v>-403156.86639873614</v>
      </c>
      <c r="P67" s="21">
        <f t="shared" ref="P67:P82" si="6">SUM(M67:O67)</f>
        <v>1162259.1774053825</v>
      </c>
    </row>
    <row r="68" spans="2:16" x14ac:dyDescent="0.2">
      <c r="B68" s="171"/>
      <c r="C68" s="87"/>
      <c r="D68" s="87"/>
      <c r="E68" s="88"/>
      <c r="F68" s="89"/>
      <c r="G68" s="90"/>
      <c r="H68" s="90"/>
      <c r="I68" s="90"/>
      <c r="J68" s="90"/>
      <c r="K68" s="25">
        <f t="shared" si="4"/>
        <v>0</v>
      </c>
      <c r="L68" s="83">
        <v>1</v>
      </c>
      <c r="M68" s="101">
        <f t="shared" si="5"/>
        <v>0</v>
      </c>
      <c r="N68" s="90"/>
      <c r="O68" s="90"/>
      <c r="P68" s="21">
        <f t="shared" si="6"/>
        <v>0</v>
      </c>
    </row>
    <row r="69" spans="2:16" x14ac:dyDescent="0.2">
      <c r="B69" s="171"/>
      <c r="C69" s="87"/>
      <c r="D69" s="87"/>
      <c r="E69" s="88"/>
      <c r="F69" s="89"/>
      <c r="G69" s="90"/>
      <c r="H69" s="90"/>
      <c r="I69" s="90"/>
      <c r="J69" s="90"/>
      <c r="K69" s="25">
        <f t="shared" si="4"/>
        <v>0</v>
      </c>
      <c r="L69" s="83">
        <v>1</v>
      </c>
      <c r="M69" s="101">
        <f t="shared" si="5"/>
        <v>0</v>
      </c>
      <c r="N69" s="90"/>
      <c r="O69" s="90"/>
      <c r="P69" s="21">
        <f t="shared" si="6"/>
        <v>0</v>
      </c>
    </row>
    <row r="70" spans="2:16" x14ac:dyDescent="0.2">
      <c r="B70" s="171"/>
      <c r="C70" s="87"/>
      <c r="D70" s="87"/>
      <c r="E70" s="88"/>
      <c r="F70" s="89"/>
      <c r="G70" s="90"/>
      <c r="H70" s="90"/>
      <c r="I70" s="90"/>
      <c r="J70" s="90"/>
      <c r="K70" s="25">
        <f t="shared" si="4"/>
        <v>0</v>
      </c>
      <c r="L70" s="83">
        <v>1</v>
      </c>
      <c r="M70" s="101">
        <f t="shared" si="5"/>
        <v>0</v>
      </c>
      <c r="N70" s="90"/>
      <c r="O70" s="90"/>
      <c r="P70" s="21">
        <f t="shared" si="6"/>
        <v>0</v>
      </c>
    </row>
    <row r="71" spans="2:16" x14ac:dyDescent="0.2">
      <c r="B71" s="171"/>
      <c r="C71" s="87"/>
      <c r="D71" s="87"/>
      <c r="E71" s="88"/>
      <c r="F71" s="89"/>
      <c r="G71" s="90"/>
      <c r="H71" s="90"/>
      <c r="I71" s="90"/>
      <c r="J71" s="90"/>
      <c r="K71" s="25">
        <f t="shared" si="4"/>
        <v>0</v>
      </c>
      <c r="L71" s="83">
        <v>1</v>
      </c>
      <c r="M71" s="101">
        <f t="shared" si="5"/>
        <v>0</v>
      </c>
      <c r="N71" s="90"/>
      <c r="O71" s="90"/>
      <c r="P71" s="21">
        <f t="shared" si="6"/>
        <v>0</v>
      </c>
    </row>
    <row r="72" spans="2:16" x14ac:dyDescent="0.2">
      <c r="B72" s="171"/>
      <c r="C72" s="87"/>
      <c r="D72" s="87"/>
      <c r="E72" s="88"/>
      <c r="F72" s="89"/>
      <c r="G72" s="90"/>
      <c r="H72" s="90"/>
      <c r="I72" s="90"/>
      <c r="J72" s="90"/>
      <c r="K72" s="25">
        <f t="shared" si="4"/>
        <v>0</v>
      </c>
      <c r="L72" s="83">
        <v>1</v>
      </c>
      <c r="M72" s="101">
        <f t="shared" si="5"/>
        <v>0</v>
      </c>
      <c r="N72" s="90"/>
      <c r="O72" s="90"/>
      <c r="P72" s="21">
        <f t="shared" si="6"/>
        <v>0</v>
      </c>
    </row>
    <row r="73" spans="2:16" x14ac:dyDescent="0.2">
      <c r="B73" s="171"/>
      <c r="C73" s="87"/>
      <c r="D73" s="87"/>
      <c r="E73" s="88"/>
      <c r="F73" s="89"/>
      <c r="G73" s="90"/>
      <c r="H73" s="90"/>
      <c r="I73" s="90"/>
      <c r="J73" s="90"/>
      <c r="K73" s="25">
        <f t="shared" si="4"/>
        <v>0</v>
      </c>
      <c r="L73" s="83">
        <v>1</v>
      </c>
      <c r="M73" s="101">
        <f t="shared" si="5"/>
        <v>0</v>
      </c>
      <c r="N73" s="90"/>
      <c r="O73" s="90"/>
      <c r="P73" s="21">
        <f t="shared" si="6"/>
        <v>0</v>
      </c>
    </row>
    <row r="74" spans="2:16" x14ac:dyDescent="0.2">
      <c r="B74" s="171"/>
      <c r="C74" s="87"/>
      <c r="D74" s="87"/>
      <c r="E74" s="88"/>
      <c r="F74" s="89"/>
      <c r="G74" s="90"/>
      <c r="H74" s="90"/>
      <c r="I74" s="90"/>
      <c r="J74" s="90"/>
      <c r="K74" s="25">
        <f t="shared" si="4"/>
        <v>0</v>
      </c>
      <c r="L74" s="83">
        <v>1</v>
      </c>
      <c r="M74" s="101">
        <f t="shared" si="5"/>
        <v>0</v>
      </c>
      <c r="N74" s="90"/>
      <c r="O74" s="90"/>
      <c r="P74" s="21">
        <f t="shared" si="6"/>
        <v>0</v>
      </c>
    </row>
    <row r="75" spans="2:16" x14ac:dyDescent="0.2">
      <c r="B75" s="171"/>
      <c r="C75" s="87"/>
      <c r="D75" s="87"/>
      <c r="E75" s="88"/>
      <c r="F75" s="89"/>
      <c r="G75" s="90"/>
      <c r="H75" s="90"/>
      <c r="I75" s="90"/>
      <c r="J75" s="90"/>
      <c r="K75" s="25">
        <f t="shared" si="4"/>
        <v>0</v>
      </c>
      <c r="L75" s="83">
        <v>1</v>
      </c>
      <c r="M75" s="101">
        <f t="shared" si="5"/>
        <v>0</v>
      </c>
      <c r="N75" s="90"/>
      <c r="O75" s="90"/>
      <c r="P75" s="21">
        <f t="shared" si="6"/>
        <v>0</v>
      </c>
    </row>
    <row r="76" spans="2:16" x14ac:dyDescent="0.2">
      <c r="B76" s="171"/>
      <c r="C76" s="87"/>
      <c r="D76" s="87"/>
      <c r="E76" s="88"/>
      <c r="F76" s="89"/>
      <c r="G76" s="90"/>
      <c r="H76" s="90"/>
      <c r="I76" s="90"/>
      <c r="J76" s="90"/>
      <c r="K76" s="25">
        <f t="shared" si="4"/>
        <v>0</v>
      </c>
      <c r="L76" s="83">
        <v>1</v>
      </c>
      <c r="M76" s="101">
        <f t="shared" si="5"/>
        <v>0</v>
      </c>
      <c r="N76" s="90"/>
      <c r="O76" s="90"/>
      <c r="P76" s="21">
        <f t="shared" si="6"/>
        <v>0</v>
      </c>
    </row>
    <row r="77" spans="2:16" x14ac:dyDescent="0.2">
      <c r="B77" s="171"/>
      <c r="C77" s="87"/>
      <c r="D77" s="87"/>
      <c r="E77" s="88"/>
      <c r="F77" s="89"/>
      <c r="G77" s="90"/>
      <c r="H77" s="90"/>
      <c r="I77" s="90"/>
      <c r="J77" s="90"/>
      <c r="K77" s="25">
        <f t="shared" si="4"/>
        <v>0</v>
      </c>
      <c r="L77" s="83">
        <v>1</v>
      </c>
      <c r="M77" s="101">
        <f t="shared" si="5"/>
        <v>0</v>
      </c>
      <c r="N77" s="90"/>
      <c r="O77" s="90"/>
      <c r="P77" s="21">
        <f t="shared" si="6"/>
        <v>0</v>
      </c>
    </row>
    <row r="78" spans="2:16" x14ac:dyDescent="0.2">
      <c r="B78" s="171"/>
      <c r="C78" s="87"/>
      <c r="D78" s="87"/>
      <c r="E78" s="88"/>
      <c r="F78" s="89"/>
      <c r="G78" s="90"/>
      <c r="H78" s="90"/>
      <c r="I78" s="90"/>
      <c r="J78" s="90"/>
      <c r="K78" s="25">
        <f t="shared" si="4"/>
        <v>0</v>
      </c>
      <c r="L78" s="83">
        <v>1</v>
      </c>
      <c r="M78" s="101">
        <f t="shared" si="5"/>
        <v>0</v>
      </c>
      <c r="N78" s="90"/>
      <c r="O78" s="90"/>
      <c r="P78" s="21">
        <f t="shared" si="6"/>
        <v>0</v>
      </c>
    </row>
    <row r="79" spans="2:16" x14ac:dyDescent="0.2">
      <c r="B79" s="171"/>
      <c r="C79" s="87"/>
      <c r="D79" s="87"/>
      <c r="E79" s="88"/>
      <c r="F79" s="89"/>
      <c r="G79" s="90"/>
      <c r="H79" s="90"/>
      <c r="I79" s="90"/>
      <c r="J79" s="90"/>
      <c r="K79" s="25">
        <f t="shared" si="4"/>
        <v>0</v>
      </c>
      <c r="L79" s="83">
        <v>1</v>
      </c>
      <c r="M79" s="101">
        <f t="shared" si="5"/>
        <v>0</v>
      </c>
      <c r="N79" s="90"/>
      <c r="O79" s="90"/>
      <c r="P79" s="21">
        <f t="shared" si="6"/>
        <v>0</v>
      </c>
    </row>
    <row r="80" spans="2:16" x14ac:dyDescent="0.2">
      <c r="B80" s="171"/>
      <c r="C80" s="87"/>
      <c r="D80" s="87"/>
      <c r="E80" s="88"/>
      <c r="F80" s="89"/>
      <c r="G80" s="90"/>
      <c r="H80" s="90"/>
      <c r="I80" s="90"/>
      <c r="J80" s="90"/>
      <c r="K80" s="25">
        <f t="shared" si="4"/>
        <v>0</v>
      </c>
      <c r="L80" s="83">
        <v>1</v>
      </c>
      <c r="M80" s="101">
        <f t="shared" si="5"/>
        <v>0</v>
      </c>
      <c r="N80" s="90"/>
      <c r="O80" s="90"/>
      <c r="P80" s="21">
        <f t="shared" si="6"/>
        <v>0</v>
      </c>
    </row>
    <row r="81" spans="2:16" x14ac:dyDescent="0.2">
      <c r="B81" s="171"/>
      <c r="C81" s="87"/>
      <c r="D81" s="87"/>
      <c r="E81" s="88"/>
      <c r="F81" s="89"/>
      <c r="G81" s="90"/>
      <c r="H81" s="90"/>
      <c r="I81" s="90"/>
      <c r="J81" s="90"/>
      <c r="K81" s="25">
        <f t="shared" si="4"/>
        <v>0</v>
      </c>
      <c r="L81" s="83">
        <v>1</v>
      </c>
      <c r="M81" s="101">
        <f t="shared" si="5"/>
        <v>0</v>
      </c>
      <c r="N81" s="90"/>
      <c r="O81" s="90"/>
      <c r="P81" s="21">
        <f t="shared" si="6"/>
        <v>0</v>
      </c>
    </row>
    <row r="82" spans="2:16" x14ac:dyDescent="0.2">
      <c r="B82" s="171"/>
      <c r="C82" s="87"/>
      <c r="D82" s="87"/>
      <c r="E82" s="88"/>
      <c r="F82" s="89"/>
      <c r="G82" s="90"/>
      <c r="H82" s="90"/>
      <c r="I82" s="90"/>
      <c r="J82" s="90"/>
      <c r="K82" s="25">
        <f t="shared" si="4"/>
        <v>0</v>
      </c>
      <c r="L82" s="83">
        <v>1</v>
      </c>
      <c r="M82" s="101">
        <f t="shared" si="5"/>
        <v>0</v>
      </c>
      <c r="N82" s="90"/>
      <c r="O82" s="90"/>
      <c r="P82" s="21">
        <f t="shared" si="6"/>
        <v>0</v>
      </c>
    </row>
    <row r="83" spans="2:16" x14ac:dyDescent="0.2">
      <c r="B83" s="171"/>
      <c r="C83" s="87"/>
      <c r="D83" s="87"/>
      <c r="E83" s="88"/>
      <c r="F83" s="89"/>
      <c r="G83" s="90"/>
      <c r="H83" s="90"/>
      <c r="I83" s="90"/>
      <c r="J83" s="90"/>
      <c r="K83" s="25">
        <f t="shared" si="4"/>
        <v>0</v>
      </c>
      <c r="L83" s="83">
        <v>1</v>
      </c>
      <c r="M83" s="101">
        <f t="shared" si="5"/>
        <v>0</v>
      </c>
      <c r="N83" s="90"/>
      <c r="O83" s="90"/>
      <c r="P83" s="21">
        <f>SUM(M83:O83)</f>
        <v>0</v>
      </c>
    </row>
    <row r="84" spans="2:16" x14ac:dyDescent="0.2">
      <c r="B84" s="278"/>
      <c r="C84" s="26" t="s">
        <v>338</v>
      </c>
      <c r="D84" s="26"/>
      <c r="E84" s="29"/>
      <c r="F84" s="29"/>
      <c r="G84" s="22">
        <f>SUM(G66:G83)</f>
        <v>22623196.840451464</v>
      </c>
      <c r="H84" s="22">
        <f>SUM(H66:H83)</f>
        <v>3571964.7566631082</v>
      </c>
      <c r="I84" s="22">
        <f>SUM(I66:I83)</f>
        <v>0</v>
      </c>
      <c r="J84" s="22">
        <f>SUM(J66:J83)</f>
        <v>-44154.357934094929</v>
      </c>
      <c r="K84" s="22">
        <f>SUM(K66:K83)</f>
        <v>26151007.239180479</v>
      </c>
      <c r="L84" s="152"/>
      <c r="M84" s="152">
        <f>SUM(M66:M83)</f>
        <v>26151007.239180479</v>
      </c>
      <c r="N84" s="22">
        <f>SUM(N66:N83)</f>
        <v>-15703207.822789166</v>
      </c>
      <c r="O84" s="22">
        <f>SUM(O66:O83)</f>
        <v>-2200435.9025327037</v>
      </c>
      <c r="P84" s="22">
        <f>SUM(P66:P83)</f>
        <v>8247363.513858608</v>
      </c>
    </row>
  </sheetData>
  <sheetProtection sheet="1" insertRows="0" deleteRows="0"/>
  <mergeCells count="1">
    <mergeCell ref="B6:E8"/>
  </mergeCells>
  <phoneticPr fontId="33" type="noConversion"/>
  <dataValidations count="2">
    <dataValidation type="list" allowBlank="1" showInputMessage="1" showErrorMessage="1" sqref="G8:G9 D25:D58" xr:uid="{36F1E2C7-E059-4A1F-8CE8-21D257E8C1E2}">
      <formula1>rPipelineAssets</formula1>
    </dataValidation>
    <dataValidation type="list" allowBlank="1" showInputMessage="1" showErrorMessage="1" sqref="D68:D83" xr:uid="{628F3744-0044-4580-A1F6-1302F9BD7106}">
      <formula1>rSharedAssets</formula1>
    </dataValidation>
  </dataValidations>
  <pageMargins left="0.75" right="0.75" top="1" bottom="1" header="0.5" footer="0.5"/>
  <pageSetup paperSize="9" scale="27"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F5D110D8-97D7-4B69-B871-15D4F2B2C157}">
          <x14:formula1>
            <xm:f>Sheet1!$A$3:$A$12</xm:f>
          </x14:formula1>
          <xm:sqref>D15:D24</xm:sqref>
        </x14:dataValidation>
        <x14:dataValidation type="list" allowBlank="1" showInputMessage="1" showErrorMessage="1" xr:uid="{DD71E285-64D1-46D1-A96B-2CD725B8563E}">
          <x14:formula1>
            <xm:f>Sheet1!$A$13:$A$14</xm:f>
          </x14:formula1>
          <xm:sqref>D66:D67</xm:sqref>
        </x14:dataValidation>
      </x14:dataValidation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E7532-ADB9-45AD-A253-4C09BAA137E6}">
  <sheetPr codeName="Sheet15">
    <tabColor rgb="FF17415D"/>
  </sheetPr>
  <dimension ref="B1:I47"/>
  <sheetViews>
    <sheetView workbookViewId="0">
      <pane xSplit="1" ySplit="8" topLeftCell="B9" activePane="bottomRight" state="frozen"/>
      <selection activeCell="G47" sqref="G47"/>
      <selection pane="topRight" activeCell="G47" sqref="G47"/>
      <selection pane="bottomLeft" activeCell="G47" sqref="G47"/>
      <selection pane="bottomRight"/>
    </sheetView>
  </sheetViews>
  <sheetFormatPr defaultColWidth="9.140625" defaultRowHeight="12.75" x14ac:dyDescent="0.2"/>
  <cols>
    <col min="1" max="1" width="12.140625" style="215" customWidth="1"/>
    <col min="2" max="2" width="22.42578125" style="215" customWidth="1"/>
    <col min="3" max="3" width="42.28515625" style="215" customWidth="1"/>
    <col min="4" max="4" width="28.85546875" style="215" customWidth="1"/>
    <col min="5" max="5" width="22.5703125" style="215" customWidth="1"/>
    <col min="6" max="6" width="20.5703125" style="215" customWidth="1"/>
    <col min="7" max="7" width="22.5703125" style="215" customWidth="1"/>
    <col min="8" max="8" width="37.42578125" style="215" customWidth="1"/>
    <col min="9" max="9" width="25.140625" style="215" customWidth="1"/>
    <col min="10" max="16384" width="9.140625" style="215"/>
  </cols>
  <sheetData>
    <row r="1" spans="2:9" ht="20.25" customHeight="1" x14ac:dyDescent="0.3">
      <c r="B1" s="146" t="s">
        <v>52</v>
      </c>
      <c r="C1" s="146"/>
      <c r="D1" s="214"/>
      <c r="E1" s="214"/>
      <c r="F1" s="214"/>
      <c r="G1" s="214"/>
    </row>
    <row r="2" spans="2:9" ht="20.25" customHeight="1" x14ac:dyDescent="0.3">
      <c r="B2" s="146" t="str">
        <f>IF(Tradingname=0," ",Tradingname)</f>
        <v>APT Pipelines (QLD) Pty Limited</v>
      </c>
      <c r="C2" s="146"/>
      <c r="D2" s="216"/>
    </row>
    <row r="3" spans="2:9" ht="20.25" customHeight="1" x14ac:dyDescent="0.3">
      <c r="B3" s="146" t="s">
        <v>29</v>
      </c>
      <c r="C3" s="110">
        <f>IF(Yearending=0, "01/01/2000", Yearending)</f>
        <v>45838</v>
      </c>
    </row>
    <row r="4" spans="2:9" ht="20.25" x14ac:dyDescent="0.2">
      <c r="B4" s="102" t="s">
        <v>339</v>
      </c>
      <c r="C4" s="102"/>
    </row>
    <row r="6" spans="2:9" x14ac:dyDescent="0.2">
      <c r="B6" s="446" t="s">
        <v>340</v>
      </c>
      <c r="C6" s="446"/>
      <c r="D6" s="446"/>
    </row>
    <row r="7" spans="2:9" ht="15.75" customHeight="1" x14ac:dyDescent="0.2">
      <c r="B7" s="446"/>
      <c r="C7" s="446"/>
      <c r="D7" s="446"/>
    </row>
    <row r="8" spans="2:9" ht="15.75" customHeight="1" x14ac:dyDescent="0.2">
      <c r="B8" s="446"/>
      <c r="C8" s="446"/>
      <c r="D8" s="446"/>
    </row>
    <row r="11" spans="2:9" ht="15.75" x14ac:dyDescent="0.25">
      <c r="B11" s="217" t="s">
        <v>341</v>
      </c>
      <c r="C11" s="218"/>
      <c r="D11" s="218"/>
      <c r="E11" s="218"/>
      <c r="F11" s="221"/>
      <c r="G11" s="218"/>
    </row>
    <row r="12" spans="2:9" ht="15.75" x14ac:dyDescent="0.25">
      <c r="B12" s="217"/>
      <c r="C12" s="218"/>
      <c r="D12" s="218"/>
      <c r="E12" s="218"/>
      <c r="F12" s="221"/>
      <c r="G12" s="218"/>
    </row>
    <row r="13" spans="2:9" ht="25.5" x14ac:dyDescent="0.2">
      <c r="B13" s="48" t="s">
        <v>112</v>
      </c>
      <c r="C13" s="48" t="s">
        <v>342</v>
      </c>
      <c r="D13" s="48" t="s">
        <v>343</v>
      </c>
      <c r="E13" s="60" t="s">
        <v>344</v>
      </c>
      <c r="F13" s="60" t="s">
        <v>187</v>
      </c>
      <c r="G13" s="60" t="s">
        <v>345</v>
      </c>
    </row>
    <row r="14" spans="2:9" x14ac:dyDescent="0.2">
      <c r="B14" s="50"/>
      <c r="C14" s="50"/>
      <c r="D14" s="53"/>
      <c r="E14" s="64" t="s">
        <v>115</v>
      </c>
      <c r="F14" s="64"/>
      <c r="G14" s="64" t="s">
        <v>115</v>
      </c>
    </row>
    <row r="15" spans="2:9" x14ac:dyDescent="0.2">
      <c r="B15" s="360" t="s">
        <v>896</v>
      </c>
      <c r="C15" s="81" t="s">
        <v>783</v>
      </c>
      <c r="D15" s="81" t="s">
        <v>235</v>
      </c>
      <c r="E15" s="82">
        <v>501746970.59000003</v>
      </c>
      <c r="F15" s="83">
        <v>4.668346730667608E-2</v>
      </c>
      <c r="G15" s="21">
        <f>E15*F15</f>
        <v>23423288.297762033</v>
      </c>
      <c r="H15" s="277"/>
    </row>
    <row r="16" spans="2:9" x14ac:dyDescent="0.2">
      <c r="B16" s="360" t="s">
        <v>896</v>
      </c>
      <c r="C16" s="81" t="s">
        <v>237</v>
      </c>
      <c r="D16" s="81" t="s">
        <v>237</v>
      </c>
      <c r="E16" s="82">
        <v>86146034.939643428</v>
      </c>
      <c r="F16" s="371">
        <v>3.1663894261988602E-2</v>
      </c>
      <c r="G16" s="21">
        <f t="shared" ref="G16:G45" si="0">E16*F16</f>
        <v>2727718.9414184452</v>
      </c>
      <c r="H16" s="280"/>
      <c r="I16" s="280"/>
    </row>
    <row r="17" spans="2:9" x14ac:dyDescent="0.2">
      <c r="B17" s="292"/>
      <c r="C17" s="81"/>
      <c r="D17" s="81"/>
      <c r="E17" s="82"/>
      <c r="F17" s="83"/>
      <c r="G17" s="21">
        <f t="shared" si="0"/>
        <v>0</v>
      </c>
      <c r="H17" s="281"/>
      <c r="I17" s="281"/>
    </row>
    <row r="18" spans="2:9" x14ac:dyDescent="0.2">
      <c r="B18" s="292"/>
      <c r="C18" s="81"/>
      <c r="D18" s="81"/>
      <c r="E18" s="82"/>
      <c r="F18" s="83"/>
      <c r="G18" s="21">
        <f t="shared" si="0"/>
        <v>0</v>
      </c>
      <c r="H18" s="281"/>
      <c r="I18" s="281"/>
    </row>
    <row r="19" spans="2:9" x14ac:dyDescent="0.2">
      <c r="B19" s="292"/>
      <c r="C19" s="81"/>
      <c r="D19" s="81"/>
      <c r="E19" s="82"/>
      <c r="F19" s="83"/>
      <c r="G19" s="21">
        <f t="shared" si="0"/>
        <v>0</v>
      </c>
      <c r="H19" s="280"/>
      <c r="I19" s="280"/>
    </row>
    <row r="20" spans="2:9" x14ac:dyDescent="0.2">
      <c r="B20" s="292"/>
      <c r="C20" s="81"/>
      <c r="D20" s="81"/>
      <c r="E20" s="82"/>
      <c r="F20" s="83"/>
      <c r="G20" s="21">
        <f t="shared" si="0"/>
        <v>0</v>
      </c>
      <c r="H20" s="281"/>
      <c r="I20" s="281"/>
    </row>
    <row r="21" spans="2:9" x14ac:dyDescent="0.2">
      <c r="B21" s="292"/>
      <c r="C21" s="81"/>
      <c r="D21" s="81"/>
      <c r="E21" s="82"/>
      <c r="F21" s="83"/>
      <c r="G21" s="21">
        <f t="shared" si="0"/>
        <v>0</v>
      </c>
    </row>
    <row r="22" spans="2:9" x14ac:dyDescent="0.2">
      <c r="B22" s="292"/>
      <c r="C22" s="81"/>
      <c r="D22" s="81"/>
      <c r="E22" s="82"/>
      <c r="F22" s="83"/>
      <c r="G22" s="21">
        <f t="shared" si="0"/>
        <v>0</v>
      </c>
    </row>
    <row r="23" spans="2:9" x14ac:dyDescent="0.2">
      <c r="B23" s="292"/>
      <c r="C23" s="81"/>
      <c r="D23" s="81"/>
      <c r="E23" s="82"/>
      <c r="F23" s="83"/>
      <c r="G23" s="21">
        <f t="shared" si="0"/>
        <v>0</v>
      </c>
    </row>
    <row r="24" spans="2:9" x14ac:dyDescent="0.2">
      <c r="B24" s="292"/>
      <c r="C24" s="81"/>
      <c r="D24" s="81"/>
      <c r="E24" s="82"/>
      <c r="F24" s="83"/>
      <c r="G24" s="21">
        <f t="shared" si="0"/>
        <v>0</v>
      </c>
    </row>
    <row r="25" spans="2:9" x14ac:dyDescent="0.2">
      <c r="B25" s="292"/>
      <c r="C25" s="81"/>
      <c r="D25" s="81"/>
      <c r="E25" s="82"/>
      <c r="F25" s="83"/>
      <c r="G25" s="21">
        <f t="shared" si="0"/>
        <v>0</v>
      </c>
    </row>
    <row r="26" spans="2:9" x14ac:dyDescent="0.2">
      <c r="B26" s="292"/>
      <c r="C26" s="81"/>
      <c r="D26" s="81"/>
      <c r="E26" s="82"/>
      <c r="F26" s="83"/>
      <c r="G26" s="21">
        <f t="shared" si="0"/>
        <v>0</v>
      </c>
    </row>
    <row r="27" spans="2:9" x14ac:dyDescent="0.2">
      <c r="B27" s="292"/>
      <c r="C27" s="81"/>
      <c r="D27" s="81"/>
      <c r="E27" s="82"/>
      <c r="F27" s="83"/>
      <c r="G27" s="21">
        <f t="shared" si="0"/>
        <v>0</v>
      </c>
    </row>
    <row r="28" spans="2:9" x14ac:dyDescent="0.2">
      <c r="B28" s="292"/>
      <c r="C28" s="81"/>
      <c r="D28" s="81"/>
      <c r="E28" s="82"/>
      <c r="F28" s="83"/>
      <c r="G28" s="21">
        <f t="shared" si="0"/>
        <v>0</v>
      </c>
    </row>
    <row r="29" spans="2:9" x14ac:dyDescent="0.2">
      <c r="B29" s="292"/>
      <c r="C29" s="81"/>
      <c r="D29" s="81"/>
      <c r="E29" s="82"/>
      <c r="F29" s="83"/>
      <c r="G29" s="21">
        <f t="shared" si="0"/>
        <v>0</v>
      </c>
    </row>
    <row r="30" spans="2:9" x14ac:dyDescent="0.2">
      <c r="B30" s="292"/>
      <c r="C30" s="81"/>
      <c r="D30" s="81"/>
      <c r="E30" s="82"/>
      <c r="F30" s="83"/>
      <c r="G30" s="21">
        <f t="shared" si="0"/>
        <v>0</v>
      </c>
    </row>
    <row r="31" spans="2:9" x14ac:dyDescent="0.2">
      <c r="B31" s="292"/>
      <c r="C31" s="81"/>
      <c r="D31" s="81"/>
      <c r="E31" s="82"/>
      <c r="F31" s="83"/>
      <c r="G31" s="21">
        <f t="shared" si="0"/>
        <v>0</v>
      </c>
    </row>
    <row r="32" spans="2:9" x14ac:dyDescent="0.2">
      <c r="B32" s="292"/>
      <c r="C32" s="81"/>
      <c r="D32" s="81"/>
      <c r="E32" s="82"/>
      <c r="F32" s="83"/>
      <c r="G32" s="21">
        <f t="shared" si="0"/>
        <v>0</v>
      </c>
    </row>
    <row r="33" spans="2:9" x14ac:dyDescent="0.2">
      <c r="B33" s="292"/>
      <c r="C33" s="81"/>
      <c r="D33" s="81"/>
      <c r="E33" s="82"/>
      <c r="F33" s="83"/>
      <c r="G33" s="21">
        <f t="shared" si="0"/>
        <v>0</v>
      </c>
    </row>
    <row r="34" spans="2:9" x14ac:dyDescent="0.2">
      <c r="B34" s="292"/>
      <c r="C34" s="81"/>
      <c r="D34" s="81"/>
      <c r="E34" s="82"/>
      <c r="F34" s="83"/>
      <c r="G34" s="21">
        <f t="shared" si="0"/>
        <v>0</v>
      </c>
    </row>
    <row r="35" spans="2:9" x14ac:dyDescent="0.2">
      <c r="B35" s="292"/>
      <c r="C35" s="81"/>
      <c r="D35" s="81"/>
      <c r="E35" s="82"/>
      <c r="F35" s="83"/>
      <c r="G35" s="21">
        <f t="shared" si="0"/>
        <v>0</v>
      </c>
      <c r="I35" s="282"/>
    </row>
    <row r="36" spans="2:9" x14ac:dyDescent="0.2">
      <c r="B36" s="292"/>
      <c r="C36" s="81"/>
      <c r="D36" s="81"/>
      <c r="E36" s="82"/>
      <c r="F36" s="83"/>
      <c r="G36" s="21">
        <f t="shared" si="0"/>
        <v>0</v>
      </c>
      <c r="I36" s="282"/>
    </row>
    <row r="37" spans="2:9" x14ac:dyDescent="0.2">
      <c r="B37" s="292"/>
      <c r="C37" s="81"/>
      <c r="D37" s="81"/>
      <c r="E37" s="82"/>
      <c r="F37" s="83"/>
      <c r="G37" s="21">
        <f t="shared" si="0"/>
        <v>0</v>
      </c>
      <c r="H37" s="282"/>
      <c r="I37" s="282"/>
    </row>
    <row r="38" spans="2:9" x14ac:dyDescent="0.2">
      <c r="B38" s="292"/>
      <c r="C38" s="81"/>
      <c r="D38" s="81"/>
      <c r="E38" s="82"/>
      <c r="F38" s="83"/>
      <c r="G38" s="21">
        <f t="shared" si="0"/>
        <v>0</v>
      </c>
      <c r="H38" s="282"/>
      <c r="I38" s="282"/>
    </row>
    <row r="39" spans="2:9" x14ac:dyDescent="0.2">
      <c r="B39" s="292"/>
      <c r="C39" s="81"/>
      <c r="D39" s="81"/>
      <c r="E39" s="82"/>
      <c r="F39" s="83"/>
      <c r="G39" s="21">
        <f t="shared" si="0"/>
        <v>0</v>
      </c>
      <c r="H39" s="282"/>
      <c r="I39" s="282"/>
    </row>
    <row r="40" spans="2:9" x14ac:dyDescent="0.2">
      <c r="B40" s="292"/>
      <c r="C40" s="81"/>
      <c r="D40" s="81"/>
      <c r="E40" s="82"/>
      <c r="F40" s="83"/>
      <c r="G40" s="21">
        <f t="shared" si="0"/>
        <v>0</v>
      </c>
      <c r="H40" s="282"/>
      <c r="I40" s="282"/>
    </row>
    <row r="41" spans="2:9" x14ac:dyDescent="0.2">
      <c r="B41" s="292"/>
      <c r="C41" s="81"/>
      <c r="D41" s="81"/>
      <c r="E41" s="82"/>
      <c r="F41" s="83"/>
      <c r="G41" s="21">
        <f t="shared" si="0"/>
        <v>0</v>
      </c>
      <c r="H41" s="282"/>
    </row>
    <row r="42" spans="2:9" x14ac:dyDescent="0.2">
      <c r="B42" s="292"/>
      <c r="C42" s="81"/>
      <c r="D42" s="81"/>
      <c r="E42" s="82"/>
      <c r="F42" s="83"/>
      <c r="G42" s="21">
        <f t="shared" si="0"/>
        <v>0</v>
      </c>
      <c r="H42" s="282"/>
    </row>
    <row r="43" spans="2:9" x14ac:dyDescent="0.2">
      <c r="B43" s="292"/>
      <c r="C43" s="81"/>
      <c r="D43" s="81"/>
      <c r="E43" s="82"/>
      <c r="F43" s="83"/>
      <c r="G43" s="21">
        <f t="shared" si="0"/>
        <v>0</v>
      </c>
    </row>
    <row r="44" spans="2:9" x14ac:dyDescent="0.2">
      <c r="B44" s="292"/>
      <c r="C44" s="81"/>
      <c r="D44" s="81"/>
      <c r="E44" s="82"/>
      <c r="F44" s="83"/>
      <c r="G44" s="21">
        <f t="shared" si="0"/>
        <v>0</v>
      </c>
    </row>
    <row r="45" spans="2:9" x14ac:dyDescent="0.2">
      <c r="B45" s="292"/>
      <c r="C45" s="81"/>
      <c r="D45" s="81"/>
      <c r="E45" s="82"/>
      <c r="F45" s="83"/>
      <c r="G45" s="21">
        <f t="shared" si="0"/>
        <v>0</v>
      </c>
    </row>
    <row r="46" spans="2:9" x14ac:dyDescent="0.2">
      <c r="B46" s="292"/>
      <c r="C46" s="81"/>
      <c r="D46" s="81"/>
      <c r="E46" s="82"/>
      <c r="F46" s="83"/>
      <c r="G46" s="21">
        <f>E46*F46</f>
        <v>0</v>
      </c>
    </row>
    <row r="47" spans="2:9" x14ac:dyDescent="0.2">
      <c r="B47" s="283" t="s">
        <v>55</v>
      </c>
      <c r="C47" s="453"/>
      <c r="D47" s="454"/>
      <c r="E47" s="21">
        <f>SUM(E15:E46)</f>
        <v>587893005.52964342</v>
      </c>
      <c r="F47" s="23"/>
      <c r="G47" s="21">
        <f>SUM(G15:G46)</f>
        <v>26151007.239180479</v>
      </c>
    </row>
  </sheetData>
  <sheetProtection sheet="1" insertRows="0" deleteRows="0"/>
  <mergeCells count="2">
    <mergeCell ref="C47:D47"/>
    <mergeCell ref="B6:D8"/>
  </mergeCells>
  <dataValidations count="1">
    <dataValidation type="list" allowBlank="1" showInputMessage="1" showErrorMessage="1" sqref="D15:D46" xr:uid="{42A323EA-653D-4477-BCDD-704DAD782099}">
      <formula1>rSharedAssets</formula1>
    </dataValidation>
  </dataValidations>
  <pageMargins left="0.75" right="0.75" top="1" bottom="1" header="0.5" footer="0.5"/>
  <pageSetup paperSize="9" scale="30"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096C9-679C-4873-9DB1-3AE597A2B5C2}">
  <sheetPr>
    <tabColor theme="5" tint="0.79998168889431442"/>
  </sheetPr>
  <dimension ref="A1:Y2"/>
  <sheetViews>
    <sheetView workbookViewId="0"/>
  </sheetViews>
  <sheetFormatPr defaultColWidth="9.28515625" defaultRowHeight="12.75" x14ac:dyDescent="0.2"/>
  <cols>
    <col min="1" max="16384" width="9.28515625" style="367"/>
  </cols>
  <sheetData>
    <row r="1" spans="1:25" x14ac:dyDescent="0.2">
      <c r="A1"/>
      <c r="Y1"/>
    </row>
    <row r="2" spans="1:25" x14ac:dyDescent="0.2">
      <c r="M2"/>
    </row>
  </sheetData>
  <pageMargins left="0.7" right="0.7" top="0.75" bottom="0.75" header="0.3" footer="0.3"/>
  <headerFooter>
    <oddFooter>&amp;C_x000D_&amp;1#&amp;"Aptos"&amp;10&amp;K008000 APA-INTERNAL</oddFooter>
  </headerFooter>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300E2-C1D6-4B36-B8B6-37ED1DBA95CD}">
  <sheetPr codeName="Sheet16">
    <tabColor rgb="FF17415D"/>
  </sheetPr>
  <dimension ref="B1:BJ50"/>
  <sheetViews>
    <sheetView showGridLines="0" zoomScaleNormal="100" workbookViewId="0">
      <pane xSplit="1" ySplit="7" topLeftCell="B8" activePane="bottomRight" state="frozen"/>
      <selection activeCell="G47" sqref="G47"/>
      <selection pane="topRight" activeCell="G47" sqref="G47"/>
      <selection pane="bottomLeft" activeCell="G47" sqref="G47"/>
      <selection pane="bottomRight"/>
    </sheetView>
  </sheetViews>
  <sheetFormatPr defaultColWidth="8.7109375" defaultRowHeight="12.75" x14ac:dyDescent="0.2"/>
  <cols>
    <col min="1" max="1" width="11.42578125" customWidth="1"/>
    <col min="2" max="2" width="22.28515625" customWidth="1"/>
    <col min="3" max="3" width="47.7109375" customWidth="1"/>
    <col min="4" max="4" width="50.5703125" customWidth="1"/>
    <col min="5" max="5" width="23.7109375" customWidth="1"/>
    <col min="6" max="13" width="9.42578125" customWidth="1"/>
    <col min="29" max="29" width="9.140625" customWidth="1"/>
    <col min="46" max="46" width="9.140625" customWidth="1"/>
    <col min="61" max="61" width="13.5703125" customWidth="1"/>
  </cols>
  <sheetData>
    <row r="1" spans="2:61" ht="20.25" customHeight="1" x14ac:dyDescent="0.2">
      <c r="B1" s="146" t="s">
        <v>52</v>
      </c>
      <c r="C1" s="146"/>
    </row>
    <row r="2" spans="2:61" ht="20.25" x14ac:dyDescent="0.2">
      <c r="B2" s="146" t="str">
        <f>IF(Tradingname=0," ",Tradingname)</f>
        <v>APT Pipelines (QLD) Pty Limited</v>
      </c>
      <c r="C2" s="146"/>
    </row>
    <row r="3" spans="2:61" ht="19.5" customHeight="1" x14ac:dyDescent="0.3">
      <c r="B3" s="146" t="s">
        <v>29</v>
      </c>
      <c r="C3" s="110">
        <f>IF(Yearending=0, "01/01/2000", Yearending)</f>
        <v>45838</v>
      </c>
    </row>
    <row r="4" spans="2:61" ht="20.25" x14ac:dyDescent="0.2">
      <c r="B4" s="102" t="s">
        <v>346</v>
      </c>
      <c r="C4" s="102"/>
    </row>
    <row r="6" spans="2:61" ht="15.75" customHeight="1" x14ac:dyDescent="0.2">
      <c r="B6" s="446" t="s">
        <v>347</v>
      </c>
      <c r="C6" s="446"/>
      <c r="D6" s="446"/>
    </row>
    <row r="7" spans="2:61" ht="15.75" customHeight="1" x14ac:dyDescent="0.2">
      <c r="B7" s="446"/>
      <c r="C7" s="446"/>
      <c r="D7" s="446"/>
    </row>
    <row r="9" spans="2:61" ht="15.75" x14ac:dyDescent="0.25">
      <c r="B9" s="207" t="s">
        <v>348</v>
      </c>
    </row>
    <row r="11" spans="2:61" ht="45" customHeight="1" x14ac:dyDescent="0.2">
      <c r="B11" s="61" t="s">
        <v>112</v>
      </c>
      <c r="C11" s="457" t="s">
        <v>309</v>
      </c>
      <c r="D11" s="458"/>
      <c r="E11" s="312" t="s">
        <v>55</v>
      </c>
      <c r="F11" s="455" t="s">
        <v>249</v>
      </c>
      <c r="G11" s="456"/>
      <c r="H11" s="456"/>
      <c r="I11" s="456"/>
      <c r="J11" s="456"/>
      <c r="K11" s="456"/>
      <c r="L11" s="456"/>
      <c r="M11" s="456"/>
      <c r="N11" s="456"/>
      <c r="O11" s="456"/>
      <c r="P11" s="456"/>
      <c r="Q11" s="456"/>
      <c r="R11" s="456"/>
      <c r="S11" s="456"/>
      <c r="T11" s="456"/>
      <c r="U11" s="456"/>
      <c r="V11" s="456"/>
      <c r="W11" s="456"/>
      <c r="X11" s="456"/>
      <c r="Y11" s="456"/>
      <c r="Z11" s="456"/>
      <c r="AA11" s="456"/>
      <c r="AB11" s="456"/>
      <c r="AC11" s="456"/>
      <c r="AD11" s="456"/>
      <c r="AE11" s="456"/>
      <c r="AF11" s="456"/>
      <c r="AG11" s="456"/>
      <c r="AH11" s="456"/>
      <c r="AI11" s="456"/>
      <c r="AJ11" s="456"/>
      <c r="AK11" s="456"/>
      <c r="AL11" s="456"/>
      <c r="AM11" s="456"/>
      <c r="AN11" s="456"/>
      <c r="AO11" s="456"/>
      <c r="AP11" s="456"/>
      <c r="AQ11" s="456"/>
      <c r="AR11" s="456"/>
      <c r="AS11" s="456"/>
      <c r="AT11" s="456"/>
      <c r="AU11" s="456"/>
      <c r="AV11" s="456"/>
      <c r="AW11" s="456"/>
      <c r="AX11" s="456"/>
      <c r="AY11" s="456"/>
      <c r="AZ11" s="456"/>
      <c r="BA11" s="456"/>
      <c r="BB11" s="456"/>
      <c r="BC11" s="456"/>
      <c r="BD11" s="456"/>
      <c r="BE11" s="456"/>
      <c r="BF11" s="456"/>
      <c r="BG11" s="456"/>
      <c r="BH11" s="456"/>
      <c r="BI11" s="313" t="s">
        <v>349</v>
      </c>
    </row>
    <row r="12" spans="2:61" x14ac:dyDescent="0.2">
      <c r="B12" s="299"/>
      <c r="C12" s="64"/>
      <c r="D12" s="64"/>
      <c r="E12" s="64"/>
      <c r="F12" s="66" t="str">
        <f>RIGHT(TEXT(C43,"dd/mm/yyyy"),4)</f>
        <v>1998</v>
      </c>
      <c r="G12" s="67">
        <f>F12+1</f>
        <v>1999</v>
      </c>
      <c r="H12" s="67">
        <f t="shared" ref="H12:BG12" si="0">G12+1</f>
        <v>2000</v>
      </c>
      <c r="I12" s="67">
        <f t="shared" si="0"/>
        <v>2001</v>
      </c>
      <c r="J12" s="67">
        <f t="shared" si="0"/>
        <v>2002</v>
      </c>
      <c r="K12" s="67">
        <f t="shared" si="0"/>
        <v>2003</v>
      </c>
      <c r="L12" s="67">
        <f t="shared" si="0"/>
        <v>2004</v>
      </c>
      <c r="M12" s="67">
        <f t="shared" si="0"/>
        <v>2005</v>
      </c>
      <c r="N12" s="67">
        <f t="shared" si="0"/>
        <v>2006</v>
      </c>
      <c r="O12" s="67">
        <f t="shared" si="0"/>
        <v>2007</v>
      </c>
      <c r="P12" s="67">
        <f t="shared" si="0"/>
        <v>2008</v>
      </c>
      <c r="Q12" s="67">
        <f t="shared" si="0"/>
        <v>2009</v>
      </c>
      <c r="R12" s="67">
        <f t="shared" si="0"/>
        <v>2010</v>
      </c>
      <c r="S12" s="67">
        <f t="shared" si="0"/>
        <v>2011</v>
      </c>
      <c r="T12" s="67">
        <f t="shared" si="0"/>
        <v>2012</v>
      </c>
      <c r="U12" s="67">
        <f t="shared" si="0"/>
        <v>2013</v>
      </c>
      <c r="V12" s="67">
        <f t="shared" si="0"/>
        <v>2014</v>
      </c>
      <c r="W12" s="67">
        <f t="shared" si="0"/>
        <v>2015</v>
      </c>
      <c r="X12" s="67">
        <f t="shared" si="0"/>
        <v>2016</v>
      </c>
      <c r="Y12" s="67">
        <f t="shared" si="0"/>
        <v>2017</v>
      </c>
      <c r="Z12" s="67">
        <f t="shared" si="0"/>
        <v>2018</v>
      </c>
      <c r="AA12" s="67">
        <f t="shared" si="0"/>
        <v>2019</v>
      </c>
      <c r="AB12" s="67">
        <f t="shared" si="0"/>
        <v>2020</v>
      </c>
      <c r="AC12" s="67">
        <f t="shared" si="0"/>
        <v>2021</v>
      </c>
      <c r="AD12" s="67">
        <f t="shared" si="0"/>
        <v>2022</v>
      </c>
      <c r="AE12" s="67">
        <f t="shared" si="0"/>
        <v>2023</v>
      </c>
      <c r="AF12" s="67">
        <f t="shared" si="0"/>
        <v>2024</v>
      </c>
      <c r="AG12" s="67">
        <f t="shared" si="0"/>
        <v>2025</v>
      </c>
      <c r="AH12" s="67">
        <f t="shared" si="0"/>
        <v>2026</v>
      </c>
      <c r="AI12" s="67">
        <f t="shared" si="0"/>
        <v>2027</v>
      </c>
      <c r="AJ12" s="67">
        <f t="shared" si="0"/>
        <v>2028</v>
      </c>
      <c r="AK12" s="67">
        <f t="shared" si="0"/>
        <v>2029</v>
      </c>
      <c r="AL12" s="67">
        <f t="shared" si="0"/>
        <v>2030</v>
      </c>
      <c r="AM12" s="67">
        <f t="shared" si="0"/>
        <v>2031</v>
      </c>
      <c r="AN12" s="67">
        <f t="shared" si="0"/>
        <v>2032</v>
      </c>
      <c r="AO12" s="67">
        <f t="shared" si="0"/>
        <v>2033</v>
      </c>
      <c r="AP12" s="67">
        <f t="shared" si="0"/>
        <v>2034</v>
      </c>
      <c r="AQ12" s="67">
        <f t="shared" si="0"/>
        <v>2035</v>
      </c>
      <c r="AR12" s="67">
        <f t="shared" si="0"/>
        <v>2036</v>
      </c>
      <c r="AS12" s="67">
        <f t="shared" si="0"/>
        <v>2037</v>
      </c>
      <c r="AT12" s="67">
        <f t="shared" si="0"/>
        <v>2038</v>
      </c>
      <c r="AU12" s="67">
        <f t="shared" si="0"/>
        <v>2039</v>
      </c>
      <c r="AV12" s="67">
        <f t="shared" si="0"/>
        <v>2040</v>
      </c>
      <c r="AW12" s="67">
        <f t="shared" si="0"/>
        <v>2041</v>
      </c>
      <c r="AX12" s="67">
        <f t="shared" si="0"/>
        <v>2042</v>
      </c>
      <c r="AY12" s="67">
        <f t="shared" si="0"/>
        <v>2043</v>
      </c>
      <c r="AZ12" s="67">
        <f t="shared" si="0"/>
        <v>2044</v>
      </c>
      <c r="BA12" s="67">
        <f t="shared" si="0"/>
        <v>2045</v>
      </c>
      <c r="BB12" s="67">
        <f t="shared" si="0"/>
        <v>2046</v>
      </c>
      <c r="BC12" s="67">
        <f t="shared" si="0"/>
        <v>2047</v>
      </c>
      <c r="BD12" s="67">
        <f t="shared" si="0"/>
        <v>2048</v>
      </c>
      <c r="BE12" s="67">
        <f t="shared" si="0"/>
        <v>2049</v>
      </c>
      <c r="BF12" s="67">
        <f t="shared" si="0"/>
        <v>2050</v>
      </c>
      <c r="BG12" s="67">
        <f t="shared" si="0"/>
        <v>2051</v>
      </c>
      <c r="BH12" s="67">
        <f>BG12+1</f>
        <v>2052</v>
      </c>
    </row>
    <row r="13" spans="2:61" x14ac:dyDescent="0.2">
      <c r="B13" s="300"/>
      <c r="C13" s="68" t="s">
        <v>201</v>
      </c>
      <c r="D13" s="69"/>
      <c r="E13" s="21"/>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row>
    <row r="14" spans="2:61" x14ac:dyDescent="0.2">
      <c r="B14" s="300"/>
      <c r="C14" s="68"/>
      <c r="D14" s="69" t="s">
        <v>350</v>
      </c>
      <c r="E14" s="21">
        <f t="shared" ref="E14:E20" si="1">SUM(F14:BH14)</f>
        <v>0</v>
      </c>
      <c r="F14" s="77"/>
      <c r="G14" s="77"/>
      <c r="H14" s="77"/>
      <c r="I14" s="77"/>
      <c r="J14" s="77"/>
      <c r="K14" s="77"/>
      <c r="L14" s="77"/>
      <c r="M14" s="77"/>
      <c r="N14" s="77"/>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77"/>
      <c r="AU14" s="77"/>
      <c r="AV14" s="77"/>
      <c r="AW14" s="77"/>
      <c r="AX14" s="77"/>
      <c r="AY14" s="77"/>
      <c r="AZ14" s="77"/>
      <c r="BA14" s="77"/>
      <c r="BB14" s="77"/>
      <c r="BC14" s="77"/>
      <c r="BD14" s="77"/>
      <c r="BE14" s="77"/>
      <c r="BF14" s="77"/>
      <c r="BG14" s="77"/>
      <c r="BH14" s="77"/>
    </row>
    <row r="15" spans="2:61" x14ac:dyDescent="0.2">
      <c r="B15" s="300"/>
      <c r="C15" s="68"/>
      <c r="D15" s="69" t="s">
        <v>351</v>
      </c>
      <c r="E15" s="21">
        <f t="shared" si="1"/>
        <v>0</v>
      </c>
      <c r="F15" s="77"/>
      <c r="G15" s="77"/>
      <c r="H15" s="77"/>
      <c r="I15" s="77"/>
      <c r="J15" s="77"/>
      <c r="K15" s="77"/>
      <c r="L15" s="77"/>
      <c r="M15" s="77"/>
      <c r="N15" s="77"/>
      <c r="O15" s="77"/>
      <c r="P15" s="77"/>
      <c r="Q15" s="77"/>
      <c r="R15" s="77"/>
      <c r="S15" s="77"/>
      <c r="T15" s="77"/>
      <c r="U15" s="77"/>
      <c r="V15" s="77"/>
      <c r="W15" s="77"/>
      <c r="X15" s="77"/>
      <c r="Y15" s="77"/>
      <c r="Z15" s="77"/>
      <c r="AA15" s="77"/>
      <c r="AB15" s="77"/>
      <c r="AC15" s="77"/>
      <c r="AD15" s="77"/>
      <c r="AE15" s="77"/>
      <c r="AF15" s="77"/>
      <c r="AG15" s="77"/>
      <c r="AH15" s="77"/>
      <c r="AI15" s="77"/>
      <c r="AJ15" s="77"/>
      <c r="AK15" s="77"/>
      <c r="AL15" s="77"/>
      <c r="AM15" s="77"/>
      <c r="AN15" s="77"/>
      <c r="AO15" s="77"/>
      <c r="AP15" s="77"/>
      <c r="AQ15" s="77"/>
      <c r="AR15" s="77"/>
      <c r="AS15" s="77"/>
      <c r="AT15" s="77"/>
      <c r="AU15" s="77"/>
      <c r="AV15" s="77"/>
      <c r="AW15" s="77"/>
      <c r="AX15" s="77"/>
      <c r="AY15" s="77"/>
      <c r="AZ15" s="77"/>
      <c r="BA15" s="77"/>
      <c r="BB15" s="77"/>
      <c r="BC15" s="77"/>
      <c r="BD15" s="77"/>
      <c r="BE15" s="77"/>
      <c r="BF15" s="77"/>
      <c r="BG15" s="77"/>
      <c r="BH15" s="77"/>
    </row>
    <row r="16" spans="2:61" x14ac:dyDescent="0.2">
      <c r="B16" s="300"/>
      <c r="C16" s="68"/>
      <c r="D16" s="69" t="s">
        <v>204</v>
      </c>
      <c r="E16" s="21">
        <f t="shared" si="1"/>
        <v>0</v>
      </c>
      <c r="F16" s="77"/>
      <c r="G16" s="77"/>
      <c r="H16" s="77"/>
      <c r="I16" s="77"/>
      <c r="J16" s="77"/>
      <c r="K16" s="77"/>
      <c r="L16" s="77"/>
      <c r="M16" s="77"/>
      <c r="N16" s="77"/>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7"/>
      <c r="BG16" s="77"/>
      <c r="BH16" s="77"/>
    </row>
    <row r="17" spans="2:62" x14ac:dyDescent="0.2">
      <c r="B17" s="300"/>
      <c r="C17" s="68"/>
      <c r="D17" s="69" t="s">
        <v>352</v>
      </c>
      <c r="E17" s="21">
        <f t="shared" si="1"/>
        <v>0</v>
      </c>
      <c r="F17" s="77"/>
      <c r="G17" s="77"/>
      <c r="H17" s="77"/>
      <c r="I17" s="77"/>
      <c r="J17" s="77"/>
      <c r="K17" s="77"/>
      <c r="L17" s="77"/>
      <c r="M17" s="77"/>
      <c r="N17" s="77"/>
      <c r="O17" s="77"/>
      <c r="P17" s="77"/>
      <c r="Q17" s="77"/>
      <c r="R17" s="77"/>
      <c r="S17" s="77"/>
      <c r="T17" s="77"/>
      <c r="U17" s="77"/>
      <c r="V17" s="77"/>
      <c r="W17" s="77"/>
      <c r="X17" s="77"/>
      <c r="Y17" s="77"/>
      <c r="Z17" s="77"/>
      <c r="AA17" s="77"/>
      <c r="AB17" s="77"/>
      <c r="AC17" s="77"/>
      <c r="AD17" s="77"/>
      <c r="AE17" s="77"/>
      <c r="AF17" s="77"/>
      <c r="AG17" s="77"/>
      <c r="AH17" s="77"/>
      <c r="AI17" s="77"/>
      <c r="AJ17" s="77"/>
      <c r="AK17" s="77"/>
      <c r="AL17" s="77"/>
      <c r="AM17" s="77"/>
      <c r="AN17" s="77"/>
      <c r="AO17" s="77"/>
      <c r="AP17" s="77"/>
      <c r="AQ17" s="77"/>
      <c r="AR17" s="77"/>
      <c r="AS17" s="77"/>
      <c r="AT17" s="77"/>
      <c r="AU17" s="77"/>
      <c r="AV17" s="77"/>
      <c r="AW17" s="77"/>
      <c r="AX17" s="77"/>
      <c r="AY17" s="77"/>
      <c r="AZ17" s="77"/>
      <c r="BA17" s="77"/>
      <c r="BB17" s="77"/>
      <c r="BC17" s="77"/>
      <c r="BD17" s="77"/>
      <c r="BE17" s="77"/>
      <c r="BF17" s="77"/>
      <c r="BG17" s="77"/>
      <c r="BH17" s="77"/>
    </row>
    <row r="18" spans="2:62" x14ac:dyDescent="0.2">
      <c r="B18" s="300"/>
      <c r="C18" s="68"/>
      <c r="D18" s="69" t="s">
        <v>353</v>
      </c>
      <c r="E18" s="21">
        <f t="shared" si="1"/>
        <v>0</v>
      </c>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7"/>
      <c r="BA18" s="77"/>
      <c r="BB18" s="77"/>
      <c r="BC18" s="77"/>
      <c r="BD18" s="77"/>
      <c r="BE18" s="77"/>
      <c r="BF18" s="77"/>
      <c r="BG18" s="77"/>
      <c r="BH18" s="77"/>
    </row>
    <row r="19" spans="2:62" x14ac:dyDescent="0.2">
      <c r="B19" s="300"/>
      <c r="C19" s="68"/>
      <c r="D19" s="69" t="s">
        <v>354</v>
      </c>
      <c r="E19" s="21">
        <f t="shared" si="1"/>
        <v>0</v>
      </c>
      <c r="F19" s="77"/>
      <c r="G19" s="77"/>
      <c r="H19" s="77"/>
      <c r="I19" s="77"/>
      <c r="J19" s="77"/>
      <c r="K19" s="77"/>
      <c r="L19" s="77"/>
      <c r="M19" s="77"/>
      <c r="N19" s="77"/>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c r="AS19" s="77"/>
      <c r="AT19" s="77"/>
      <c r="AU19" s="77"/>
      <c r="AV19" s="77"/>
      <c r="AW19" s="77"/>
      <c r="AX19" s="77"/>
      <c r="AY19" s="77"/>
      <c r="AZ19" s="77"/>
      <c r="BA19" s="77"/>
      <c r="BB19" s="77"/>
      <c r="BC19" s="77"/>
      <c r="BD19" s="77"/>
      <c r="BE19" s="77"/>
      <c r="BF19" s="77"/>
      <c r="BG19" s="77"/>
      <c r="BH19" s="77"/>
    </row>
    <row r="20" spans="2:62" x14ac:dyDescent="0.2">
      <c r="B20" s="300"/>
      <c r="C20" s="68"/>
      <c r="D20" s="222" t="s">
        <v>355</v>
      </c>
      <c r="E20" s="21">
        <f t="shared" si="1"/>
        <v>0</v>
      </c>
      <c r="F20" s="22">
        <f t="shared" ref="F20:AK20" si="2">SUM(F13:F19)</f>
        <v>0</v>
      </c>
      <c r="G20" s="22">
        <f t="shared" si="2"/>
        <v>0</v>
      </c>
      <c r="H20" s="22">
        <f t="shared" si="2"/>
        <v>0</v>
      </c>
      <c r="I20" s="22">
        <f t="shared" si="2"/>
        <v>0</v>
      </c>
      <c r="J20" s="22">
        <f t="shared" si="2"/>
        <v>0</v>
      </c>
      <c r="K20" s="22">
        <f t="shared" si="2"/>
        <v>0</v>
      </c>
      <c r="L20" s="22">
        <f t="shared" si="2"/>
        <v>0</v>
      </c>
      <c r="M20" s="22">
        <f t="shared" si="2"/>
        <v>0</v>
      </c>
      <c r="N20" s="22">
        <f t="shared" si="2"/>
        <v>0</v>
      </c>
      <c r="O20" s="22">
        <f t="shared" si="2"/>
        <v>0</v>
      </c>
      <c r="P20" s="22">
        <f t="shared" si="2"/>
        <v>0</v>
      </c>
      <c r="Q20" s="22">
        <f t="shared" si="2"/>
        <v>0</v>
      </c>
      <c r="R20" s="22">
        <f t="shared" si="2"/>
        <v>0</v>
      </c>
      <c r="S20" s="22">
        <f t="shared" si="2"/>
        <v>0</v>
      </c>
      <c r="T20" s="22">
        <f t="shared" si="2"/>
        <v>0</v>
      </c>
      <c r="U20" s="22">
        <f t="shared" si="2"/>
        <v>0</v>
      </c>
      <c r="V20" s="22">
        <f t="shared" si="2"/>
        <v>0</v>
      </c>
      <c r="W20" s="22">
        <f t="shared" si="2"/>
        <v>0</v>
      </c>
      <c r="X20" s="22">
        <f t="shared" si="2"/>
        <v>0</v>
      </c>
      <c r="Y20" s="22">
        <f t="shared" si="2"/>
        <v>0</v>
      </c>
      <c r="Z20" s="22">
        <f t="shared" si="2"/>
        <v>0</v>
      </c>
      <c r="AA20" s="22">
        <f t="shared" si="2"/>
        <v>0</v>
      </c>
      <c r="AB20" s="22">
        <f t="shared" si="2"/>
        <v>0</v>
      </c>
      <c r="AC20" s="22">
        <f t="shared" si="2"/>
        <v>0</v>
      </c>
      <c r="AD20" s="22">
        <f t="shared" si="2"/>
        <v>0</v>
      </c>
      <c r="AE20" s="22">
        <f t="shared" si="2"/>
        <v>0</v>
      </c>
      <c r="AF20" s="22">
        <f t="shared" si="2"/>
        <v>0</v>
      </c>
      <c r="AG20" s="22">
        <f t="shared" si="2"/>
        <v>0</v>
      </c>
      <c r="AH20" s="22">
        <f t="shared" si="2"/>
        <v>0</v>
      </c>
      <c r="AI20" s="22">
        <f t="shared" si="2"/>
        <v>0</v>
      </c>
      <c r="AJ20" s="22">
        <f t="shared" si="2"/>
        <v>0</v>
      </c>
      <c r="AK20" s="22">
        <f t="shared" si="2"/>
        <v>0</v>
      </c>
      <c r="AL20" s="22">
        <f t="shared" ref="AL20:BH20" si="3">SUM(AL13:AL19)</f>
        <v>0</v>
      </c>
      <c r="AM20" s="22">
        <f t="shared" si="3"/>
        <v>0</v>
      </c>
      <c r="AN20" s="22">
        <f t="shared" si="3"/>
        <v>0</v>
      </c>
      <c r="AO20" s="22">
        <f t="shared" si="3"/>
        <v>0</v>
      </c>
      <c r="AP20" s="22">
        <f t="shared" si="3"/>
        <v>0</v>
      </c>
      <c r="AQ20" s="22">
        <f t="shared" si="3"/>
        <v>0</v>
      </c>
      <c r="AR20" s="22">
        <f t="shared" si="3"/>
        <v>0</v>
      </c>
      <c r="AS20" s="22">
        <f t="shared" si="3"/>
        <v>0</v>
      </c>
      <c r="AT20" s="22">
        <f t="shared" si="3"/>
        <v>0</v>
      </c>
      <c r="AU20" s="22">
        <f t="shared" si="3"/>
        <v>0</v>
      </c>
      <c r="AV20" s="22">
        <f t="shared" si="3"/>
        <v>0</v>
      </c>
      <c r="AW20" s="22">
        <f t="shared" si="3"/>
        <v>0</v>
      </c>
      <c r="AX20" s="22">
        <f t="shared" si="3"/>
        <v>0</v>
      </c>
      <c r="AY20" s="22">
        <f t="shared" si="3"/>
        <v>0</v>
      </c>
      <c r="AZ20" s="22">
        <f t="shared" si="3"/>
        <v>0</v>
      </c>
      <c r="BA20" s="22">
        <f t="shared" si="3"/>
        <v>0</v>
      </c>
      <c r="BB20" s="22">
        <f t="shared" si="3"/>
        <v>0</v>
      </c>
      <c r="BC20" s="22">
        <f t="shared" si="3"/>
        <v>0</v>
      </c>
      <c r="BD20" s="22">
        <f t="shared" si="3"/>
        <v>0</v>
      </c>
      <c r="BE20" s="22">
        <f t="shared" si="3"/>
        <v>0</v>
      </c>
      <c r="BF20" s="22">
        <f t="shared" si="3"/>
        <v>0</v>
      </c>
      <c r="BG20" s="22">
        <f t="shared" si="3"/>
        <v>0</v>
      </c>
      <c r="BH20" s="22">
        <f t="shared" si="3"/>
        <v>0</v>
      </c>
    </row>
    <row r="21" spans="2:62" x14ac:dyDescent="0.2">
      <c r="B21" s="300"/>
      <c r="C21" s="68" t="s">
        <v>356</v>
      </c>
      <c r="D21" s="68"/>
      <c r="E21" s="21"/>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row>
    <row r="22" spans="2:62" ht="25.5" x14ac:dyDescent="0.2">
      <c r="B22" s="300"/>
      <c r="C22" s="68"/>
      <c r="D22" s="69" t="s">
        <v>357</v>
      </c>
      <c r="E22" s="21">
        <f t="shared" ref="E22:E27" si="4">SUM(F22:BH22)</f>
        <v>0</v>
      </c>
      <c r="F22" s="77"/>
      <c r="G22" s="77"/>
      <c r="H22" s="77"/>
      <c r="I22" s="77"/>
      <c r="J22" s="77"/>
      <c r="K22" s="77"/>
      <c r="L22" s="77"/>
      <c r="M22" s="7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7"/>
      <c r="AM22" s="77"/>
      <c r="AN22" s="77"/>
      <c r="AO22" s="77"/>
      <c r="AP22" s="77"/>
      <c r="AQ22" s="77"/>
      <c r="AR22" s="77"/>
      <c r="AS22" s="77"/>
      <c r="AT22" s="77"/>
      <c r="AU22" s="77"/>
      <c r="AV22" s="77"/>
      <c r="AW22" s="77"/>
      <c r="AX22" s="77"/>
      <c r="AY22" s="77"/>
      <c r="AZ22" s="77"/>
      <c r="BA22" s="77"/>
      <c r="BB22" s="77"/>
      <c r="BC22" s="77"/>
      <c r="BD22" s="77"/>
      <c r="BE22" s="77"/>
      <c r="BF22" s="77"/>
      <c r="BG22" s="77"/>
      <c r="BH22" s="77"/>
    </row>
    <row r="23" spans="2:62" x14ac:dyDescent="0.2">
      <c r="B23" s="300"/>
      <c r="C23" s="68"/>
      <c r="D23" s="69" t="s">
        <v>351</v>
      </c>
      <c r="E23" s="21">
        <f t="shared" si="4"/>
        <v>0</v>
      </c>
      <c r="F23" s="77"/>
      <c r="G23" s="77"/>
      <c r="H23" s="77"/>
      <c r="I23" s="77"/>
      <c r="J23" s="77"/>
      <c r="K23" s="77"/>
      <c r="L23" s="77"/>
      <c r="M23" s="77"/>
      <c r="N23" s="77"/>
      <c r="O23" s="77"/>
      <c r="P23" s="77"/>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77"/>
      <c r="AP23" s="77"/>
      <c r="AQ23" s="77"/>
      <c r="AR23" s="77"/>
      <c r="AS23" s="77"/>
      <c r="AT23" s="77"/>
      <c r="AU23" s="77"/>
      <c r="AV23" s="77"/>
      <c r="AW23" s="77"/>
      <c r="AX23" s="77"/>
      <c r="AY23" s="77"/>
      <c r="AZ23" s="77"/>
      <c r="BA23" s="77"/>
      <c r="BB23" s="77"/>
      <c r="BC23" s="77"/>
      <c r="BD23" s="77"/>
      <c r="BE23" s="77"/>
      <c r="BF23" s="77"/>
      <c r="BG23" s="77"/>
      <c r="BH23" s="77"/>
    </row>
    <row r="24" spans="2:62" x14ac:dyDescent="0.2">
      <c r="B24" s="300"/>
      <c r="C24" s="68"/>
      <c r="D24" s="69" t="s">
        <v>204</v>
      </c>
      <c r="E24" s="21">
        <f t="shared" si="4"/>
        <v>0</v>
      </c>
      <c r="F24" s="77"/>
      <c r="G24" s="77"/>
      <c r="H24" s="77"/>
      <c r="I24" s="77"/>
      <c r="J24" s="77"/>
      <c r="K24" s="77"/>
      <c r="L24" s="77"/>
      <c r="M24" s="77"/>
      <c r="N24" s="77"/>
      <c r="O24" s="77"/>
      <c r="P24" s="77"/>
      <c r="Q24" s="77"/>
      <c r="R24" s="77"/>
      <c r="S24" s="77"/>
      <c r="T24" s="77"/>
      <c r="U24" s="77"/>
      <c r="V24" s="77"/>
      <c r="W24" s="77"/>
      <c r="X24" s="77"/>
      <c r="Y24" s="77"/>
      <c r="Z24" s="77"/>
      <c r="AA24" s="77"/>
      <c r="AB24" s="77"/>
      <c r="AC24" s="77"/>
      <c r="AD24" s="77"/>
      <c r="AE24" s="77"/>
      <c r="AF24" s="77"/>
      <c r="AG24" s="77"/>
      <c r="AH24" s="77"/>
      <c r="AI24" s="77"/>
      <c r="AJ24" s="77"/>
      <c r="AK24" s="77"/>
      <c r="AL24" s="77"/>
      <c r="AM24" s="77"/>
      <c r="AN24" s="77"/>
      <c r="AO24" s="77"/>
      <c r="AP24" s="77"/>
      <c r="AQ24" s="77"/>
      <c r="AR24" s="77"/>
      <c r="AS24" s="77"/>
      <c r="AT24" s="77"/>
      <c r="AU24" s="77"/>
      <c r="AV24" s="77"/>
      <c r="AW24" s="77"/>
      <c r="AX24" s="77"/>
      <c r="AY24" s="77"/>
      <c r="AZ24" s="77"/>
      <c r="BA24" s="77"/>
      <c r="BB24" s="77"/>
      <c r="BC24" s="77"/>
      <c r="BD24" s="77"/>
      <c r="BE24" s="77"/>
      <c r="BF24" s="77"/>
      <c r="BG24" s="77"/>
      <c r="BH24" s="77"/>
    </row>
    <row r="25" spans="2:62" x14ac:dyDescent="0.2">
      <c r="B25" s="300"/>
      <c r="C25" s="68"/>
      <c r="D25" s="69" t="s">
        <v>352</v>
      </c>
      <c r="E25" s="21">
        <f t="shared" si="4"/>
        <v>0</v>
      </c>
      <c r="F25" s="77"/>
      <c r="G25" s="77"/>
      <c r="H25" s="77"/>
      <c r="I25" s="77"/>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77"/>
      <c r="AP25" s="77"/>
      <c r="AQ25" s="77"/>
      <c r="AR25" s="77"/>
      <c r="AS25" s="77"/>
      <c r="AT25" s="77"/>
      <c r="AU25" s="77"/>
      <c r="AV25" s="77"/>
      <c r="AW25" s="77"/>
      <c r="AX25" s="77"/>
      <c r="AY25" s="77"/>
      <c r="AZ25" s="77"/>
      <c r="BA25" s="77"/>
      <c r="BB25" s="77"/>
      <c r="BC25" s="77"/>
      <c r="BD25" s="77"/>
      <c r="BE25" s="77"/>
      <c r="BF25" s="77"/>
      <c r="BG25" s="77"/>
      <c r="BH25" s="77"/>
    </row>
    <row r="26" spans="2:62" x14ac:dyDescent="0.2">
      <c r="B26" s="300"/>
      <c r="C26" s="68"/>
      <c r="D26" s="69" t="s">
        <v>353</v>
      </c>
      <c r="E26" s="21">
        <f t="shared" si="4"/>
        <v>0</v>
      </c>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77"/>
      <c r="AP26" s="77"/>
      <c r="AQ26" s="77"/>
      <c r="AR26" s="77"/>
      <c r="AS26" s="77"/>
      <c r="AT26" s="77"/>
      <c r="AU26" s="77"/>
      <c r="AV26" s="77"/>
      <c r="AW26" s="77"/>
      <c r="AX26" s="77"/>
      <c r="AY26" s="77"/>
      <c r="AZ26" s="77"/>
      <c r="BA26" s="77"/>
      <c r="BB26" s="77"/>
      <c r="BC26" s="77"/>
      <c r="BD26" s="77"/>
      <c r="BE26" s="77"/>
      <c r="BF26" s="77"/>
      <c r="BG26" s="77"/>
      <c r="BH26" s="77"/>
    </row>
    <row r="27" spans="2:62" x14ac:dyDescent="0.2">
      <c r="B27" s="300"/>
      <c r="C27" s="68"/>
      <c r="D27" s="69" t="s">
        <v>354</v>
      </c>
      <c r="E27" s="21">
        <f t="shared" si="4"/>
        <v>0</v>
      </c>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7"/>
      <c r="AO27" s="77"/>
      <c r="AP27" s="77"/>
      <c r="AQ27" s="77"/>
      <c r="AR27" s="77"/>
      <c r="AS27" s="77"/>
      <c r="AT27" s="77"/>
      <c r="AU27" s="77"/>
      <c r="AV27" s="77"/>
      <c r="AW27" s="77"/>
      <c r="AX27" s="77"/>
      <c r="AY27" s="77"/>
      <c r="AZ27" s="77"/>
      <c r="BA27" s="77"/>
      <c r="BB27" s="77"/>
      <c r="BC27" s="77"/>
      <c r="BD27" s="77"/>
      <c r="BE27" s="77"/>
      <c r="BF27" s="77"/>
      <c r="BG27" s="77"/>
      <c r="BH27" s="77"/>
    </row>
    <row r="28" spans="2:62" x14ac:dyDescent="0.2">
      <c r="B28" s="300"/>
      <c r="C28" s="68"/>
      <c r="D28" s="222" t="s">
        <v>358</v>
      </c>
      <c r="E28" s="21">
        <f>SUM(F28:BH28)</f>
        <v>0</v>
      </c>
      <c r="F28" s="22">
        <f>SUM(F22:F27)</f>
        <v>0</v>
      </c>
      <c r="G28" s="22">
        <f t="shared" ref="G28:BH28" si="5">SUM(G22:G27)</f>
        <v>0</v>
      </c>
      <c r="H28" s="22">
        <f t="shared" si="5"/>
        <v>0</v>
      </c>
      <c r="I28" s="22">
        <f t="shared" si="5"/>
        <v>0</v>
      </c>
      <c r="J28" s="22">
        <f t="shared" si="5"/>
        <v>0</v>
      </c>
      <c r="K28" s="22">
        <f t="shared" si="5"/>
        <v>0</v>
      </c>
      <c r="L28" s="22">
        <f t="shared" si="5"/>
        <v>0</v>
      </c>
      <c r="M28" s="22">
        <f t="shared" si="5"/>
        <v>0</v>
      </c>
      <c r="N28" s="22">
        <f t="shared" si="5"/>
        <v>0</v>
      </c>
      <c r="O28" s="22">
        <f t="shared" si="5"/>
        <v>0</v>
      </c>
      <c r="P28" s="22">
        <f t="shared" si="5"/>
        <v>0</v>
      </c>
      <c r="Q28" s="22">
        <f t="shared" si="5"/>
        <v>0</v>
      </c>
      <c r="R28" s="22">
        <f t="shared" si="5"/>
        <v>0</v>
      </c>
      <c r="S28" s="22">
        <f t="shared" si="5"/>
        <v>0</v>
      </c>
      <c r="T28" s="22">
        <f t="shared" si="5"/>
        <v>0</v>
      </c>
      <c r="U28" s="22">
        <f t="shared" si="5"/>
        <v>0</v>
      </c>
      <c r="V28" s="22">
        <f t="shared" si="5"/>
        <v>0</v>
      </c>
      <c r="W28" s="22">
        <f t="shared" si="5"/>
        <v>0</v>
      </c>
      <c r="X28" s="22">
        <f t="shared" si="5"/>
        <v>0</v>
      </c>
      <c r="Y28" s="22">
        <f t="shared" si="5"/>
        <v>0</v>
      </c>
      <c r="Z28" s="22">
        <f t="shared" si="5"/>
        <v>0</v>
      </c>
      <c r="AA28" s="22">
        <f t="shared" si="5"/>
        <v>0</v>
      </c>
      <c r="AB28" s="22">
        <f t="shared" si="5"/>
        <v>0</v>
      </c>
      <c r="AC28" s="22">
        <f t="shared" si="5"/>
        <v>0</v>
      </c>
      <c r="AD28" s="22">
        <f t="shared" si="5"/>
        <v>0</v>
      </c>
      <c r="AE28" s="22">
        <f t="shared" si="5"/>
        <v>0</v>
      </c>
      <c r="AF28" s="22">
        <f t="shared" si="5"/>
        <v>0</v>
      </c>
      <c r="AG28" s="22">
        <f t="shared" si="5"/>
        <v>0</v>
      </c>
      <c r="AH28" s="22">
        <f t="shared" si="5"/>
        <v>0</v>
      </c>
      <c r="AI28" s="22">
        <f t="shared" si="5"/>
        <v>0</v>
      </c>
      <c r="AJ28" s="22">
        <f t="shared" si="5"/>
        <v>0</v>
      </c>
      <c r="AK28" s="22">
        <f t="shared" si="5"/>
        <v>0</v>
      </c>
      <c r="AL28" s="22">
        <f t="shared" si="5"/>
        <v>0</v>
      </c>
      <c r="AM28" s="22">
        <f t="shared" si="5"/>
        <v>0</v>
      </c>
      <c r="AN28" s="22">
        <f t="shared" si="5"/>
        <v>0</v>
      </c>
      <c r="AO28" s="22">
        <f t="shared" si="5"/>
        <v>0</v>
      </c>
      <c r="AP28" s="22">
        <f t="shared" si="5"/>
        <v>0</v>
      </c>
      <c r="AQ28" s="22">
        <f t="shared" si="5"/>
        <v>0</v>
      </c>
      <c r="AR28" s="22">
        <f t="shared" si="5"/>
        <v>0</v>
      </c>
      <c r="AS28" s="22">
        <f t="shared" si="5"/>
        <v>0</v>
      </c>
      <c r="AT28" s="22">
        <f t="shared" si="5"/>
        <v>0</v>
      </c>
      <c r="AU28" s="22">
        <f t="shared" si="5"/>
        <v>0</v>
      </c>
      <c r="AV28" s="22">
        <f t="shared" si="5"/>
        <v>0</v>
      </c>
      <c r="AW28" s="22">
        <f t="shared" si="5"/>
        <v>0</v>
      </c>
      <c r="AX28" s="22">
        <f t="shared" si="5"/>
        <v>0</v>
      </c>
      <c r="AY28" s="22">
        <f t="shared" si="5"/>
        <v>0</v>
      </c>
      <c r="AZ28" s="22">
        <f t="shared" si="5"/>
        <v>0</v>
      </c>
      <c r="BA28" s="22">
        <f t="shared" si="5"/>
        <v>0</v>
      </c>
      <c r="BB28" s="22">
        <f t="shared" si="5"/>
        <v>0</v>
      </c>
      <c r="BC28" s="22">
        <f t="shared" si="5"/>
        <v>0</v>
      </c>
      <c r="BD28" s="22">
        <f t="shared" si="5"/>
        <v>0</v>
      </c>
      <c r="BE28" s="22">
        <f t="shared" si="5"/>
        <v>0</v>
      </c>
      <c r="BF28" s="22">
        <f t="shared" si="5"/>
        <v>0</v>
      </c>
      <c r="BG28" s="22">
        <f t="shared" si="5"/>
        <v>0</v>
      </c>
      <c r="BH28" s="22">
        <f t="shared" si="5"/>
        <v>0</v>
      </c>
    </row>
    <row r="29" spans="2:62" x14ac:dyDescent="0.2">
      <c r="B29" s="300"/>
      <c r="C29" s="68"/>
      <c r="D29" s="68" t="s">
        <v>69</v>
      </c>
      <c r="E29" s="21">
        <f>E20+E28</f>
        <v>0</v>
      </c>
      <c r="F29" s="21">
        <f>F20+F28</f>
        <v>0</v>
      </c>
      <c r="G29" s="21">
        <f t="shared" ref="G29:AJ29" si="6">G20+G28</f>
        <v>0</v>
      </c>
      <c r="H29" s="21">
        <f t="shared" si="6"/>
        <v>0</v>
      </c>
      <c r="I29" s="21">
        <f t="shared" si="6"/>
        <v>0</v>
      </c>
      <c r="J29" s="21">
        <f t="shared" si="6"/>
        <v>0</v>
      </c>
      <c r="K29" s="21">
        <f t="shared" si="6"/>
        <v>0</v>
      </c>
      <c r="L29" s="21">
        <f t="shared" si="6"/>
        <v>0</v>
      </c>
      <c r="M29" s="21">
        <f t="shared" si="6"/>
        <v>0</v>
      </c>
      <c r="N29" s="21">
        <f t="shared" si="6"/>
        <v>0</v>
      </c>
      <c r="O29" s="21">
        <f t="shared" si="6"/>
        <v>0</v>
      </c>
      <c r="P29" s="21">
        <f t="shared" si="6"/>
        <v>0</v>
      </c>
      <c r="Q29" s="21">
        <f t="shared" si="6"/>
        <v>0</v>
      </c>
      <c r="R29" s="21">
        <f t="shared" si="6"/>
        <v>0</v>
      </c>
      <c r="S29" s="21">
        <f t="shared" si="6"/>
        <v>0</v>
      </c>
      <c r="T29" s="21">
        <f t="shared" si="6"/>
        <v>0</v>
      </c>
      <c r="U29" s="21">
        <f t="shared" si="6"/>
        <v>0</v>
      </c>
      <c r="V29" s="21">
        <f t="shared" si="6"/>
        <v>0</v>
      </c>
      <c r="W29" s="21">
        <f t="shared" si="6"/>
        <v>0</v>
      </c>
      <c r="X29" s="21">
        <f t="shared" si="6"/>
        <v>0</v>
      </c>
      <c r="Y29" s="21">
        <f t="shared" si="6"/>
        <v>0</v>
      </c>
      <c r="Z29" s="21">
        <f t="shared" si="6"/>
        <v>0</v>
      </c>
      <c r="AA29" s="21">
        <f t="shared" si="6"/>
        <v>0</v>
      </c>
      <c r="AB29" s="21">
        <f t="shared" si="6"/>
        <v>0</v>
      </c>
      <c r="AC29" s="21">
        <f t="shared" si="6"/>
        <v>0</v>
      </c>
      <c r="AD29" s="21">
        <f t="shared" si="6"/>
        <v>0</v>
      </c>
      <c r="AE29" s="21">
        <f t="shared" si="6"/>
        <v>0</v>
      </c>
      <c r="AF29" s="21">
        <f t="shared" si="6"/>
        <v>0</v>
      </c>
      <c r="AG29" s="21">
        <f t="shared" si="6"/>
        <v>0</v>
      </c>
      <c r="AH29" s="21">
        <f t="shared" si="6"/>
        <v>0</v>
      </c>
      <c r="AI29" s="21">
        <f t="shared" si="6"/>
        <v>0</v>
      </c>
      <c r="AJ29" s="21">
        <f t="shared" si="6"/>
        <v>0</v>
      </c>
      <c r="AK29" s="21">
        <f t="shared" ref="AK29:BH29" si="7">AK20+AK28</f>
        <v>0</v>
      </c>
      <c r="AL29" s="21">
        <f t="shared" si="7"/>
        <v>0</v>
      </c>
      <c r="AM29" s="21">
        <f t="shared" si="7"/>
        <v>0</v>
      </c>
      <c r="AN29" s="21">
        <f t="shared" si="7"/>
        <v>0</v>
      </c>
      <c r="AO29" s="21">
        <f t="shared" si="7"/>
        <v>0</v>
      </c>
      <c r="AP29" s="21">
        <f t="shared" si="7"/>
        <v>0</v>
      </c>
      <c r="AQ29" s="21">
        <f t="shared" si="7"/>
        <v>0</v>
      </c>
      <c r="AR29" s="21">
        <f t="shared" si="7"/>
        <v>0</v>
      </c>
      <c r="AS29" s="21">
        <f t="shared" si="7"/>
        <v>0</v>
      </c>
      <c r="AT29" s="21">
        <f t="shared" si="7"/>
        <v>0</v>
      </c>
      <c r="AU29" s="21">
        <f t="shared" si="7"/>
        <v>0</v>
      </c>
      <c r="AV29" s="21">
        <f t="shared" si="7"/>
        <v>0</v>
      </c>
      <c r="AW29" s="21">
        <f t="shared" si="7"/>
        <v>0</v>
      </c>
      <c r="AX29" s="21">
        <f t="shared" si="7"/>
        <v>0</v>
      </c>
      <c r="AY29" s="21">
        <f t="shared" si="7"/>
        <v>0</v>
      </c>
      <c r="AZ29" s="21">
        <f t="shared" si="7"/>
        <v>0</v>
      </c>
      <c r="BA29" s="21">
        <f t="shared" si="7"/>
        <v>0</v>
      </c>
      <c r="BB29" s="21">
        <f t="shared" si="7"/>
        <v>0</v>
      </c>
      <c r="BC29" s="21">
        <f t="shared" si="7"/>
        <v>0</v>
      </c>
      <c r="BD29" s="21">
        <f t="shared" si="7"/>
        <v>0</v>
      </c>
      <c r="BE29" s="21">
        <f t="shared" si="7"/>
        <v>0</v>
      </c>
      <c r="BF29" s="21">
        <f t="shared" si="7"/>
        <v>0</v>
      </c>
      <c r="BG29" s="21">
        <f t="shared" si="7"/>
        <v>0</v>
      </c>
      <c r="BH29" s="21">
        <f t="shared" si="7"/>
        <v>0</v>
      </c>
    </row>
    <row r="30" spans="2:62" x14ac:dyDescent="0.2">
      <c r="B30" s="300"/>
      <c r="C30" s="68" t="s">
        <v>359</v>
      </c>
      <c r="D30" s="68"/>
      <c r="E30" s="21"/>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row>
    <row r="31" spans="2:62" x14ac:dyDescent="0.2">
      <c r="B31" s="300"/>
      <c r="C31" s="68"/>
      <c r="D31" s="70" t="s">
        <v>116</v>
      </c>
      <c r="E31" s="21">
        <f t="shared" ref="E31:E37" si="8">SUM(F31:BH31)</f>
        <v>0</v>
      </c>
      <c r="F31" s="77"/>
      <c r="G31" s="77"/>
      <c r="H31" s="77"/>
      <c r="I31" s="77"/>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c r="AS31" s="77"/>
      <c r="AT31" s="77"/>
      <c r="AU31" s="77"/>
      <c r="AV31" s="77"/>
      <c r="AW31" s="77"/>
      <c r="AX31" s="77"/>
      <c r="AY31" s="77"/>
      <c r="AZ31" s="77"/>
      <c r="BA31" s="77"/>
      <c r="BB31" s="77"/>
      <c r="BC31" s="77"/>
      <c r="BD31" s="77"/>
      <c r="BE31" s="77"/>
      <c r="BF31" s="77"/>
      <c r="BG31" s="77"/>
      <c r="BH31" s="77"/>
    </row>
    <row r="32" spans="2:62" x14ac:dyDescent="0.2">
      <c r="B32" s="300"/>
      <c r="C32" s="68"/>
      <c r="D32" s="70" t="s">
        <v>360</v>
      </c>
      <c r="E32" s="21">
        <f t="shared" si="8"/>
        <v>0</v>
      </c>
      <c r="F32" s="77"/>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c r="AL32" s="77"/>
      <c r="AM32" s="77"/>
      <c r="AN32" s="77"/>
      <c r="AO32" s="77"/>
      <c r="AP32" s="77"/>
      <c r="AQ32" s="77"/>
      <c r="AR32" s="77"/>
      <c r="AS32" s="77"/>
      <c r="AT32" s="77"/>
      <c r="AU32" s="77"/>
      <c r="AV32" s="77"/>
      <c r="AW32" s="77"/>
      <c r="AX32" s="77"/>
      <c r="AY32" s="77"/>
      <c r="AZ32" s="77"/>
      <c r="BA32" s="77"/>
      <c r="BB32" s="77"/>
      <c r="BC32" s="77"/>
      <c r="BD32" s="77"/>
      <c r="BE32" s="77"/>
      <c r="BF32" s="77"/>
      <c r="BG32" s="77"/>
      <c r="BH32" s="77"/>
      <c r="BJ32" s="15"/>
    </row>
    <row r="33" spans="2:60" x14ac:dyDescent="0.2">
      <c r="B33" s="300"/>
      <c r="C33" s="68"/>
      <c r="D33" s="70" t="s">
        <v>361</v>
      </c>
      <c r="E33" s="21">
        <f t="shared" si="8"/>
        <v>0</v>
      </c>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77"/>
      <c r="AO33" s="77"/>
      <c r="AP33" s="77"/>
      <c r="AQ33" s="77"/>
      <c r="AR33" s="77"/>
      <c r="AS33" s="77"/>
      <c r="AT33" s="77"/>
      <c r="AU33" s="77"/>
      <c r="AV33" s="77"/>
      <c r="AW33" s="77"/>
      <c r="AX33" s="77"/>
      <c r="AY33" s="77"/>
      <c r="AZ33" s="77"/>
      <c r="BA33" s="77"/>
      <c r="BB33" s="77"/>
      <c r="BC33" s="77"/>
      <c r="BD33" s="77"/>
      <c r="BE33" s="77"/>
      <c r="BF33" s="77"/>
      <c r="BG33" s="77"/>
      <c r="BH33" s="77"/>
    </row>
    <row r="34" spans="2:60" x14ac:dyDescent="0.2">
      <c r="B34" s="300"/>
      <c r="C34" s="68"/>
      <c r="D34" s="69" t="s">
        <v>362</v>
      </c>
      <c r="E34" s="21">
        <f t="shared" si="8"/>
        <v>0</v>
      </c>
      <c r="F34" s="77"/>
      <c r="G34" s="77"/>
      <c r="H34" s="77"/>
      <c r="I34" s="77"/>
      <c r="J34" s="77"/>
      <c r="K34" s="77"/>
      <c r="L34" s="77"/>
      <c r="M34" s="77"/>
      <c r="N34" s="77"/>
      <c r="O34" s="77"/>
      <c r="P34" s="77"/>
      <c r="Q34" s="77"/>
      <c r="R34" s="77"/>
      <c r="S34" s="77"/>
      <c r="T34" s="77"/>
      <c r="U34" s="77"/>
      <c r="V34" s="77"/>
      <c r="W34" s="77"/>
      <c r="X34" s="77"/>
      <c r="Y34" s="77"/>
      <c r="Z34" s="77"/>
      <c r="AA34" s="77"/>
      <c r="AB34" s="77"/>
      <c r="AC34" s="77"/>
      <c r="AD34" s="77"/>
      <c r="AE34" s="77"/>
      <c r="AF34" s="77"/>
      <c r="AG34" s="77"/>
      <c r="AH34" s="77"/>
      <c r="AI34" s="77"/>
      <c r="AJ34" s="77"/>
      <c r="AK34" s="77"/>
      <c r="AL34" s="77"/>
      <c r="AM34" s="77"/>
      <c r="AN34" s="77"/>
      <c r="AO34" s="77"/>
      <c r="AP34" s="77"/>
      <c r="AQ34" s="77"/>
      <c r="AR34" s="77"/>
      <c r="AS34" s="77"/>
      <c r="AT34" s="77"/>
      <c r="AU34" s="77"/>
      <c r="AV34" s="77"/>
      <c r="AW34" s="77"/>
      <c r="AX34" s="77"/>
      <c r="AY34" s="77"/>
      <c r="AZ34" s="77"/>
      <c r="BA34" s="77"/>
      <c r="BB34" s="77"/>
      <c r="BC34" s="77"/>
      <c r="BD34" s="77"/>
      <c r="BE34" s="77"/>
      <c r="BF34" s="77"/>
      <c r="BG34" s="77"/>
      <c r="BH34" s="77"/>
    </row>
    <row r="35" spans="2:60" x14ac:dyDescent="0.2">
      <c r="B35" s="300"/>
      <c r="C35" s="68"/>
      <c r="D35" s="70" t="s">
        <v>363</v>
      </c>
      <c r="E35" s="21">
        <f t="shared" si="8"/>
        <v>0</v>
      </c>
      <c r="F35" s="77"/>
      <c r="G35" s="77"/>
      <c r="H35" s="77"/>
      <c r="I35" s="77"/>
      <c r="J35" s="77"/>
      <c r="K35" s="77"/>
      <c r="L35" s="77"/>
      <c r="M35" s="77"/>
      <c r="N35" s="77"/>
      <c r="O35" s="77"/>
      <c r="P35" s="77"/>
      <c r="Q35" s="77"/>
      <c r="R35" s="77"/>
      <c r="S35" s="77"/>
      <c r="T35" s="77"/>
      <c r="U35" s="77"/>
      <c r="V35" s="77"/>
      <c r="W35" s="77"/>
      <c r="X35" s="77"/>
      <c r="Y35" s="77"/>
      <c r="Z35" s="77"/>
      <c r="AA35" s="77"/>
      <c r="AB35" s="77"/>
      <c r="AC35" s="77"/>
      <c r="AD35" s="77"/>
      <c r="AE35" s="77"/>
      <c r="AF35" s="77"/>
      <c r="AG35" s="77"/>
      <c r="AH35" s="77"/>
      <c r="AI35" s="77"/>
      <c r="AJ35" s="77"/>
      <c r="AK35" s="77"/>
      <c r="AL35" s="77"/>
      <c r="AM35" s="77"/>
      <c r="AN35" s="77"/>
      <c r="AO35" s="77"/>
      <c r="AP35" s="77"/>
      <c r="AQ35" s="77"/>
      <c r="AR35" s="77"/>
      <c r="AS35" s="77"/>
      <c r="AT35" s="77"/>
      <c r="AU35" s="77"/>
      <c r="AV35" s="77"/>
      <c r="AW35" s="77"/>
      <c r="AX35" s="77"/>
      <c r="AY35" s="77"/>
      <c r="AZ35" s="77"/>
      <c r="BA35" s="77"/>
      <c r="BB35" s="77"/>
      <c r="BC35" s="77"/>
      <c r="BD35" s="77"/>
      <c r="BE35" s="77"/>
      <c r="BF35" s="77"/>
      <c r="BG35" s="77"/>
      <c r="BH35" s="77"/>
    </row>
    <row r="36" spans="2:60" x14ac:dyDescent="0.2">
      <c r="B36" s="300"/>
      <c r="C36" s="68"/>
      <c r="D36" s="68" t="s">
        <v>364</v>
      </c>
      <c r="E36" s="21">
        <f t="shared" si="8"/>
        <v>0</v>
      </c>
      <c r="F36" s="22">
        <f>SUM(F31:F35)</f>
        <v>0</v>
      </c>
      <c r="G36" s="22">
        <f t="shared" ref="G36:AK36" si="9">SUM(G31:G35)</f>
        <v>0</v>
      </c>
      <c r="H36" s="22">
        <f t="shared" si="9"/>
        <v>0</v>
      </c>
      <c r="I36" s="22">
        <f t="shared" si="9"/>
        <v>0</v>
      </c>
      <c r="J36" s="22">
        <f t="shared" si="9"/>
        <v>0</v>
      </c>
      <c r="K36" s="22">
        <f t="shared" si="9"/>
        <v>0</v>
      </c>
      <c r="L36" s="22">
        <f t="shared" si="9"/>
        <v>0</v>
      </c>
      <c r="M36" s="22">
        <f t="shared" si="9"/>
        <v>0</v>
      </c>
      <c r="N36" s="22">
        <f t="shared" si="9"/>
        <v>0</v>
      </c>
      <c r="O36" s="22">
        <f t="shared" si="9"/>
        <v>0</v>
      </c>
      <c r="P36" s="22">
        <f t="shared" si="9"/>
        <v>0</v>
      </c>
      <c r="Q36" s="22">
        <f t="shared" si="9"/>
        <v>0</v>
      </c>
      <c r="R36" s="22">
        <f t="shared" si="9"/>
        <v>0</v>
      </c>
      <c r="S36" s="22">
        <f t="shared" si="9"/>
        <v>0</v>
      </c>
      <c r="T36" s="22">
        <f t="shared" si="9"/>
        <v>0</v>
      </c>
      <c r="U36" s="22">
        <f t="shared" si="9"/>
        <v>0</v>
      </c>
      <c r="V36" s="22">
        <f t="shared" si="9"/>
        <v>0</v>
      </c>
      <c r="W36" s="22">
        <f t="shared" si="9"/>
        <v>0</v>
      </c>
      <c r="X36" s="22">
        <f t="shared" si="9"/>
        <v>0</v>
      </c>
      <c r="Y36" s="22">
        <f t="shared" si="9"/>
        <v>0</v>
      </c>
      <c r="Z36" s="22">
        <f t="shared" si="9"/>
        <v>0</v>
      </c>
      <c r="AA36" s="22">
        <f t="shared" si="9"/>
        <v>0</v>
      </c>
      <c r="AB36" s="22">
        <f t="shared" si="9"/>
        <v>0</v>
      </c>
      <c r="AC36" s="22">
        <f t="shared" si="9"/>
        <v>0</v>
      </c>
      <c r="AD36" s="22">
        <f t="shared" si="9"/>
        <v>0</v>
      </c>
      <c r="AE36" s="22">
        <f t="shared" si="9"/>
        <v>0</v>
      </c>
      <c r="AF36" s="22">
        <f t="shared" si="9"/>
        <v>0</v>
      </c>
      <c r="AG36" s="22">
        <f t="shared" si="9"/>
        <v>0</v>
      </c>
      <c r="AH36" s="22">
        <f t="shared" si="9"/>
        <v>0</v>
      </c>
      <c r="AI36" s="22">
        <f t="shared" si="9"/>
        <v>0</v>
      </c>
      <c r="AJ36" s="22">
        <f t="shared" si="9"/>
        <v>0</v>
      </c>
      <c r="AK36" s="22">
        <f t="shared" si="9"/>
        <v>0</v>
      </c>
      <c r="AL36" s="22">
        <f t="shared" ref="AL36:BH36" si="10">SUM(AL31:AL35)</f>
        <v>0</v>
      </c>
      <c r="AM36" s="22">
        <f t="shared" si="10"/>
        <v>0</v>
      </c>
      <c r="AN36" s="22">
        <f t="shared" si="10"/>
        <v>0</v>
      </c>
      <c r="AO36" s="22">
        <f t="shared" si="10"/>
        <v>0</v>
      </c>
      <c r="AP36" s="22">
        <f t="shared" si="10"/>
        <v>0</v>
      </c>
      <c r="AQ36" s="22">
        <f t="shared" si="10"/>
        <v>0</v>
      </c>
      <c r="AR36" s="22">
        <f t="shared" si="10"/>
        <v>0</v>
      </c>
      <c r="AS36" s="22">
        <f t="shared" si="10"/>
        <v>0</v>
      </c>
      <c r="AT36" s="22">
        <f t="shared" si="10"/>
        <v>0</v>
      </c>
      <c r="AU36" s="22">
        <f t="shared" si="10"/>
        <v>0</v>
      </c>
      <c r="AV36" s="22">
        <f t="shared" si="10"/>
        <v>0</v>
      </c>
      <c r="AW36" s="22">
        <f t="shared" si="10"/>
        <v>0</v>
      </c>
      <c r="AX36" s="22">
        <f t="shared" si="10"/>
        <v>0</v>
      </c>
      <c r="AY36" s="22">
        <f t="shared" si="10"/>
        <v>0</v>
      </c>
      <c r="AZ36" s="22">
        <f t="shared" si="10"/>
        <v>0</v>
      </c>
      <c r="BA36" s="22">
        <f t="shared" si="10"/>
        <v>0</v>
      </c>
      <c r="BB36" s="22">
        <f t="shared" si="10"/>
        <v>0</v>
      </c>
      <c r="BC36" s="22">
        <f t="shared" si="10"/>
        <v>0</v>
      </c>
      <c r="BD36" s="22">
        <f t="shared" si="10"/>
        <v>0</v>
      </c>
      <c r="BE36" s="22">
        <f t="shared" si="10"/>
        <v>0</v>
      </c>
      <c r="BF36" s="22">
        <f t="shared" si="10"/>
        <v>0</v>
      </c>
      <c r="BG36" s="22">
        <f t="shared" si="10"/>
        <v>0</v>
      </c>
      <c r="BH36" s="22">
        <f t="shared" si="10"/>
        <v>0</v>
      </c>
    </row>
    <row r="37" spans="2:60" ht="23.25" customHeight="1" x14ac:dyDescent="0.2">
      <c r="B37" s="300"/>
      <c r="C37" s="99"/>
      <c r="D37" s="93" t="s">
        <v>365</v>
      </c>
      <c r="E37" s="101">
        <f t="shared" si="8"/>
        <v>0</v>
      </c>
      <c r="F37" s="22">
        <f>F20+F28-F36</f>
        <v>0</v>
      </c>
      <c r="G37" s="22">
        <f t="shared" ref="G37:AK37" si="11">G20+G28-G36</f>
        <v>0</v>
      </c>
      <c r="H37" s="22">
        <f t="shared" si="11"/>
        <v>0</v>
      </c>
      <c r="I37" s="22">
        <f t="shared" si="11"/>
        <v>0</v>
      </c>
      <c r="J37" s="22">
        <f t="shared" si="11"/>
        <v>0</v>
      </c>
      <c r="K37" s="22">
        <f t="shared" si="11"/>
        <v>0</v>
      </c>
      <c r="L37" s="22">
        <f t="shared" si="11"/>
        <v>0</v>
      </c>
      <c r="M37" s="22">
        <f t="shared" si="11"/>
        <v>0</v>
      </c>
      <c r="N37" s="22">
        <f t="shared" si="11"/>
        <v>0</v>
      </c>
      <c r="O37" s="22">
        <f t="shared" si="11"/>
        <v>0</v>
      </c>
      <c r="P37" s="22">
        <f t="shared" si="11"/>
        <v>0</v>
      </c>
      <c r="Q37" s="22">
        <f t="shared" si="11"/>
        <v>0</v>
      </c>
      <c r="R37" s="22">
        <f t="shared" si="11"/>
        <v>0</v>
      </c>
      <c r="S37" s="22">
        <f t="shared" si="11"/>
        <v>0</v>
      </c>
      <c r="T37" s="22">
        <f t="shared" si="11"/>
        <v>0</v>
      </c>
      <c r="U37" s="22">
        <f t="shared" si="11"/>
        <v>0</v>
      </c>
      <c r="V37" s="22">
        <f t="shared" si="11"/>
        <v>0</v>
      </c>
      <c r="W37" s="22">
        <f t="shared" si="11"/>
        <v>0</v>
      </c>
      <c r="X37" s="22">
        <f t="shared" si="11"/>
        <v>0</v>
      </c>
      <c r="Y37" s="22">
        <f t="shared" si="11"/>
        <v>0</v>
      </c>
      <c r="Z37" s="22">
        <f t="shared" si="11"/>
        <v>0</v>
      </c>
      <c r="AA37" s="22">
        <f t="shared" si="11"/>
        <v>0</v>
      </c>
      <c r="AB37" s="22">
        <f t="shared" si="11"/>
        <v>0</v>
      </c>
      <c r="AC37" s="22">
        <f t="shared" si="11"/>
        <v>0</v>
      </c>
      <c r="AD37" s="22">
        <f t="shared" si="11"/>
        <v>0</v>
      </c>
      <c r="AE37" s="22">
        <f t="shared" si="11"/>
        <v>0</v>
      </c>
      <c r="AF37" s="22">
        <f t="shared" si="11"/>
        <v>0</v>
      </c>
      <c r="AG37" s="22">
        <f t="shared" si="11"/>
        <v>0</v>
      </c>
      <c r="AH37" s="22">
        <f t="shared" si="11"/>
        <v>0</v>
      </c>
      <c r="AI37" s="22">
        <f t="shared" si="11"/>
        <v>0</v>
      </c>
      <c r="AJ37" s="22">
        <f t="shared" si="11"/>
        <v>0</v>
      </c>
      <c r="AK37" s="22">
        <f t="shared" si="11"/>
        <v>0</v>
      </c>
      <c r="AL37" s="22">
        <f t="shared" ref="AL37:BH37" si="12">AL20+AL28-AL36</f>
        <v>0</v>
      </c>
      <c r="AM37" s="22">
        <f t="shared" si="12"/>
        <v>0</v>
      </c>
      <c r="AN37" s="22">
        <f t="shared" si="12"/>
        <v>0</v>
      </c>
      <c r="AO37" s="22">
        <f t="shared" si="12"/>
        <v>0</v>
      </c>
      <c r="AP37" s="22">
        <f t="shared" si="12"/>
        <v>0</v>
      </c>
      <c r="AQ37" s="22">
        <f t="shared" si="12"/>
        <v>0</v>
      </c>
      <c r="AR37" s="22">
        <f t="shared" si="12"/>
        <v>0</v>
      </c>
      <c r="AS37" s="22">
        <f t="shared" si="12"/>
        <v>0</v>
      </c>
      <c r="AT37" s="22">
        <f t="shared" si="12"/>
        <v>0</v>
      </c>
      <c r="AU37" s="22">
        <f t="shared" si="12"/>
        <v>0</v>
      </c>
      <c r="AV37" s="22">
        <f t="shared" si="12"/>
        <v>0</v>
      </c>
      <c r="AW37" s="22">
        <f t="shared" si="12"/>
        <v>0</v>
      </c>
      <c r="AX37" s="22">
        <f t="shared" si="12"/>
        <v>0</v>
      </c>
      <c r="AY37" s="22">
        <f t="shared" si="12"/>
        <v>0</v>
      </c>
      <c r="AZ37" s="22">
        <f t="shared" si="12"/>
        <v>0</v>
      </c>
      <c r="BA37" s="22">
        <f t="shared" si="12"/>
        <v>0</v>
      </c>
      <c r="BB37" s="22">
        <f t="shared" si="12"/>
        <v>0</v>
      </c>
      <c r="BC37" s="22">
        <f t="shared" si="12"/>
        <v>0</v>
      </c>
      <c r="BD37" s="22">
        <f t="shared" si="12"/>
        <v>0</v>
      </c>
      <c r="BE37" s="22">
        <f t="shared" si="12"/>
        <v>0</v>
      </c>
      <c r="BF37" s="22">
        <f t="shared" si="12"/>
        <v>0</v>
      </c>
      <c r="BG37" s="22">
        <f t="shared" si="12"/>
        <v>0</v>
      </c>
      <c r="BH37" s="22">
        <f t="shared" si="12"/>
        <v>0</v>
      </c>
    </row>
    <row r="38" spans="2:60" x14ac:dyDescent="0.2">
      <c r="B38" s="300"/>
      <c r="C38" s="99" t="s">
        <v>366</v>
      </c>
      <c r="D38" s="71" t="s">
        <v>367</v>
      </c>
      <c r="E38" s="21"/>
      <c r="F38" s="21"/>
      <c r="G38" s="21">
        <f>F29+F38-F36</f>
        <v>0</v>
      </c>
      <c r="H38" s="21">
        <f t="shared" ref="H38:AL38" si="13">G29+G38-G36</f>
        <v>0</v>
      </c>
      <c r="I38" s="21">
        <f t="shared" si="13"/>
        <v>0</v>
      </c>
      <c r="J38" s="21">
        <f t="shared" si="13"/>
        <v>0</v>
      </c>
      <c r="K38" s="21">
        <f t="shared" si="13"/>
        <v>0</v>
      </c>
      <c r="L38" s="21">
        <f t="shared" si="13"/>
        <v>0</v>
      </c>
      <c r="M38" s="21">
        <f t="shared" si="13"/>
        <v>0</v>
      </c>
      <c r="N38" s="21">
        <f t="shared" si="13"/>
        <v>0</v>
      </c>
      <c r="O38" s="21">
        <f t="shared" si="13"/>
        <v>0</v>
      </c>
      <c r="P38" s="21">
        <f t="shared" si="13"/>
        <v>0</v>
      </c>
      <c r="Q38" s="21">
        <f t="shared" si="13"/>
        <v>0</v>
      </c>
      <c r="R38" s="21">
        <f t="shared" si="13"/>
        <v>0</v>
      </c>
      <c r="S38" s="21">
        <f t="shared" si="13"/>
        <v>0</v>
      </c>
      <c r="T38" s="21">
        <f t="shared" si="13"/>
        <v>0</v>
      </c>
      <c r="U38" s="21">
        <f t="shared" si="13"/>
        <v>0</v>
      </c>
      <c r="V38" s="21">
        <f t="shared" si="13"/>
        <v>0</v>
      </c>
      <c r="W38" s="21">
        <f t="shared" si="13"/>
        <v>0</v>
      </c>
      <c r="X38" s="21">
        <f t="shared" si="13"/>
        <v>0</v>
      </c>
      <c r="Y38" s="21">
        <f t="shared" si="13"/>
        <v>0</v>
      </c>
      <c r="Z38" s="21">
        <f t="shared" si="13"/>
        <v>0</v>
      </c>
      <c r="AA38" s="21">
        <f t="shared" si="13"/>
        <v>0</v>
      </c>
      <c r="AB38" s="21">
        <f t="shared" si="13"/>
        <v>0</v>
      </c>
      <c r="AC38" s="21">
        <f t="shared" si="13"/>
        <v>0</v>
      </c>
      <c r="AD38" s="21">
        <f t="shared" si="13"/>
        <v>0</v>
      </c>
      <c r="AE38" s="21">
        <f t="shared" si="13"/>
        <v>0</v>
      </c>
      <c r="AF38" s="21">
        <f t="shared" si="13"/>
        <v>0</v>
      </c>
      <c r="AG38" s="21">
        <f t="shared" si="13"/>
        <v>0</v>
      </c>
      <c r="AH38" s="21">
        <f t="shared" si="13"/>
        <v>0</v>
      </c>
      <c r="AI38" s="21">
        <f t="shared" si="13"/>
        <v>0</v>
      </c>
      <c r="AJ38" s="21">
        <f t="shared" si="13"/>
        <v>0</v>
      </c>
      <c r="AK38" s="21">
        <f t="shared" si="13"/>
        <v>0</v>
      </c>
      <c r="AL38" s="21">
        <f t="shared" si="13"/>
        <v>0</v>
      </c>
      <c r="AM38" s="21">
        <f t="shared" ref="AM38:BG38" si="14">AL29+AL38-AL36</f>
        <v>0</v>
      </c>
      <c r="AN38" s="21">
        <f t="shared" si="14"/>
        <v>0</v>
      </c>
      <c r="AO38" s="21">
        <f t="shared" si="14"/>
        <v>0</v>
      </c>
      <c r="AP38" s="21">
        <f t="shared" si="14"/>
        <v>0</v>
      </c>
      <c r="AQ38" s="21">
        <f t="shared" si="14"/>
        <v>0</v>
      </c>
      <c r="AR38" s="21">
        <f t="shared" si="14"/>
        <v>0</v>
      </c>
      <c r="AS38" s="21">
        <f t="shared" si="14"/>
        <v>0</v>
      </c>
      <c r="AT38" s="21">
        <f t="shared" si="14"/>
        <v>0</v>
      </c>
      <c r="AU38" s="21">
        <f t="shared" si="14"/>
        <v>0</v>
      </c>
      <c r="AV38" s="21">
        <f t="shared" si="14"/>
        <v>0</v>
      </c>
      <c r="AW38" s="21">
        <f t="shared" si="14"/>
        <v>0</v>
      </c>
      <c r="AX38" s="21">
        <f t="shared" si="14"/>
        <v>0</v>
      </c>
      <c r="AY38" s="21">
        <f t="shared" si="14"/>
        <v>0</v>
      </c>
      <c r="AZ38" s="21">
        <f t="shared" si="14"/>
        <v>0</v>
      </c>
      <c r="BA38" s="21">
        <f t="shared" si="14"/>
        <v>0</v>
      </c>
      <c r="BB38" s="21">
        <f t="shared" si="14"/>
        <v>0</v>
      </c>
      <c r="BC38" s="21">
        <f t="shared" si="14"/>
        <v>0</v>
      </c>
      <c r="BD38" s="21">
        <f t="shared" si="14"/>
        <v>0</v>
      </c>
      <c r="BE38" s="21">
        <f t="shared" si="14"/>
        <v>0</v>
      </c>
      <c r="BF38" s="21">
        <f t="shared" si="14"/>
        <v>0</v>
      </c>
      <c r="BG38" s="21">
        <f t="shared" si="14"/>
        <v>0</v>
      </c>
      <c r="BH38" s="21">
        <f>BG29+BG38-BG36</f>
        <v>0</v>
      </c>
    </row>
    <row r="39" spans="2:60" x14ac:dyDescent="0.2">
      <c r="B39" s="300"/>
      <c r="C39" s="99" t="s">
        <v>366</v>
      </c>
      <c r="D39" s="71" t="s">
        <v>368</v>
      </c>
      <c r="E39" s="21"/>
      <c r="F39" s="284"/>
      <c r="G39" s="284"/>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c r="AL39" s="284"/>
      <c r="AM39" s="284"/>
      <c r="AN39" s="284"/>
      <c r="AO39" s="284"/>
      <c r="AP39" s="284"/>
      <c r="AQ39" s="284"/>
      <c r="AR39" s="284"/>
      <c r="AS39" s="284"/>
      <c r="AT39" s="284"/>
      <c r="AU39" s="284"/>
      <c r="AV39" s="284"/>
      <c r="AW39" s="284"/>
      <c r="AX39" s="284"/>
      <c r="AY39" s="284"/>
      <c r="AZ39" s="284"/>
      <c r="BA39" s="284"/>
      <c r="BB39" s="284"/>
      <c r="BC39" s="284"/>
      <c r="BD39" s="284"/>
      <c r="BE39" s="284"/>
      <c r="BF39" s="284"/>
      <c r="BG39" s="284"/>
      <c r="BH39" s="284"/>
    </row>
    <row r="40" spans="2:60" ht="29.25" customHeight="1" x14ac:dyDescent="0.2">
      <c r="D40" s="223"/>
    </row>
    <row r="41" spans="2:60" ht="15.75" x14ac:dyDescent="0.25">
      <c r="B41" s="224" t="s">
        <v>369</v>
      </c>
      <c r="C41" s="4"/>
    </row>
    <row r="42" spans="2:60" x14ac:dyDescent="0.2">
      <c r="B42" s="225"/>
      <c r="C42" s="226"/>
    </row>
    <row r="43" spans="2:60" x14ac:dyDescent="0.2">
      <c r="B43" s="33" t="s">
        <v>97</v>
      </c>
      <c r="C43" s="227">
        <f>IF( '1. Pipeline information'!C14=0, "0/01/1960", '1. Pipeline information'!C14)</f>
        <v>35869</v>
      </c>
    </row>
    <row r="48" spans="2:60" x14ac:dyDescent="0.2">
      <c r="C48" s="228"/>
    </row>
    <row r="49" spans="3:3" x14ac:dyDescent="0.2">
      <c r="C49" s="228"/>
    </row>
    <row r="50" spans="3:3" x14ac:dyDescent="0.2">
      <c r="C50" s="15"/>
    </row>
  </sheetData>
  <sheetProtection sheet="1" insertColumns="0" deleteColumns="0"/>
  <mergeCells count="3">
    <mergeCell ref="F11:BH11"/>
    <mergeCell ref="C11:D11"/>
    <mergeCell ref="B6:D7"/>
  </mergeCells>
  <conditionalFormatting sqref="F35">
    <cfRule type="cellIs" dxfId="57" priority="55" stopIfTrue="1" operator="greaterThan">
      <formula>F$31</formula>
    </cfRule>
  </conditionalFormatting>
  <conditionalFormatting sqref="G35">
    <cfRule type="cellIs" dxfId="56" priority="54" stopIfTrue="1" operator="greaterThan">
      <formula>$G$31</formula>
    </cfRule>
  </conditionalFormatting>
  <conditionalFormatting sqref="H35">
    <cfRule type="cellIs" dxfId="55" priority="53" stopIfTrue="1" operator="greaterThan">
      <formula>$H$31</formula>
    </cfRule>
  </conditionalFormatting>
  <conditionalFormatting sqref="I35">
    <cfRule type="cellIs" dxfId="54" priority="52" stopIfTrue="1" operator="greaterThan">
      <formula>$I$31</formula>
    </cfRule>
  </conditionalFormatting>
  <conditionalFormatting sqref="J35">
    <cfRule type="cellIs" dxfId="53" priority="51" stopIfTrue="1" operator="greaterThan">
      <formula>$J$31</formula>
    </cfRule>
  </conditionalFormatting>
  <conditionalFormatting sqref="K35">
    <cfRule type="cellIs" dxfId="52" priority="50" stopIfTrue="1" operator="greaterThan">
      <formula>$K$31</formula>
    </cfRule>
  </conditionalFormatting>
  <conditionalFormatting sqref="L35">
    <cfRule type="cellIs" dxfId="51" priority="49" stopIfTrue="1" operator="greaterThan">
      <formula>$L$31</formula>
    </cfRule>
  </conditionalFormatting>
  <conditionalFormatting sqref="M35">
    <cfRule type="cellIs" dxfId="50" priority="48" stopIfTrue="1" operator="greaterThan">
      <formula>$M$31</formula>
    </cfRule>
  </conditionalFormatting>
  <conditionalFormatting sqref="N35">
    <cfRule type="cellIs" dxfId="49" priority="47" stopIfTrue="1" operator="greaterThan">
      <formula>$N$31</formula>
    </cfRule>
  </conditionalFormatting>
  <conditionalFormatting sqref="O35">
    <cfRule type="cellIs" dxfId="48" priority="46" stopIfTrue="1" operator="greaterThan">
      <formula>$O$31</formula>
    </cfRule>
  </conditionalFormatting>
  <conditionalFormatting sqref="P35">
    <cfRule type="cellIs" dxfId="47" priority="45" stopIfTrue="1" operator="greaterThan">
      <formula>$P$31</formula>
    </cfRule>
  </conditionalFormatting>
  <conditionalFormatting sqref="Q35">
    <cfRule type="cellIs" dxfId="46" priority="44" stopIfTrue="1" operator="greaterThan">
      <formula>$Q$31</formula>
    </cfRule>
  </conditionalFormatting>
  <conditionalFormatting sqref="R35">
    <cfRule type="cellIs" dxfId="45" priority="43" stopIfTrue="1" operator="greaterThan">
      <formula>$R$31</formula>
    </cfRule>
  </conditionalFormatting>
  <conditionalFormatting sqref="S35">
    <cfRule type="cellIs" dxfId="44" priority="42" stopIfTrue="1" operator="greaterThan">
      <formula>$S$31</formula>
    </cfRule>
  </conditionalFormatting>
  <conditionalFormatting sqref="T35">
    <cfRule type="cellIs" dxfId="43" priority="41" stopIfTrue="1" operator="greaterThan">
      <formula>$T$31</formula>
    </cfRule>
  </conditionalFormatting>
  <conditionalFormatting sqref="U35">
    <cfRule type="cellIs" dxfId="42" priority="40" stopIfTrue="1" operator="greaterThan">
      <formula>$U$31</formula>
    </cfRule>
  </conditionalFormatting>
  <conditionalFormatting sqref="V35">
    <cfRule type="cellIs" dxfId="41" priority="39" stopIfTrue="1" operator="greaterThan">
      <formula>$V$31</formula>
    </cfRule>
  </conditionalFormatting>
  <conditionalFormatting sqref="W35">
    <cfRule type="cellIs" dxfId="40" priority="38" stopIfTrue="1" operator="greaterThan">
      <formula>$W$31</formula>
    </cfRule>
  </conditionalFormatting>
  <conditionalFormatting sqref="X35">
    <cfRule type="cellIs" dxfId="39" priority="37" stopIfTrue="1" operator="greaterThan">
      <formula>$X$31</formula>
    </cfRule>
  </conditionalFormatting>
  <conditionalFormatting sqref="Y35">
    <cfRule type="cellIs" dxfId="38" priority="36" stopIfTrue="1" operator="greaterThan">
      <formula>$Y$31</formula>
    </cfRule>
  </conditionalFormatting>
  <conditionalFormatting sqref="Z35">
    <cfRule type="cellIs" dxfId="37" priority="35" stopIfTrue="1" operator="greaterThan">
      <formula>$Z$31</formula>
    </cfRule>
  </conditionalFormatting>
  <conditionalFormatting sqref="AA35">
    <cfRule type="cellIs" dxfId="36" priority="34" stopIfTrue="1" operator="greaterThan">
      <formula>$AA$31</formula>
    </cfRule>
  </conditionalFormatting>
  <conditionalFormatting sqref="AB35">
    <cfRule type="cellIs" dxfId="35" priority="33" stopIfTrue="1" operator="greaterThan">
      <formula>$AB$31</formula>
    </cfRule>
  </conditionalFormatting>
  <conditionalFormatting sqref="AC35">
    <cfRule type="cellIs" dxfId="34" priority="32" stopIfTrue="1" operator="greaterThan">
      <formula>$AC$31</formula>
    </cfRule>
  </conditionalFormatting>
  <conditionalFormatting sqref="AD35">
    <cfRule type="cellIs" dxfId="33" priority="31" stopIfTrue="1" operator="greaterThan">
      <formula>$AD$31</formula>
    </cfRule>
  </conditionalFormatting>
  <conditionalFormatting sqref="AE35">
    <cfRule type="cellIs" dxfId="32" priority="30" stopIfTrue="1" operator="greaterThan">
      <formula>$AE$31</formula>
    </cfRule>
  </conditionalFormatting>
  <conditionalFormatting sqref="AF35">
    <cfRule type="cellIs" dxfId="31" priority="29" stopIfTrue="1" operator="greaterThan">
      <formula>$AF$31</formula>
    </cfRule>
  </conditionalFormatting>
  <conditionalFormatting sqref="AG35">
    <cfRule type="cellIs" dxfId="30" priority="28" stopIfTrue="1" operator="greaterThan">
      <formula>$AG$31</formula>
    </cfRule>
  </conditionalFormatting>
  <conditionalFormatting sqref="AH35">
    <cfRule type="cellIs" dxfId="29" priority="27" stopIfTrue="1" operator="greaterThan">
      <formula>$AH$31</formula>
    </cfRule>
  </conditionalFormatting>
  <conditionalFormatting sqref="AI35">
    <cfRule type="cellIs" dxfId="28" priority="26" stopIfTrue="1" operator="greaterThan">
      <formula>$AI$31</formula>
    </cfRule>
  </conditionalFormatting>
  <conditionalFormatting sqref="AJ35">
    <cfRule type="cellIs" dxfId="27" priority="25" stopIfTrue="1" operator="greaterThan">
      <formula>$AJ$31</formula>
    </cfRule>
  </conditionalFormatting>
  <conditionalFormatting sqref="AK35">
    <cfRule type="cellIs" dxfId="26" priority="24" stopIfTrue="1" operator="greaterThan">
      <formula>$AK$31</formula>
    </cfRule>
  </conditionalFormatting>
  <conditionalFormatting sqref="AL35">
    <cfRule type="cellIs" dxfId="25" priority="23" stopIfTrue="1" operator="greaterThan">
      <formula>$AL$31</formula>
    </cfRule>
  </conditionalFormatting>
  <conditionalFormatting sqref="AM35">
    <cfRule type="cellIs" dxfId="24" priority="22" stopIfTrue="1" operator="greaterThan">
      <formula>$AM$31</formula>
    </cfRule>
  </conditionalFormatting>
  <conditionalFormatting sqref="AN35">
    <cfRule type="cellIs" dxfId="23" priority="21" stopIfTrue="1" operator="greaterThan">
      <formula>$AN$31</formula>
    </cfRule>
  </conditionalFormatting>
  <conditionalFormatting sqref="AO35">
    <cfRule type="cellIs" dxfId="22" priority="20" stopIfTrue="1" operator="greaterThan">
      <formula>$AO$31</formula>
    </cfRule>
  </conditionalFormatting>
  <conditionalFormatting sqref="AP35">
    <cfRule type="cellIs" dxfId="21" priority="19" stopIfTrue="1" operator="greaterThan">
      <formula>$AP$31</formula>
    </cfRule>
  </conditionalFormatting>
  <conditionalFormatting sqref="AQ35">
    <cfRule type="cellIs" dxfId="20" priority="18" stopIfTrue="1" operator="greaterThan">
      <formula>$AQ$31</formula>
    </cfRule>
  </conditionalFormatting>
  <conditionalFormatting sqref="AR35">
    <cfRule type="cellIs" dxfId="19" priority="17" stopIfTrue="1" operator="greaterThan">
      <formula>$AR$31</formula>
    </cfRule>
  </conditionalFormatting>
  <conditionalFormatting sqref="AS35">
    <cfRule type="cellIs" dxfId="18" priority="16" stopIfTrue="1" operator="greaterThan">
      <formula>$AS$31</formula>
    </cfRule>
  </conditionalFormatting>
  <conditionalFormatting sqref="AT35">
    <cfRule type="cellIs" dxfId="17" priority="15" stopIfTrue="1" operator="greaterThan">
      <formula>$AT$31</formula>
    </cfRule>
  </conditionalFormatting>
  <conditionalFormatting sqref="AU35">
    <cfRule type="cellIs" dxfId="16" priority="14" stopIfTrue="1" operator="greaterThan">
      <formula>$AU$31</formula>
    </cfRule>
  </conditionalFormatting>
  <conditionalFormatting sqref="AV35">
    <cfRule type="cellIs" dxfId="15" priority="13" stopIfTrue="1" operator="greaterThan">
      <formula>$AV$31</formula>
    </cfRule>
  </conditionalFormatting>
  <conditionalFormatting sqref="AW35">
    <cfRule type="cellIs" dxfId="14" priority="12" stopIfTrue="1" operator="greaterThan">
      <formula>$AW$31</formula>
    </cfRule>
  </conditionalFormatting>
  <conditionalFormatting sqref="AX35">
    <cfRule type="cellIs" dxfId="13" priority="11" stopIfTrue="1" operator="greaterThan">
      <formula>$AX$31</formula>
    </cfRule>
  </conditionalFormatting>
  <conditionalFormatting sqref="AY35">
    <cfRule type="cellIs" dxfId="12" priority="10" stopIfTrue="1" operator="greaterThan">
      <formula>$AY$31</formula>
    </cfRule>
  </conditionalFormatting>
  <conditionalFormatting sqref="AZ35">
    <cfRule type="cellIs" dxfId="11" priority="9" stopIfTrue="1" operator="greaterThan">
      <formula>$AZ$31</formula>
    </cfRule>
  </conditionalFormatting>
  <conditionalFormatting sqref="BA35">
    <cfRule type="cellIs" dxfId="10" priority="8" stopIfTrue="1" operator="greaterThan">
      <formula>$BA$31</formula>
    </cfRule>
  </conditionalFormatting>
  <conditionalFormatting sqref="BB35">
    <cfRule type="cellIs" dxfId="9" priority="7" stopIfTrue="1" operator="greaterThan">
      <formula>$BB$31</formula>
    </cfRule>
  </conditionalFormatting>
  <conditionalFormatting sqref="BC35">
    <cfRule type="cellIs" dxfId="8" priority="6" stopIfTrue="1" operator="greaterThan">
      <formula>$BC$31</formula>
    </cfRule>
  </conditionalFormatting>
  <conditionalFormatting sqref="BD35">
    <cfRule type="cellIs" dxfId="7" priority="5" stopIfTrue="1" operator="greaterThan">
      <formula>$BD$31</formula>
    </cfRule>
  </conditionalFormatting>
  <conditionalFormatting sqref="BE35">
    <cfRule type="cellIs" dxfId="6" priority="4" stopIfTrue="1" operator="greaterThan">
      <formula>$BE$31</formula>
    </cfRule>
  </conditionalFormatting>
  <conditionalFormatting sqref="BF35">
    <cfRule type="cellIs" dxfId="5" priority="3" stopIfTrue="1" operator="greaterThan">
      <formula>$BF$31</formula>
    </cfRule>
  </conditionalFormatting>
  <conditionalFormatting sqref="BG35">
    <cfRule type="cellIs" dxfId="4" priority="2" stopIfTrue="1" operator="greaterThan">
      <formula>$BG$31</formula>
    </cfRule>
  </conditionalFormatting>
  <conditionalFormatting sqref="BH35">
    <cfRule type="cellIs" dxfId="3" priority="1" stopIfTrue="1" operator="greaterThan">
      <formula>$BH$31</formula>
    </cfRule>
  </conditionalFormatting>
  <dataValidations count="1">
    <dataValidation operator="lessThan" allowBlank="1" showInputMessage="1" showErrorMessage="1" errorTitle="Error" error="Return on capital should be less than Revenue." sqref="AK35" xr:uid="{A1434403-38DB-4F0E-B472-C4A9E18B01E3}"/>
  </dataValidations>
  <pageMargins left="0.75" right="0.75" top="1" bottom="1" header="0.5" footer="0.5"/>
  <pageSetup paperSize="9" scale="30"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46F34-C254-4169-80C1-15DDE55ED864}">
  <sheetPr codeName="Sheet17">
    <tabColor rgb="FF17415D"/>
  </sheetPr>
  <dimension ref="B1:G98"/>
  <sheetViews>
    <sheetView zoomScaleNormal="100" workbookViewId="0">
      <pane xSplit="1" ySplit="9" topLeftCell="B10" activePane="bottomRight" state="frozen"/>
      <selection activeCell="G47" sqref="G47"/>
      <selection pane="topRight" activeCell="G47" sqref="G47"/>
      <selection pane="bottomLeft" activeCell="G47" sqref="G47"/>
      <selection pane="bottomRight"/>
    </sheetView>
  </sheetViews>
  <sheetFormatPr defaultColWidth="9.140625" defaultRowHeight="12.75" x14ac:dyDescent="0.2"/>
  <cols>
    <col min="1" max="1" width="12.140625" style="215" customWidth="1"/>
    <col min="2" max="2" width="21" style="215" customWidth="1"/>
    <col min="3" max="3" width="64.7109375" style="215" customWidth="1"/>
    <col min="4" max="5" width="42.28515625" style="215" customWidth="1"/>
    <col min="6" max="6" width="34.85546875" style="215" customWidth="1"/>
    <col min="7" max="7" width="44" style="215" customWidth="1"/>
    <col min="8" max="16384" width="9.140625" style="215"/>
  </cols>
  <sheetData>
    <row r="1" spans="2:5" ht="20.25" customHeight="1" x14ac:dyDescent="0.3">
      <c r="B1" s="146" t="s">
        <v>52</v>
      </c>
      <c r="C1" s="146"/>
      <c r="D1" s="214"/>
      <c r="E1" s="214"/>
    </row>
    <row r="2" spans="2:5" ht="20.25" x14ac:dyDescent="0.3">
      <c r="B2" s="146" t="str">
        <f>IF(Tradingname=0," ",Tradingname)</f>
        <v>APT Pipelines (QLD) Pty Limited</v>
      </c>
      <c r="C2" s="146"/>
      <c r="D2" s="216"/>
    </row>
    <row r="3" spans="2:5" ht="22.7" customHeight="1" x14ac:dyDescent="0.3">
      <c r="B3" s="146" t="s">
        <v>29</v>
      </c>
      <c r="C3" s="110">
        <f>IF(Yearending=0, "01/01/2000", Yearending)</f>
        <v>45838</v>
      </c>
    </row>
    <row r="4" spans="2:5" ht="20.25" x14ac:dyDescent="0.2">
      <c r="B4" s="102" t="s">
        <v>370</v>
      </c>
      <c r="C4" s="102"/>
    </row>
    <row r="6" spans="2:5" x14ac:dyDescent="0.2">
      <c r="B6" s="446" t="s">
        <v>371</v>
      </c>
      <c r="C6" s="446"/>
      <c r="D6" s="446"/>
      <c r="E6" s="446"/>
    </row>
    <row r="7" spans="2:5" ht="12.75" customHeight="1" x14ac:dyDescent="0.2">
      <c r="B7" s="446"/>
      <c r="C7" s="446"/>
      <c r="D7" s="446"/>
      <c r="E7" s="446"/>
    </row>
    <row r="8" spans="2:5" ht="12.75" customHeight="1" x14ac:dyDescent="0.2">
      <c r="B8" s="446"/>
      <c r="C8" s="446"/>
      <c r="D8" s="446"/>
      <c r="E8" s="446"/>
    </row>
    <row r="9" spans="2:5" ht="12.75" customHeight="1" x14ac:dyDescent="0.2">
      <c r="B9" s="446"/>
      <c r="C9" s="446"/>
      <c r="D9" s="446"/>
      <c r="E9" s="446"/>
    </row>
    <row r="12" spans="2:5" ht="15.75" x14ac:dyDescent="0.25">
      <c r="B12" s="217" t="s">
        <v>372</v>
      </c>
      <c r="C12" s="218"/>
      <c r="D12" s="218"/>
      <c r="E12" s="218"/>
    </row>
    <row r="13" spans="2:5" ht="15.75" x14ac:dyDescent="0.25">
      <c r="B13" s="217"/>
      <c r="C13" s="218"/>
      <c r="D13" s="218"/>
      <c r="E13" s="218"/>
    </row>
    <row r="14" spans="2:5" ht="25.5" x14ac:dyDescent="0.2">
      <c r="B14" s="48" t="s">
        <v>112</v>
      </c>
      <c r="C14" s="48" t="s">
        <v>373</v>
      </c>
      <c r="D14" s="48" t="s">
        <v>374</v>
      </c>
      <c r="E14" s="48" t="s">
        <v>375</v>
      </c>
    </row>
    <row r="15" spans="2:5" ht="25.5" x14ac:dyDescent="0.2">
      <c r="B15" s="360" t="s">
        <v>897</v>
      </c>
      <c r="C15" s="288" t="s">
        <v>889</v>
      </c>
      <c r="D15" s="91" t="s">
        <v>882</v>
      </c>
      <c r="E15" s="82">
        <v>10423106.790000001</v>
      </c>
    </row>
    <row r="16" spans="2:5" ht="25.5" x14ac:dyDescent="0.2">
      <c r="B16" s="360" t="s">
        <v>897</v>
      </c>
      <c r="C16" s="288" t="s">
        <v>884</v>
      </c>
      <c r="D16" s="91" t="s">
        <v>883</v>
      </c>
      <c r="E16" s="82">
        <v>24308401.886419293</v>
      </c>
    </row>
    <row r="17" spans="2:5" ht="25.5" x14ac:dyDescent="0.2">
      <c r="B17" s="360" t="s">
        <v>897</v>
      </c>
      <c r="C17" s="288" t="s">
        <v>888</v>
      </c>
      <c r="D17" s="91" t="s">
        <v>885</v>
      </c>
      <c r="E17" s="82">
        <v>33750169.709999993</v>
      </c>
    </row>
    <row r="18" spans="2:5" x14ac:dyDescent="0.2">
      <c r="B18" s="292"/>
      <c r="C18" s="288"/>
      <c r="D18" s="91"/>
      <c r="E18" s="82"/>
    </row>
    <row r="19" spans="2:5" x14ac:dyDescent="0.2">
      <c r="B19" s="292"/>
      <c r="C19" s="288"/>
      <c r="D19" s="91"/>
      <c r="E19" s="82"/>
    </row>
    <row r="20" spans="2:5" x14ac:dyDescent="0.2">
      <c r="B20" s="292"/>
      <c r="C20" s="288"/>
      <c r="D20" s="91"/>
      <c r="E20" s="82"/>
    </row>
    <row r="21" spans="2:5" x14ac:dyDescent="0.2">
      <c r="B21" s="292"/>
      <c r="C21" s="288"/>
      <c r="D21" s="91"/>
      <c r="E21" s="82"/>
    </row>
    <row r="22" spans="2:5" x14ac:dyDescent="0.2">
      <c r="B22" s="292"/>
      <c r="C22" s="288"/>
      <c r="D22" s="91"/>
      <c r="E22" s="82"/>
    </row>
    <row r="23" spans="2:5" x14ac:dyDescent="0.2">
      <c r="B23" s="292"/>
      <c r="C23" s="288"/>
      <c r="D23" s="91"/>
      <c r="E23" s="82"/>
    </row>
    <row r="24" spans="2:5" x14ac:dyDescent="0.2">
      <c r="B24" s="292"/>
      <c r="C24" s="288"/>
      <c r="D24" s="91"/>
      <c r="E24" s="82"/>
    </row>
    <row r="25" spans="2:5" x14ac:dyDescent="0.2">
      <c r="B25" s="292"/>
      <c r="C25" s="288"/>
      <c r="D25" s="91"/>
      <c r="E25" s="82"/>
    </row>
    <row r="26" spans="2:5" x14ac:dyDescent="0.2">
      <c r="B26" s="292"/>
      <c r="C26" s="288"/>
      <c r="D26" s="91"/>
      <c r="E26" s="82"/>
    </row>
    <row r="27" spans="2:5" x14ac:dyDescent="0.2">
      <c r="B27" s="292"/>
      <c r="C27" s="288"/>
      <c r="D27" s="91"/>
      <c r="E27" s="82"/>
    </row>
    <row r="28" spans="2:5" x14ac:dyDescent="0.2">
      <c r="B28" s="292"/>
      <c r="C28" s="288"/>
      <c r="D28" s="91"/>
      <c r="E28" s="82"/>
    </row>
    <row r="29" spans="2:5" x14ac:dyDescent="0.2">
      <c r="B29" s="292"/>
      <c r="C29" s="288"/>
      <c r="D29" s="91"/>
      <c r="E29" s="82"/>
    </row>
    <row r="30" spans="2:5" x14ac:dyDescent="0.2">
      <c r="B30" s="292"/>
      <c r="C30" s="288"/>
      <c r="D30" s="91"/>
      <c r="E30" s="82"/>
    </row>
    <row r="31" spans="2:5" x14ac:dyDescent="0.2">
      <c r="B31" s="292"/>
      <c r="C31" s="288"/>
      <c r="D31" s="91"/>
      <c r="E31" s="82"/>
    </row>
    <row r="32" spans="2:5" x14ac:dyDescent="0.2">
      <c r="B32" s="292"/>
      <c r="C32" s="288"/>
      <c r="D32" s="91"/>
      <c r="E32" s="82"/>
    </row>
    <row r="33" spans="2:5" x14ac:dyDescent="0.2">
      <c r="B33" s="292"/>
      <c r="C33" s="288"/>
      <c r="D33" s="91"/>
      <c r="E33" s="82"/>
    </row>
    <row r="34" spans="2:5" x14ac:dyDescent="0.2">
      <c r="B34" s="292"/>
      <c r="C34" s="288"/>
      <c r="D34" s="91"/>
      <c r="E34" s="82"/>
    </row>
    <row r="35" spans="2:5" x14ac:dyDescent="0.2">
      <c r="B35" s="292"/>
      <c r="C35" s="288"/>
      <c r="D35" s="91"/>
      <c r="E35" s="82"/>
    </row>
    <row r="36" spans="2:5" x14ac:dyDescent="0.2">
      <c r="B36" s="292"/>
      <c r="C36" s="288"/>
      <c r="D36" s="91"/>
      <c r="E36" s="82"/>
    </row>
    <row r="37" spans="2:5" x14ac:dyDescent="0.2">
      <c r="B37" s="292"/>
      <c r="C37" s="288"/>
      <c r="D37" s="91"/>
      <c r="E37" s="82"/>
    </row>
    <row r="38" spans="2:5" x14ac:dyDescent="0.2">
      <c r="B38" s="292"/>
      <c r="C38" s="288"/>
      <c r="D38" s="91"/>
      <c r="E38" s="82"/>
    </row>
    <row r="39" spans="2:5" x14ac:dyDescent="0.2">
      <c r="B39" s="292"/>
      <c r="C39" s="288"/>
      <c r="D39" s="91"/>
      <c r="E39" s="82"/>
    </row>
    <row r="40" spans="2:5" x14ac:dyDescent="0.2">
      <c r="B40" s="292"/>
      <c r="C40" s="288"/>
      <c r="D40" s="91"/>
      <c r="E40" s="82"/>
    </row>
    <row r="41" spans="2:5" x14ac:dyDescent="0.2">
      <c r="B41" s="461" t="s">
        <v>376</v>
      </c>
      <c r="C41" s="462"/>
      <c r="D41" s="463"/>
      <c r="E41" s="219">
        <f>SUM(E15:E40)</f>
        <v>68481678.386419296</v>
      </c>
    </row>
    <row r="44" spans="2:5" ht="15.75" x14ac:dyDescent="0.25">
      <c r="B44" s="217" t="s">
        <v>377</v>
      </c>
      <c r="C44" s="218"/>
      <c r="D44" s="218"/>
      <c r="E44" s="218"/>
    </row>
    <row r="45" spans="2:5" ht="15.75" x14ac:dyDescent="0.25">
      <c r="B45" s="217"/>
      <c r="C45" s="218"/>
      <c r="D45" s="218"/>
      <c r="E45" s="218"/>
    </row>
    <row r="46" spans="2:5" ht="25.5" x14ac:dyDescent="0.2">
      <c r="B46" s="48" t="s">
        <v>112</v>
      </c>
      <c r="C46" s="48" t="s">
        <v>373</v>
      </c>
      <c r="D46" s="48" t="s">
        <v>374</v>
      </c>
      <c r="E46" s="48" t="s">
        <v>375</v>
      </c>
    </row>
    <row r="47" spans="2:5" x14ac:dyDescent="0.2">
      <c r="B47" s="360" t="s">
        <v>897</v>
      </c>
      <c r="C47" s="288" t="s">
        <v>886</v>
      </c>
      <c r="D47" s="91" t="s">
        <v>882</v>
      </c>
      <c r="E47" s="82">
        <v>9861281.540000001</v>
      </c>
    </row>
    <row r="48" spans="2:5" x14ac:dyDescent="0.2">
      <c r="B48" s="360" t="s">
        <v>897</v>
      </c>
      <c r="C48" s="288" t="s">
        <v>887</v>
      </c>
      <c r="D48" s="91" t="s">
        <v>885</v>
      </c>
      <c r="E48" s="82">
        <v>32917693.159999996</v>
      </c>
    </row>
    <row r="49" spans="2:5" x14ac:dyDescent="0.2">
      <c r="B49" s="84"/>
      <c r="C49" s="288"/>
      <c r="D49" s="91"/>
      <c r="E49" s="82"/>
    </row>
    <row r="50" spans="2:5" x14ac:dyDescent="0.2">
      <c r="B50" s="84"/>
      <c r="C50" s="288"/>
      <c r="D50" s="91"/>
      <c r="E50" s="82"/>
    </row>
    <row r="51" spans="2:5" x14ac:dyDescent="0.2">
      <c r="B51" s="84"/>
      <c r="C51" s="288"/>
      <c r="D51" s="91"/>
      <c r="E51" s="82"/>
    </row>
    <row r="52" spans="2:5" x14ac:dyDescent="0.2">
      <c r="B52" s="84"/>
      <c r="C52" s="288"/>
      <c r="D52" s="91"/>
      <c r="E52" s="82"/>
    </row>
    <row r="53" spans="2:5" x14ac:dyDescent="0.2">
      <c r="B53" s="84"/>
      <c r="C53" s="288"/>
      <c r="D53" s="91"/>
      <c r="E53" s="82"/>
    </row>
    <row r="54" spans="2:5" x14ac:dyDescent="0.2">
      <c r="B54" s="84"/>
      <c r="C54" s="288"/>
      <c r="D54" s="91"/>
      <c r="E54" s="82"/>
    </row>
    <row r="55" spans="2:5" x14ac:dyDescent="0.2">
      <c r="B55" s="84"/>
      <c r="C55" s="288"/>
      <c r="D55" s="91"/>
      <c r="E55" s="82"/>
    </row>
    <row r="56" spans="2:5" x14ac:dyDescent="0.2">
      <c r="B56" s="84"/>
      <c r="C56" s="288"/>
      <c r="D56" s="91"/>
      <c r="E56" s="82"/>
    </row>
    <row r="57" spans="2:5" x14ac:dyDescent="0.2">
      <c r="B57" s="84"/>
      <c r="C57" s="288"/>
      <c r="D57" s="91"/>
      <c r="E57" s="82"/>
    </row>
    <row r="58" spans="2:5" x14ac:dyDescent="0.2">
      <c r="B58" s="84"/>
      <c r="C58" s="288"/>
      <c r="D58" s="91"/>
      <c r="E58" s="82"/>
    </row>
    <row r="59" spans="2:5" x14ac:dyDescent="0.2">
      <c r="B59" s="84"/>
      <c r="C59" s="288"/>
      <c r="D59" s="91"/>
      <c r="E59" s="82"/>
    </row>
    <row r="60" spans="2:5" x14ac:dyDescent="0.2">
      <c r="B60" s="84"/>
      <c r="C60" s="288"/>
      <c r="D60" s="91"/>
      <c r="E60" s="82"/>
    </row>
    <row r="61" spans="2:5" x14ac:dyDescent="0.2">
      <c r="B61" s="84"/>
      <c r="C61" s="288"/>
      <c r="D61" s="91"/>
      <c r="E61" s="82"/>
    </row>
    <row r="62" spans="2:5" x14ac:dyDescent="0.2">
      <c r="B62" s="84"/>
      <c r="C62" s="288"/>
      <c r="D62" s="91"/>
      <c r="E62" s="82"/>
    </row>
    <row r="63" spans="2:5" x14ac:dyDescent="0.2">
      <c r="B63" s="84"/>
      <c r="C63" s="288"/>
      <c r="D63" s="91"/>
      <c r="E63" s="82"/>
    </row>
    <row r="64" spans="2:5" x14ac:dyDescent="0.2">
      <c r="B64" s="84"/>
      <c r="C64" s="288"/>
      <c r="D64" s="91"/>
      <c r="E64" s="82"/>
    </row>
    <row r="65" spans="2:7" x14ac:dyDescent="0.2">
      <c r="B65" s="84"/>
      <c r="C65" s="288"/>
      <c r="D65" s="91"/>
      <c r="E65" s="82"/>
    </row>
    <row r="66" spans="2:7" x14ac:dyDescent="0.2">
      <c r="B66" s="84"/>
      <c r="C66" s="288"/>
      <c r="D66" s="91"/>
      <c r="E66" s="82"/>
    </row>
    <row r="67" spans="2:7" x14ac:dyDescent="0.2">
      <c r="B67" s="84"/>
      <c r="C67" s="288"/>
      <c r="D67" s="91"/>
      <c r="E67" s="82"/>
    </row>
    <row r="68" spans="2:7" x14ac:dyDescent="0.2">
      <c r="B68" s="84"/>
      <c r="C68" s="288"/>
      <c r="D68" s="91"/>
      <c r="E68" s="82"/>
    </row>
    <row r="69" spans="2:7" x14ac:dyDescent="0.2">
      <c r="B69" s="84"/>
      <c r="C69" s="288"/>
      <c r="D69" s="91"/>
      <c r="E69" s="82"/>
    </row>
    <row r="70" spans="2:7" x14ac:dyDescent="0.2">
      <c r="B70" s="84"/>
      <c r="C70" s="288"/>
      <c r="D70" s="91"/>
      <c r="E70" s="82"/>
    </row>
    <row r="71" spans="2:7" x14ac:dyDescent="0.2">
      <c r="B71" s="84"/>
      <c r="C71" s="288"/>
      <c r="D71" s="91"/>
      <c r="E71" s="82"/>
    </row>
    <row r="72" spans="2:7" x14ac:dyDescent="0.2">
      <c r="B72" s="84"/>
      <c r="C72" s="288"/>
      <c r="D72" s="91"/>
      <c r="E72" s="82"/>
    </row>
    <row r="73" spans="2:7" x14ac:dyDescent="0.2">
      <c r="B73" s="461" t="s">
        <v>376</v>
      </c>
      <c r="C73" s="462"/>
      <c r="D73" s="463"/>
      <c r="E73" s="219">
        <f>SUM(E47:E72)</f>
        <v>42778974.699999996</v>
      </c>
    </row>
    <row r="76" spans="2:7" ht="15.75" x14ac:dyDescent="0.25">
      <c r="B76" s="220" t="s">
        <v>378</v>
      </c>
      <c r="C76" s="218"/>
      <c r="D76" s="218"/>
      <c r="E76" s="218"/>
      <c r="F76" s="221"/>
      <c r="G76" s="218"/>
    </row>
    <row r="77" spans="2:7" ht="15.75" x14ac:dyDescent="0.25">
      <c r="B77" s="217"/>
      <c r="C77" s="218"/>
      <c r="D77" s="218"/>
      <c r="E77" s="218"/>
      <c r="F77" s="221"/>
      <c r="G77" s="218"/>
    </row>
    <row r="78" spans="2:7" ht="42" customHeight="1" x14ac:dyDescent="0.2">
      <c r="B78" s="48" t="s">
        <v>112</v>
      </c>
      <c r="C78" s="48" t="s">
        <v>379</v>
      </c>
      <c r="D78" s="48" t="s">
        <v>380</v>
      </c>
      <c r="E78" s="60" t="s">
        <v>381</v>
      </c>
      <c r="F78" s="60" t="s">
        <v>382</v>
      </c>
      <c r="G78" s="60" t="s">
        <v>383</v>
      </c>
    </row>
    <row r="79" spans="2:7" x14ac:dyDescent="0.2">
      <c r="B79" s="100"/>
      <c r="C79" s="48"/>
      <c r="D79" s="64"/>
      <c r="E79" s="64"/>
      <c r="F79" s="64" t="s">
        <v>384</v>
      </c>
      <c r="G79" s="64" t="s">
        <v>115</v>
      </c>
    </row>
    <row r="80" spans="2:7" x14ac:dyDescent="0.2">
      <c r="B80" s="369" t="s">
        <v>897</v>
      </c>
      <c r="C80" s="289" t="s">
        <v>907</v>
      </c>
      <c r="D80" s="82"/>
      <c r="E80" s="82"/>
      <c r="F80" s="83"/>
      <c r="G80" s="77"/>
    </row>
    <row r="81" spans="2:7" x14ac:dyDescent="0.2">
      <c r="B81" s="81"/>
      <c r="C81" s="289"/>
      <c r="D81" s="82"/>
      <c r="E81" s="82"/>
      <c r="F81" s="83"/>
      <c r="G81" s="77"/>
    </row>
    <row r="82" spans="2:7" x14ac:dyDescent="0.2">
      <c r="B82" s="81"/>
      <c r="C82" s="289"/>
      <c r="D82" s="82"/>
      <c r="E82" s="82"/>
      <c r="F82" s="83"/>
      <c r="G82" s="77"/>
    </row>
    <row r="83" spans="2:7" x14ac:dyDescent="0.2">
      <c r="B83" s="81"/>
      <c r="C83" s="289"/>
      <c r="D83" s="82"/>
      <c r="E83" s="82"/>
      <c r="F83" s="83"/>
      <c r="G83" s="77"/>
    </row>
    <row r="84" spans="2:7" x14ac:dyDescent="0.2">
      <c r="B84" s="81"/>
      <c r="C84" s="289"/>
      <c r="D84" s="82"/>
      <c r="E84" s="82"/>
      <c r="F84" s="83"/>
      <c r="G84" s="77"/>
    </row>
    <row r="85" spans="2:7" x14ac:dyDescent="0.2">
      <c r="B85" s="81"/>
      <c r="C85" s="289"/>
      <c r="D85" s="82"/>
      <c r="E85" s="82"/>
      <c r="F85" s="83"/>
      <c r="G85" s="77"/>
    </row>
    <row r="86" spans="2:7" x14ac:dyDescent="0.2">
      <c r="B86" s="81"/>
      <c r="C86" s="289"/>
      <c r="D86" s="82"/>
      <c r="E86" s="82"/>
      <c r="F86" s="83"/>
      <c r="G86" s="77"/>
    </row>
    <row r="87" spans="2:7" x14ac:dyDescent="0.2">
      <c r="B87" s="81"/>
      <c r="C87" s="289"/>
      <c r="D87" s="82"/>
      <c r="E87" s="82"/>
      <c r="F87" s="83"/>
      <c r="G87" s="77"/>
    </row>
    <row r="88" spans="2:7" x14ac:dyDescent="0.2">
      <c r="B88" s="81"/>
      <c r="C88" s="289"/>
      <c r="D88" s="82"/>
      <c r="E88" s="82"/>
      <c r="F88" s="83"/>
      <c r="G88" s="77"/>
    </row>
    <row r="89" spans="2:7" x14ac:dyDescent="0.2">
      <c r="B89" s="81"/>
      <c r="C89" s="289"/>
      <c r="D89" s="82"/>
      <c r="E89" s="82"/>
      <c r="F89" s="83"/>
      <c r="G89" s="77"/>
    </row>
    <row r="90" spans="2:7" x14ac:dyDescent="0.2">
      <c r="B90" s="81"/>
      <c r="C90" s="289"/>
      <c r="D90" s="82"/>
      <c r="E90" s="82"/>
      <c r="F90" s="83"/>
      <c r="G90" s="77"/>
    </row>
    <row r="91" spans="2:7" x14ac:dyDescent="0.2">
      <c r="B91" s="81"/>
      <c r="C91" s="289"/>
      <c r="D91" s="82"/>
      <c r="E91" s="82"/>
      <c r="F91" s="83"/>
      <c r="G91" s="77"/>
    </row>
    <row r="92" spans="2:7" x14ac:dyDescent="0.2">
      <c r="B92" s="81"/>
      <c r="C92" s="289"/>
      <c r="D92" s="82"/>
      <c r="E92" s="82"/>
      <c r="F92" s="83"/>
      <c r="G92" s="77"/>
    </row>
    <row r="93" spans="2:7" x14ac:dyDescent="0.2">
      <c r="B93" s="81"/>
      <c r="C93" s="289"/>
      <c r="D93" s="82"/>
      <c r="E93" s="82"/>
      <c r="F93" s="83"/>
      <c r="G93" s="77"/>
    </row>
    <row r="94" spans="2:7" x14ac:dyDescent="0.2">
      <c r="B94" s="81"/>
      <c r="C94" s="289"/>
      <c r="D94" s="82"/>
      <c r="E94" s="82"/>
      <c r="F94" s="83"/>
      <c r="G94" s="77"/>
    </row>
    <row r="95" spans="2:7" x14ac:dyDescent="0.2">
      <c r="B95" s="81"/>
      <c r="C95" s="289"/>
      <c r="D95" s="82"/>
      <c r="E95" s="82"/>
      <c r="F95" s="83"/>
      <c r="G95" s="77"/>
    </row>
    <row r="96" spans="2:7" x14ac:dyDescent="0.2">
      <c r="B96" s="81"/>
      <c r="C96" s="289"/>
      <c r="D96" s="82"/>
      <c r="E96" s="82"/>
      <c r="F96" s="83"/>
      <c r="G96" s="77"/>
    </row>
    <row r="97" spans="2:7" x14ac:dyDescent="0.2">
      <c r="B97" s="81"/>
      <c r="C97" s="289"/>
      <c r="D97" s="82"/>
      <c r="E97" s="82"/>
      <c r="F97" s="83"/>
      <c r="G97" s="77"/>
    </row>
    <row r="98" spans="2:7" x14ac:dyDescent="0.2">
      <c r="B98" s="459" t="s">
        <v>385</v>
      </c>
      <c r="C98" s="460"/>
      <c r="D98" s="460"/>
      <c r="E98" s="460"/>
      <c r="F98" s="460"/>
      <c r="G98" s="101">
        <f>SUM(G80:G97)</f>
        <v>0</v>
      </c>
    </row>
  </sheetData>
  <sheetProtection sheet="1" insertRows="0" deleteRows="0"/>
  <mergeCells count="4">
    <mergeCell ref="B98:F98"/>
    <mergeCell ref="B41:D41"/>
    <mergeCell ref="B6:E9"/>
    <mergeCell ref="B73:D73"/>
  </mergeCells>
  <pageMargins left="0.75" right="0.75" top="1" bottom="1" header="0.5" footer="0.5"/>
  <pageSetup paperSize="9" scale="30"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8E64C-D9D5-4552-A413-61F28042DFEC}">
  <sheetPr>
    <tabColor theme="5" tint="0.79998168889431442"/>
  </sheetPr>
  <dimension ref="A1:M2"/>
  <sheetViews>
    <sheetView workbookViewId="0"/>
  </sheetViews>
  <sheetFormatPr defaultColWidth="9.28515625" defaultRowHeight="12.75" x14ac:dyDescent="0.2"/>
  <cols>
    <col min="1" max="16384" width="9.28515625" style="367"/>
  </cols>
  <sheetData>
    <row r="1" spans="1:13" x14ac:dyDescent="0.2">
      <c r="A1"/>
    </row>
    <row r="2" spans="1:13" x14ac:dyDescent="0.2">
      <c r="M2"/>
    </row>
  </sheetData>
  <pageMargins left="0.7" right="0.7" top="0.75" bottom="0.75" header="0.3" footer="0.3"/>
  <headerFooter>
    <oddFooter>&amp;C_x000D_&amp;1#&amp;"Aptos"&amp;10&amp;K008000 APA-INTERNAL</oddFooter>
  </headerFooter>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6A890-EF56-46D2-951C-BED911DEA510}">
  <sheetPr codeName="Sheet26">
    <tabColor rgb="FF17415D"/>
  </sheetPr>
  <dimension ref="B1:I408"/>
  <sheetViews>
    <sheetView showGridLines="0" zoomScaleNormal="100" workbookViewId="0">
      <pane xSplit="1" ySplit="9" topLeftCell="B14" activePane="bottomRight" state="frozen"/>
      <selection activeCell="G47" sqref="G47"/>
      <selection pane="topRight" activeCell="G47" sqref="G47"/>
      <selection pane="bottomLeft" activeCell="G47" sqref="G47"/>
      <selection pane="bottomRight"/>
    </sheetView>
  </sheetViews>
  <sheetFormatPr defaultColWidth="8.7109375" defaultRowHeight="12.75" x14ac:dyDescent="0.2"/>
  <cols>
    <col min="1" max="1" width="11.42578125" customWidth="1"/>
    <col min="2" max="2" width="47.42578125" customWidth="1"/>
    <col min="3" max="9" width="30.7109375" customWidth="1"/>
    <col min="10" max="60" width="10.7109375" customWidth="1"/>
    <col min="62" max="62" width="13.5703125" customWidth="1"/>
  </cols>
  <sheetData>
    <row r="1" spans="2:4" ht="20.25" x14ac:dyDescent="0.2">
      <c r="B1" s="146" t="s">
        <v>52</v>
      </c>
      <c r="C1" s="146"/>
    </row>
    <row r="2" spans="2:4" ht="25.5" customHeight="1" x14ac:dyDescent="0.2">
      <c r="B2" s="146" t="str">
        <f>IF(Tradingname=0," ",Tradingname)</f>
        <v>APT Pipelines (QLD) Pty Limited</v>
      </c>
      <c r="C2" s="146"/>
    </row>
    <row r="3" spans="2:4" ht="19.5" customHeight="1" x14ac:dyDescent="0.3">
      <c r="B3" s="146" t="s">
        <v>29</v>
      </c>
      <c r="C3" s="110">
        <f>IF(Yearending=0, "01/01/2000", Yearending)</f>
        <v>45838</v>
      </c>
    </row>
    <row r="4" spans="2:4" ht="20.25" x14ac:dyDescent="0.2">
      <c r="B4" s="102" t="s">
        <v>71</v>
      </c>
      <c r="C4" s="102"/>
    </row>
    <row r="5" spans="2:4" ht="12" customHeight="1" x14ac:dyDescent="0.2"/>
    <row r="6" spans="2:4" ht="12" customHeight="1" x14ac:dyDescent="0.2">
      <c r="B6" s="446" t="s">
        <v>386</v>
      </c>
      <c r="C6" s="446"/>
      <c r="D6" s="446"/>
    </row>
    <row r="7" spans="2:4" ht="12" customHeight="1" x14ac:dyDescent="0.2">
      <c r="B7" s="446"/>
      <c r="C7" s="446"/>
      <c r="D7" s="446"/>
    </row>
    <row r="8" spans="2:4" ht="12" customHeight="1" x14ac:dyDescent="0.2">
      <c r="B8" s="446"/>
      <c r="C8" s="446"/>
      <c r="D8" s="446"/>
    </row>
    <row r="9" spans="2:4" ht="12" customHeight="1" x14ac:dyDescent="0.2">
      <c r="B9" s="446"/>
      <c r="C9" s="446"/>
      <c r="D9" s="446"/>
    </row>
    <row r="10" spans="2:4" ht="12" customHeight="1" x14ac:dyDescent="0.2"/>
    <row r="11" spans="2:4" ht="12" customHeight="1" x14ac:dyDescent="0.2"/>
    <row r="12" spans="2:4" ht="15.75" x14ac:dyDescent="0.25">
      <c r="B12" s="207" t="s">
        <v>387</v>
      </c>
    </row>
    <row r="14" spans="2:4" ht="25.5" x14ac:dyDescent="0.2">
      <c r="B14" s="62" t="s">
        <v>112</v>
      </c>
      <c r="C14" s="61" t="s">
        <v>388</v>
      </c>
      <c r="D14" s="61" t="s">
        <v>389</v>
      </c>
    </row>
    <row r="15" spans="2:4" x14ac:dyDescent="0.2">
      <c r="B15" s="301" t="s">
        <v>898</v>
      </c>
      <c r="C15" s="318" t="s">
        <v>396</v>
      </c>
      <c r="D15" s="73" t="s">
        <v>753</v>
      </c>
    </row>
    <row r="16" spans="2:4" x14ac:dyDescent="0.2">
      <c r="B16" s="301" t="s">
        <v>898</v>
      </c>
      <c r="C16" s="73" t="s">
        <v>881</v>
      </c>
      <c r="D16" s="73" t="s">
        <v>753</v>
      </c>
    </row>
    <row r="17" spans="2:6" x14ac:dyDescent="0.2">
      <c r="B17" s="301"/>
      <c r="C17" s="73"/>
      <c r="D17" s="73"/>
    </row>
    <row r="18" spans="2:6" x14ac:dyDescent="0.2">
      <c r="B18" s="301"/>
      <c r="C18" s="115"/>
      <c r="D18" s="115"/>
    </row>
    <row r="19" spans="2:6" x14ac:dyDescent="0.2">
      <c r="B19" s="301"/>
      <c r="C19" s="115"/>
      <c r="D19" s="115"/>
    </row>
    <row r="22" spans="2:6" ht="15.75" x14ac:dyDescent="0.25">
      <c r="B22" s="207" t="s">
        <v>390</v>
      </c>
    </row>
    <row r="24" spans="2:6" s="9" customFormat="1" x14ac:dyDescent="0.2">
      <c r="B24" s="112"/>
      <c r="C24" s="113" t="s">
        <v>391</v>
      </c>
    </row>
    <row r="25" spans="2:6" s="9" customFormat="1" x14ac:dyDescent="0.2">
      <c r="B25" s="112"/>
      <c r="C25" s="112" t="s">
        <v>392</v>
      </c>
      <c r="D25" s="206"/>
    </row>
    <row r="26" spans="2:6" ht="14.25" x14ac:dyDescent="0.2">
      <c r="B26" s="123" t="s">
        <v>77</v>
      </c>
      <c r="C26" s="82">
        <f>C42/365</f>
        <v>49.723013698630261</v>
      </c>
      <c r="D26" s="205"/>
      <c r="E26" s="15"/>
      <c r="F26" s="15"/>
    </row>
    <row r="27" spans="2:6" ht="14.25" x14ac:dyDescent="0.2">
      <c r="B27" s="123" t="s">
        <v>79</v>
      </c>
      <c r="C27" s="317"/>
      <c r="D27" s="205"/>
      <c r="E27" s="15"/>
      <c r="F27" s="15"/>
    </row>
    <row r="28" spans="2:6" ht="14.25" x14ac:dyDescent="0.2">
      <c r="B28" s="123" t="s">
        <v>80</v>
      </c>
      <c r="C28" s="82"/>
      <c r="D28" s="205"/>
      <c r="E28" s="15"/>
      <c r="F28" s="15"/>
    </row>
    <row r="29" spans="2:6" ht="14.25" x14ac:dyDescent="0.2">
      <c r="B29" s="123" t="s">
        <v>81</v>
      </c>
      <c r="C29" s="82"/>
      <c r="D29" s="205"/>
      <c r="E29" s="15"/>
      <c r="F29" s="15"/>
    </row>
    <row r="30" spans="2:6" ht="25.5" x14ac:dyDescent="0.2">
      <c r="B30" s="204" t="s">
        <v>82</v>
      </c>
      <c r="C30" s="82"/>
      <c r="D30" s="205"/>
      <c r="E30" s="15"/>
      <c r="F30" s="15"/>
    </row>
    <row r="31" spans="2:6" ht="14.25" x14ac:dyDescent="0.2">
      <c r="B31" s="123" t="s">
        <v>83</v>
      </c>
      <c r="C31" s="82">
        <v>3</v>
      </c>
      <c r="D31" s="205"/>
      <c r="E31" s="15"/>
      <c r="F31" s="15"/>
    </row>
    <row r="32" spans="2:6" ht="14.25" x14ac:dyDescent="0.2">
      <c r="B32" s="123" t="s">
        <v>84</v>
      </c>
      <c r="C32" s="82"/>
      <c r="D32" s="205"/>
      <c r="E32" s="15"/>
      <c r="F32" s="15"/>
    </row>
    <row r="33" spans="2:9" x14ac:dyDescent="0.2">
      <c r="B33" s="123" t="s">
        <v>85</v>
      </c>
      <c r="C33" s="82"/>
      <c r="D33" s="15"/>
      <c r="E33" s="15"/>
      <c r="F33" s="15"/>
    </row>
    <row r="34" spans="2:9" x14ac:dyDescent="0.2">
      <c r="B34" s="123" t="s">
        <v>87</v>
      </c>
      <c r="C34" s="82"/>
      <c r="D34" s="15"/>
      <c r="E34" s="15"/>
      <c r="F34" s="15"/>
    </row>
    <row r="35" spans="2:9" x14ac:dyDescent="0.2">
      <c r="B35" s="123" t="s">
        <v>89</v>
      </c>
      <c r="C35" s="82">
        <v>31.300000000000008</v>
      </c>
    </row>
    <row r="38" spans="2:9" ht="15.75" x14ac:dyDescent="0.25">
      <c r="B38" s="207" t="s">
        <v>393</v>
      </c>
    </row>
    <row r="40" spans="2:9" s="9" customFormat="1" ht="25.5" x14ac:dyDescent="0.2">
      <c r="B40" s="112"/>
      <c r="C40" s="113" t="s">
        <v>394</v>
      </c>
      <c r="D40" s="113" t="s">
        <v>395</v>
      </c>
      <c r="E40" s="113" t="s">
        <v>396</v>
      </c>
      <c r="F40" s="113" t="s">
        <v>96</v>
      </c>
      <c r="G40" s="113" t="s">
        <v>397</v>
      </c>
      <c r="H40" s="113" t="s">
        <v>398</v>
      </c>
      <c r="I40" s="113" t="s">
        <v>399</v>
      </c>
    </row>
    <row r="41" spans="2:9" s="9" customFormat="1" x14ac:dyDescent="0.2">
      <c r="B41" s="112"/>
      <c r="C41" s="114" t="s">
        <v>392</v>
      </c>
      <c r="D41" s="114" t="s">
        <v>392</v>
      </c>
      <c r="E41" s="114" t="s">
        <v>392</v>
      </c>
      <c r="F41" s="114" t="s">
        <v>392</v>
      </c>
      <c r="G41" s="113"/>
      <c r="H41" s="113"/>
      <c r="I41" s="113"/>
    </row>
    <row r="42" spans="2:9" x14ac:dyDescent="0.2">
      <c r="B42" s="203" t="s">
        <v>55</v>
      </c>
      <c r="C42" s="22">
        <f>SUM(C43:C408)</f>
        <v>18148.900000000045</v>
      </c>
      <c r="D42" s="22">
        <f>SUM(D43:D408)</f>
        <v>0</v>
      </c>
      <c r="E42" s="22">
        <f>SUM(E43:E408)</f>
        <v>30079.557000000015</v>
      </c>
      <c r="F42" s="22" t="s">
        <v>400</v>
      </c>
      <c r="G42" s="22">
        <f>SUM(G43:G408)</f>
        <v>37080.442999999977</v>
      </c>
      <c r="H42" s="22">
        <f>SUM(H43:H408)</f>
        <v>49011.100000000013</v>
      </c>
      <c r="I42" s="22">
        <f>SUM(I43:I408)</f>
        <v>-11930.657000000003</v>
      </c>
    </row>
    <row r="43" spans="2:9" x14ac:dyDescent="0.2">
      <c r="B43" s="202">
        <f>IF(Yearstart=0, "1/01/1999", Yearstart)</f>
        <v>45474</v>
      </c>
      <c r="C43" s="92">
        <v>62.699999999999996</v>
      </c>
      <c r="D43" s="92"/>
      <c r="E43" s="92">
        <v>77.337999999999994</v>
      </c>
      <c r="F43" s="92">
        <v>184</v>
      </c>
      <c r="G43" s="22">
        <f>F43-E43</f>
        <v>106.66200000000001</v>
      </c>
      <c r="H43" s="22">
        <f>'5. Historical demand'!F43-'5. Historical demand'!C43-'5. Historical demand'!D43</f>
        <v>121.30000000000001</v>
      </c>
      <c r="I43" s="22">
        <f>C43+D43-E43</f>
        <v>-14.637999999999998</v>
      </c>
    </row>
    <row r="44" spans="2:9" x14ac:dyDescent="0.2">
      <c r="B44" s="202">
        <f t="shared" ref="B44:B107" si="0">IFERROR(IF(Yearending&gt;B43, B43+1, ""),"")</f>
        <v>45475</v>
      </c>
      <c r="C44" s="92">
        <v>62.699999999999996</v>
      </c>
      <c r="D44" s="92"/>
      <c r="E44" s="92">
        <v>75.798000000000002</v>
      </c>
      <c r="F44" s="92">
        <v>184</v>
      </c>
      <c r="G44" s="22">
        <f t="shared" ref="G44:G107" si="1">IFERROR(IF(Yearending&gt;B43,F44-E44,""),"")</f>
        <v>108.202</v>
      </c>
      <c r="H44" s="22">
        <f>IFERROR(IF(Yearending&gt;B43,'5. Historical demand'!F44-'5. Historical demand'!C44-'5. Historical demand'!D44,""),"")</f>
        <v>121.30000000000001</v>
      </c>
      <c r="I44" s="22">
        <f t="shared" ref="I44:I107" si="2">IFERROR(IF(Yearending&gt;B43,C44+D44-E44,""),"")</f>
        <v>-13.098000000000006</v>
      </c>
    </row>
    <row r="45" spans="2:9" x14ac:dyDescent="0.2">
      <c r="B45" s="202">
        <f t="shared" si="0"/>
        <v>45476</v>
      </c>
      <c r="C45" s="92">
        <v>62.699999999999996</v>
      </c>
      <c r="D45" s="92"/>
      <c r="E45" s="92">
        <v>79.659000000000006</v>
      </c>
      <c r="F45" s="92">
        <v>184</v>
      </c>
      <c r="G45" s="22">
        <f t="shared" si="1"/>
        <v>104.34099999999999</v>
      </c>
      <c r="H45" s="22">
        <f>IFERROR(IF(Yearending&gt;B44,'5. Historical demand'!F45-'5. Historical demand'!C45-'5. Historical demand'!D45,""),"")</f>
        <v>121.30000000000001</v>
      </c>
      <c r="I45" s="22">
        <f t="shared" si="2"/>
        <v>-16.95900000000001</v>
      </c>
    </row>
    <row r="46" spans="2:9" x14ac:dyDescent="0.2">
      <c r="B46" s="202">
        <f t="shared" si="0"/>
        <v>45477</v>
      </c>
      <c r="C46" s="92">
        <v>62.699999999999996</v>
      </c>
      <c r="D46" s="92"/>
      <c r="E46" s="92">
        <v>69.718999999999994</v>
      </c>
      <c r="F46" s="92">
        <v>184</v>
      </c>
      <c r="G46" s="22">
        <f t="shared" si="1"/>
        <v>114.28100000000001</v>
      </c>
      <c r="H46" s="22">
        <f>IFERROR(IF(Yearending&gt;B45,'5. Historical demand'!F46-'5. Historical demand'!C46-'5. Historical demand'!D46,""),"")</f>
        <v>121.30000000000001</v>
      </c>
      <c r="I46" s="22">
        <f t="shared" si="2"/>
        <v>-7.0189999999999984</v>
      </c>
    </row>
    <row r="47" spans="2:9" x14ac:dyDescent="0.2">
      <c r="B47" s="202">
        <f t="shared" si="0"/>
        <v>45478</v>
      </c>
      <c r="C47" s="92">
        <v>62.699999999999996</v>
      </c>
      <c r="D47" s="92"/>
      <c r="E47" s="92">
        <v>74.37</v>
      </c>
      <c r="F47" s="92">
        <v>184</v>
      </c>
      <c r="G47" s="22">
        <f t="shared" si="1"/>
        <v>109.63</v>
      </c>
      <c r="H47" s="22">
        <f>IFERROR(IF(Yearending&gt;B46,'5. Historical demand'!F47-'5. Historical demand'!C47-'5. Historical demand'!D47,""),"")</f>
        <v>121.30000000000001</v>
      </c>
      <c r="I47" s="22">
        <f t="shared" si="2"/>
        <v>-11.670000000000009</v>
      </c>
    </row>
    <row r="48" spans="2:9" x14ac:dyDescent="0.2">
      <c r="B48" s="202">
        <f t="shared" si="0"/>
        <v>45479</v>
      </c>
      <c r="C48" s="92">
        <v>62.699999999999996</v>
      </c>
      <c r="D48" s="92"/>
      <c r="E48" s="92">
        <v>73.096000000000004</v>
      </c>
      <c r="F48" s="92">
        <v>184</v>
      </c>
      <c r="G48" s="22">
        <f t="shared" si="1"/>
        <v>110.904</v>
      </c>
      <c r="H48" s="22">
        <f>IFERROR(IF(Yearending&gt;B47,'5. Historical demand'!F48-'5. Historical demand'!C48-'5. Historical demand'!D48,""),"")</f>
        <v>121.30000000000001</v>
      </c>
      <c r="I48" s="22">
        <f t="shared" si="2"/>
        <v>-10.396000000000008</v>
      </c>
    </row>
    <row r="49" spans="2:9" x14ac:dyDescent="0.2">
      <c r="B49" s="202">
        <f t="shared" si="0"/>
        <v>45480</v>
      </c>
      <c r="C49" s="92">
        <v>62.699999999999996</v>
      </c>
      <c r="D49" s="92"/>
      <c r="E49" s="92">
        <v>77.971000000000004</v>
      </c>
      <c r="F49" s="92">
        <v>184</v>
      </c>
      <c r="G49" s="22">
        <f t="shared" si="1"/>
        <v>106.029</v>
      </c>
      <c r="H49" s="22">
        <f>IFERROR(IF(Yearending&gt;B48,'5. Historical demand'!F49-'5. Historical demand'!C49-'5. Historical demand'!D49,""),"")</f>
        <v>121.30000000000001</v>
      </c>
      <c r="I49" s="22">
        <f t="shared" si="2"/>
        <v>-15.271000000000008</v>
      </c>
    </row>
    <row r="50" spans="2:9" x14ac:dyDescent="0.2">
      <c r="B50" s="202">
        <f t="shared" si="0"/>
        <v>45481</v>
      </c>
      <c r="C50" s="92">
        <v>62.699999999999996</v>
      </c>
      <c r="D50" s="92"/>
      <c r="E50" s="92">
        <v>71.408000000000001</v>
      </c>
      <c r="F50" s="92">
        <v>184</v>
      </c>
      <c r="G50" s="22">
        <f t="shared" si="1"/>
        <v>112.592</v>
      </c>
      <c r="H50" s="22">
        <f>IFERROR(IF(Yearending&gt;B49,'5. Historical demand'!F50-'5. Historical demand'!C50-'5. Historical demand'!D50,""),"")</f>
        <v>121.30000000000001</v>
      </c>
      <c r="I50" s="22">
        <f t="shared" si="2"/>
        <v>-8.7080000000000055</v>
      </c>
    </row>
    <row r="51" spans="2:9" x14ac:dyDescent="0.2">
      <c r="B51" s="202">
        <f t="shared" si="0"/>
        <v>45482</v>
      </c>
      <c r="C51" s="92">
        <v>62.699999999999996</v>
      </c>
      <c r="D51" s="92"/>
      <c r="E51" s="92">
        <v>78.724000000000004</v>
      </c>
      <c r="F51" s="92">
        <v>184</v>
      </c>
      <c r="G51" s="22">
        <f t="shared" si="1"/>
        <v>105.276</v>
      </c>
      <c r="H51" s="22">
        <f>IFERROR(IF(Yearending&gt;B50,'5. Historical demand'!F51-'5. Historical demand'!C51-'5. Historical demand'!D51,""),"")</f>
        <v>121.30000000000001</v>
      </c>
      <c r="I51" s="22">
        <f t="shared" si="2"/>
        <v>-16.024000000000008</v>
      </c>
    </row>
    <row r="52" spans="2:9" x14ac:dyDescent="0.2">
      <c r="B52" s="202">
        <f t="shared" si="0"/>
        <v>45483</v>
      </c>
      <c r="C52" s="92">
        <v>62.699999999999996</v>
      </c>
      <c r="D52" s="92"/>
      <c r="E52" s="92">
        <v>81.221999999999994</v>
      </c>
      <c r="F52" s="92">
        <v>184</v>
      </c>
      <c r="G52" s="22">
        <f t="shared" si="1"/>
        <v>102.77800000000001</v>
      </c>
      <c r="H52" s="22">
        <f>IFERROR(IF(Yearending&gt;B51,'5. Historical demand'!F52-'5. Historical demand'!C52-'5. Historical demand'!D52,""),"")</f>
        <v>121.30000000000001</v>
      </c>
      <c r="I52" s="22">
        <f t="shared" si="2"/>
        <v>-18.521999999999998</v>
      </c>
    </row>
    <row r="53" spans="2:9" x14ac:dyDescent="0.2">
      <c r="B53" s="202">
        <f t="shared" si="0"/>
        <v>45484</v>
      </c>
      <c r="C53" s="92">
        <v>62.699999999999996</v>
      </c>
      <c r="D53" s="92"/>
      <c r="E53" s="92">
        <v>79.733000000000004</v>
      </c>
      <c r="F53" s="92">
        <v>184</v>
      </c>
      <c r="G53" s="22">
        <f t="shared" si="1"/>
        <v>104.267</v>
      </c>
      <c r="H53" s="22">
        <f>IFERROR(IF(Yearending&gt;B52,'5. Historical demand'!F53-'5. Historical demand'!C53-'5. Historical demand'!D53,""),"")</f>
        <v>121.30000000000001</v>
      </c>
      <c r="I53" s="22">
        <f t="shared" si="2"/>
        <v>-17.033000000000008</v>
      </c>
    </row>
    <row r="54" spans="2:9" x14ac:dyDescent="0.2">
      <c r="B54" s="202">
        <f t="shared" si="0"/>
        <v>45485</v>
      </c>
      <c r="C54" s="92">
        <v>62.699999999999996</v>
      </c>
      <c r="D54" s="92"/>
      <c r="E54" s="92">
        <v>82.16</v>
      </c>
      <c r="F54" s="92">
        <v>184</v>
      </c>
      <c r="G54" s="22">
        <f t="shared" si="1"/>
        <v>101.84</v>
      </c>
      <c r="H54" s="22">
        <f>IFERROR(IF(Yearending&gt;B53,'5. Historical demand'!F54-'5. Historical demand'!C54-'5. Historical demand'!D54,""),"")</f>
        <v>121.30000000000001</v>
      </c>
      <c r="I54" s="22">
        <f t="shared" si="2"/>
        <v>-19.46</v>
      </c>
    </row>
    <row r="55" spans="2:9" x14ac:dyDescent="0.2">
      <c r="B55" s="202">
        <f t="shared" si="0"/>
        <v>45486</v>
      </c>
      <c r="C55" s="92">
        <v>62.699999999999996</v>
      </c>
      <c r="D55" s="92"/>
      <c r="E55" s="92">
        <v>89.837000000000003</v>
      </c>
      <c r="F55" s="92">
        <v>184</v>
      </c>
      <c r="G55" s="22">
        <f t="shared" si="1"/>
        <v>94.162999999999997</v>
      </c>
      <c r="H55" s="22">
        <f>IFERROR(IF(Yearending&gt;B54,'5. Historical demand'!F55-'5. Historical demand'!C55-'5. Historical demand'!D55,""),"")</f>
        <v>121.30000000000001</v>
      </c>
      <c r="I55" s="22">
        <f t="shared" si="2"/>
        <v>-27.137000000000008</v>
      </c>
    </row>
    <row r="56" spans="2:9" x14ac:dyDescent="0.2">
      <c r="B56" s="202">
        <f t="shared" si="0"/>
        <v>45487</v>
      </c>
      <c r="C56" s="92">
        <v>62.699999999999996</v>
      </c>
      <c r="D56" s="92"/>
      <c r="E56" s="92">
        <v>82.628</v>
      </c>
      <c r="F56" s="92">
        <v>184</v>
      </c>
      <c r="G56" s="22">
        <f t="shared" si="1"/>
        <v>101.372</v>
      </c>
      <c r="H56" s="22">
        <f>IFERROR(IF(Yearending&gt;B55,'5. Historical demand'!F56-'5. Historical demand'!C56-'5. Historical demand'!D56,""),"")</f>
        <v>121.30000000000001</v>
      </c>
      <c r="I56" s="22">
        <f t="shared" si="2"/>
        <v>-19.928000000000004</v>
      </c>
    </row>
    <row r="57" spans="2:9" x14ac:dyDescent="0.2">
      <c r="B57" s="202">
        <f t="shared" si="0"/>
        <v>45488</v>
      </c>
      <c r="C57" s="92">
        <v>62.699999999999996</v>
      </c>
      <c r="D57" s="92"/>
      <c r="E57" s="92">
        <v>82.995999999999995</v>
      </c>
      <c r="F57" s="92">
        <v>184</v>
      </c>
      <c r="G57" s="22">
        <f t="shared" si="1"/>
        <v>101.004</v>
      </c>
      <c r="H57" s="22">
        <f>IFERROR(IF(Yearending&gt;B56,'5. Historical demand'!F57-'5. Historical demand'!C57-'5. Historical demand'!D57,""),"")</f>
        <v>121.30000000000001</v>
      </c>
      <c r="I57" s="22">
        <f t="shared" si="2"/>
        <v>-20.295999999999999</v>
      </c>
    </row>
    <row r="58" spans="2:9" x14ac:dyDescent="0.2">
      <c r="B58" s="202">
        <f t="shared" si="0"/>
        <v>45489</v>
      </c>
      <c r="C58" s="92">
        <v>62.699999999999996</v>
      </c>
      <c r="D58" s="92"/>
      <c r="E58" s="92">
        <v>82.46</v>
      </c>
      <c r="F58" s="92">
        <v>184</v>
      </c>
      <c r="G58" s="22">
        <f t="shared" si="1"/>
        <v>101.54</v>
      </c>
      <c r="H58" s="22">
        <f>IFERROR(IF(Yearending&gt;B57,'5. Historical demand'!F58-'5. Historical demand'!C58-'5. Historical demand'!D58,""),"")</f>
        <v>121.30000000000001</v>
      </c>
      <c r="I58" s="22">
        <f t="shared" si="2"/>
        <v>-19.759999999999998</v>
      </c>
    </row>
    <row r="59" spans="2:9" x14ac:dyDescent="0.2">
      <c r="B59" s="202">
        <f t="shared" si="0"/>
        <v>45490</v>
      </c>
      <c r="C59" s="92">
        <v>62.699999999999996</v>
      </c>
      <c r="D59" s="92"/>
      <c r="E59" s="92">
        <v>72.819999999999993</v>
      </c>
      <c r="F59" s="92">
        <v>184</v>
      </c>
      <c r="G59" s="22">
        <f t="shared" si="1"/>
        <v>111.18</v>
      </c>
      <c r="H59" s="22">
        <f>IFERROR(IF(Yearending&gt;B58,'5. Historical demand'!F59-'5. Historical demand'!C59-'5. Historical demand'!D59,""),"")</f>
        <v>121.30000000000001</v>
      </c>
      <c r="I59" s="22">
        <f t="shared" si="2"/>
        <v>-10.119999999999997</v>
      </c>
    </row>
    <row r="60" spans="2:9" x14ac:dyDescent="0.2">
      <c r="B60" s="202">
        <f t="shared" si="0"/>
        <v>45491</v>
      </c>
      <c r="C60" s="92">
        <v>62.699999999999996</v>
      </c>
      <c r="D60" s="92"/>
      <c r="E60" s="92">
        <v>74.271000000000001</v>
      </c>
      <c r="F60" s="92">
        <v>184</v>
      </c>
      <c r="G60" s="22">
        <f t="shared" si="1"/>
        <v>109.729</v>
      </c>
      <c r="H60" s="22">
        <f>IFERROR(IF(Yearending&gt;B59,'5. Historical demand'!F60-'5. Historical demand'!C60-'5. Historical demand'!D60,""),"")</f>
        <v>121.30000000000001</v>
      </c>
      <c r="I60" s="22">
        <f t="shared" si="2"/>
        <v>-11.571000000000005</v>
      </c>
    </row>
    <row r="61" spans="2:9" x14ac:dyDescent="0.2">
      <c r="B61" s="202">
        <f t="shared" si="0"/>
        <v>45492</v>
      </c>
      <c r="C61" s="92">
        <v>62.699999999999996</v>
      </c>
      <c r="D61" s="92"/>
      <c r="E61" s="92">
        <v>75.218999999999994</v>
      </c>
      <c r="F61" s="92">
        <v>184</v>
      </c>
      <c r="G61" s="22">
        <f t="shared" si="1"/>
        <v>108.78100000000001</v>
      </c>
      <c r="H61" s="22">
        <f>IFERROR(IF(Yearending&gt;B60,'5. Historical demand'!F61-'5. Historical demand'!C61-'5. Historical demand'!D61,""),"")</f>
        <v>121.30000000000001</v>
      </c>
      <c r="I61" s="22">
        <f t="shared" si="2"/>
        <v>-12.518999999999998</v>
      </c>
    </row>
    <row r="62" spans="2:9" x14ac:dyDescent="0.2">
      <c r="B62" s="202">
        <f t="shared" si="0"/>
        <v>45493</v>
      </c>
      <c r="C62" s="92">
        <v>62.699999999999996</v>
      </c>
      <c r="D62" s="92"/>
      <c r="E62" s="92">
        <v>83.981999999999999</v>
      </c>
      <c r="F62" s="92">
        <v>184</v>
      </c>
      <c r="G62" s="22">
        <f t="shared" si="1"/>
        <v>100.018</v>
      </c>
      <c r="H62" s="22">
        <f>IFERROR(IF(Yearending&gt;B61,'5. Historical demand'!F62-'5. Historical demand'!C62-'5. Historical demand'!D62,""),"")</f>
        <v>121.30000000000001</v>
      </c>
      <c r="I62" s="22">
        <f t="shared" si="2"/>
        <v>-21.282000000000004</v>
      </c>
    </row>
    <row r="63" spans="2:9" x14ac:dyDescent="0.2">
      <c r="B63" s="202">
        <f t="shared" si="0"/>
        <v>45494</v>
      </c>
      <c r="C63" s="92">
        <v>62.699999999999996</v>
      </c>
      <c r="D63" s="92"/>
      <c r="E63" s="92">
        <v>73.263000000000005</v>
      </c>
      <c r="F63" s="92">
        <v>184</v>
      </c>
      <c r="G63" s="22">
        <f t="shared" si="1"/>
        <v>110.73699999999999</v>
      </c>
      <c r="H63" s="22">
        <f>IFERROR(IF(Yearending&gt;B62,'5. Historical demand'!F63-'5. Historical demand'!C63-'5. Historical demand'!D63,""),"")</f>
        <v>121.30000000000001</v>
      </c>
      <c r="I63" s="22">
        <f t="shared" si="2"/>
        <v>-10.563000000000009</v>
      </c>
    </row>
    <row r="64" spans="2:9" x14ac:dyDescent="0.2">
      <c r="B64" s="202">
        <f t="shared" si="0"/>
        <v>45495</v>
      </c>
      <c r="C64" s="92">
        <v>62.699999999999996</v>
      </c>
      <c r="D64" s="92"/>
      <c r="E64" s="92">
        <v>74.510000000000005</v>
      </c>
      <c r="F64" s="92">
        <v>184</v>
      </c>
      <c r="G64" s="22">
        <f t="shared" si="1"/>
        <v>109.49</v>
      </c>
      <c r="H64" s="22">
        <f>IFERROR(IF(Yearending&gt;B63,'5. Historical demand'!F64-'5. Historical demand'!C64-'5. Historical demand'!D64,""),"")</f>
        <v>121.30000000000001</v>
      </c>
      <c r="I64" s="22">
        <f t="shared" si="2"/>
        <v>-11.810000000000009</v>
      </c>
    </row>
    <row r="65" spans="2:9" x14ac:dyDescent="0.2">
      <c r="B65" s="202">
        <f t="shared" si="0"/>
        <v>45496</v>
      </c>
      <c r="C65" s="92">
        <v>62.699999999999996</v>
      </c>
      <c r="D65" s="92"/>
      <c r="E65" s="92">
        <v>80.951999999999998</v>
      </c>
      <c r="F65" s="92">
        <v>184</v>
      </c>
      <c r="G65" s="22">
        <f t="shared" si="1"/>
        <v>103.048</v>
      </c>
      <c r="H65" s="22">
        <f>IFERROR(IF(Yearending&gt;B64,'5. Historical demand'!F65-'5. Historical demand'!C65-'5. Historical demand'!D65,""),"")</f>
        <v>121.30000000000001</v>
      </c>
      <c r="I65" s="22">
        <f t="shared" si="2"/>
        <v>-18.252000000000002</v>
      </c>
    </row>
    <row r="66" spans="2:9" x14ac:dyDescent="0.2">
      <c r="B66" s="202">
        <f t="shared" si="0"/>
        <v>45497</v>
      </c>
      <c r="C66" s="92">
        <v>62.699999999999996</v>
      </c>
      <c r="D66" s="92"/>
      <c r="E66" s="92">
        <v>82.218000000000004</v>
      </c>
      <c r="F66" s="92">
        <v>184</v>
      </c>
      <c r="G66" s="22">
        <f t="shared" si="1"/>
        <v>101.782</v>
      </c>
      <c r="H66" s="22">
        <f>IFERROR(IF(Yearending&gt;B65,'5. Historical demand'!F66-'5. Historical demand'!C66-'5. Historical demand'!D66,""),"")</f>
        <v>121.30000000000001</v>
      </c>
      <c r="I66" s="22">
        <f t="shared" si="2"/>
        <v>-19.518000000000008</v>
      </c>
    </row>
    <row r="67" spans="2:9" x14ac:dyDescent="0.2">
      <c r="B67" s="202">
        <f t="shared" si="0"/>
        <v>45498</v>
      </c>
      <c r="C67" s="92">
        <v>62.699999999999996</v>
      </c>
      <c r="D67" s="92"/>
      <c r="E67" s="92">
        <v>79.674999999999997</v>
      </c>
      <c r="F67" s="92">
        <v>184</v>
      </c>
      <c r="G67" s="22">
        <f t="shared" si="1"/>
        <v>104.325</v>
      </c>
      <c r="H67" s="22">
        <f>IFERROR(IF(Yearending&gt;B66,'5. Historical demand'!F67-'5. Historical demand'!C67-'5. Historical demand'!D67,""),"")</f>
        <v>121.30000000000001</v>
      </c>
      <c r="I67" s="22">
        <f t="shared" si="2"/>
        <v>-16.975000000000001</v>
      </c>
    </row>
    <row r="68" spans="2:9" x14ac:dyDescent="0.2">
      <c r="B68" s="202">
        <f t="shared" si="0"/>
        <v>45499</v>
      </c>
      <c r="C68" s="92">
        <v>62.699999999999996</v>
      </c>
      <c r="D68" s="92"/>
      <c r="E68" s="92">
        <v>84.027000000000001</v>
      </c>
      <c r="F68" s="92">
        <v>184</v>
      </c>
      <c r="G68" s="22">
        <f t="shared" si="1"/>
        <v>99.972999999999999</v>
      </c>
      <c r="H68" s="22">
        <f>IFERROR(IF(Yearending&gt;B67,'5. Historical demand'!F68-'5. Historical demand'!C68-'5. Historical demand'!D68,""),"")</f>
        <v>121.30000000000001</v>
      </c>
      <c r="I68" s="22">
        <f t="shared" si="2"/>
        <v>-21.327000000000005</v>
      </c>
    </row>
    <row r="69" spans="2:9" x14ac:dyDescent="0.2">
      <c r="B69" s="202">
        <f t="shared" si="0"/>
        <v>45500</v>
      </c>
      <c r="C69" s="92">
        <v>62.699999999999996</v>
      </c>
      <c r="D69" s="92"/>
      <c r="E69" s="92">
        <v>88.375</v>
      </c>
      <c r="F69" s="92">
        <v>184</v>
      </c>
      <c r="G69" s="22">
        <f t="shared" si="1"/>
        <v>95.625</v>
      </c>
      <c r="H69" s="22">
        <f>IFERROR(IF(Yearending&gt;B68,'5. Historical demand'!F69-'5. Historical demand'!C69-'5. Historical demand'!D69,""),"")</f>
        <v>121.30000000000001</v>
      </c>
      <c r="I69" s="22">
        <f t="shared" si="2"/>
        <v>-25.675000000000004</v>
      </c>
    </row>
    <row r="70" spans="2:9" x14ac:dyDescent="0.2">
      <c r="B70" s="202">
        <f t="shared" si="0"/>
        <v>45501</v>
      </c>
      <c r="C70" s="92">
        <v>62.699999999999996</v>
      </c>
      <c r="D70" s="92"/>
      <c r="E70" s="92">
        <v>88.628</v>
      </c>
      <c r="F70" s="92">
        <v>184</v>
      </c>
      <c r="G70" s="22">
        <f t="shared" si="1"/>
        <v>95.372</v>
      </c>
      <c r="H70" s="22">
        <f>IFERROR(IF(Yearending&gt;B69,'5. Historical demand'!F70-'5. Historical demand'!C70-'5. Historical demand'!D70,""),"")</f>
        <v>121.30000000000001</v>
      </c>
      <c r="I70" s="22">
        <f t="shared" si="2"/>
        <v>-25.928000000000004</v>
      </c>
    </row>
    <row r="71" spans="2:9" x14ac:dyDescent="0.2">
      <c r="B71" s="202">
        <f t="shared" si="0"/>
        <v>45502</v>
      </c>
      <c r="C71" s="92">
        <v>62.699999999999996</v>
      </c>
      <c r="D71" s="92"/>
      <c r="E71" s="92">
        <v>89.058999999999997</v>
      </c>
      <c r="F71" s="92">
        <v>184</v>
      </c>
      <c r="G71" s="22">
        <f t="shared" si="1"/>
        <v>94.941000000000003</v>
      </c>
      <c r="H71" s="22">
        <f>IFERROR(IF(Yearending&gt;B70,'5. Historical demand'!F71-'5. Historical demand'!C71-'5. Historical demand'!D71,""),"")</f>
        <v>121.30000000000001</v>
      </c>
      <c r="I71" s="22">
        <f t="shared" si="2"/>
        <v>-26.359000000000002</v>
      </c>
    </row>
    <row r="72" spans="2:9" x14ac:dyDescent="0.2">
      <c r="B72" s="202">
        <f t="shared" si="0"/>
        <v>45503</v>
      </c>
      <c r="C72" s="92">
        <v>62.699999999999996</v>
      </c>
      <c r="D72" s="92"/>
      <c r="E72" s="92">
        <v>83.075000000000003</v>
      </c>
      <c r="F72" s="92">
        <v>184</v>
      </c>
      <c r="G72" s="22">
        <f t="shared" si="1"/>
        <v>100.925</v>
      </c>
      <c r="H72" s="22">
        <f>IFERROR(IF(Yearending&gt;B71,'5. Historical demand'!F72-'5. Historical demand'!C72-'5. Historical demand'!D72,""),"")</f>
        <v>121.30000000000001</v>
      </c>
      <c r="I72" s="22">
        <f t="shared" si="2"/>
        <v>-20.375000000000007</v>
      </c>
    </row>
    <row r="73" spans="2:9" x14ac:dyDescent="0.2">
      <c r="B73" s="202">
        <f t="shared" si="0"/>
        <v>45504</v>
      </c>
      <c r="C73" s="92">
        <v>62.699999999999996</v>
      </c>
      <c r="D73" s="92"/>
      <c r="E73" s="92">
        <v>90.108000000000004</v>
      </c>
      <c r="F73" s="92">
        <v>184</v>
      </c>
      <c r="G73" s="22">
        <f t="shared" si="1"/>
        <v>93.891999999999996</v>
      </c>
      <c r="H73" s="22">
        <f>IFERROR(IF(Yearending&gt;B72,'5. Historical demand'!F73-'5. Historical demand'!C73-'5. Historical demand'!D73,""),"")</f>
        <v>121.30000000000001</v>
      </c>
      <c r="I73" s="22">
        <f t="shared" si="2"/>
        <v>-27.408000000000008</v>
      </c>
    </row>
    <row r="74" spans="2:9" x14ac:dyDescent="0.2">
      <c r="B74" s="202">
        <f t="shared" si="0"/>
        <v>45505</v>
      </c>
      <c r="C74" s="92">
        <v>62.699999999999996</v>
      </c>
      <c r="D74" s="92"/>
      <c r="E74" s="92">
        <v>82.591999999999999</v>
      </c>
      <c r="F74" s="92">
        <v>184</v>
      </c>
      <c r="G74" s="22">
        <f t="shared" si="1"/>
        <v>101.408</v>
      </c>
      <c r="H74" s="22">
        <f>IFERROR(IF(Yearending&gt;B73,'5. Historical demand'!F74-'5. Historical demand'!C74-'5. Historical demand'!D74,""),"")</f>
        <v>121.30000000000001</v>
      </c>
      <c r="I74" s="22">
        <f t="shared" si="2"/>
        <v>-19.892000000000003</v>
      </c>
    </row>
    <row r="75" spans="2:9" x14ac:dyDescent="0.2">
      <c r="B75" s="202">
        <f t="shared" si="0"/>
        <v>45506</v>
      </c>
      <c r="C75" s="92">
        <v>62.699999999999996</v>
      </c>
      <c r="D75" s="92"/>
      <c r="E75" s="92">
        <v>83.777000000000001</v>
      </c>
      <c r="F75" s="92">
        <v>184</v>
      </c>
      <c r="G75" s="22">
        <f t="shared" si="1"/>
        <v>100.223</v>
      </c>
      <c r="H75" s="22">
        <f>IFERROR(IF(Yearending&gt;B74,'5. Historical demand'!F75-'5. Historical demand'!C75-'5. Historical demand'!D75,""),"")</f>
        <v>121.30000000000001</v>
      </c>
      <c r="I75" s="22">
        <f t="shared" si="2"/>
        <v>-21.077000000000005</v>
      </c>
    </row>
    <row r="76" spans="2:9" x14ac:dyDescent="0.2">
      <c r="B76" s="202">
        <f t="shared" si="0"/>
        <v>45507</v>
      </c>
      <c r="C76" s="92">
        <v>62.699999999999996</v>
      </c>
      <c r="D76" s="92"/>
      <c r="E76" s="92">
        <v>82.834000000000003</v>
      </c>
      <c r="F76" s="92">
        <v>184</v>
      </c>
      <c r="G76" s="22">
        <f t="shared" si="1"/>
        <v>101.166</v>
      </c>
      <c r="H76" s="22">
        <f>IFERROR(IF(Yearending&gt;B75,'5. Historical demand'!F76-'5. Historical demand'!C76-'5. Historical demand'!D76,""),"")</f>
        <v>121.30000000000001</v>
      </c>
      <c r="I76" s="22">
        <f t="shared" si="2"/>
        <v>-20.134000000000007</v>
      </c>
    </row>
    <row r="77" spans="2:9" x14ac:dyDescent="0.2">
      <c r="B77" s="202">
        <f t="shared" si="0"/>
        <v>45508</v>
      </c>
      <c r="C77" s="92">
        <v>62.699999999999996</v>
      </c>
      <c r="D77" s="92"/>
      <c r="E77" s="92">
        <v>85.436000000000007</v>
      </c>
      <c r="F77" s="92">
        <v>184</v>
      </c>
      <c r="G77" s="22">
        <f t="shared" si="1"/>
        <v>98.563999999999993</v>
      </c>
      <c r="H77" s="22">
        <f>IFERROR(IF(Yearending&gt;B76,'5. Historical demand'!F77-'5. Historical demand'!C77-'5. Historical demand'!D77,""),"")</f>
        <v>121.30000000000001</v>
      </c>
      <c r="I77" s="22">
        <f t="shared" si="2"/>
        <v>-22.736000000000011</v>
      </c>
    </row>
    <row r="78" spans="2:9" x14ac:dyDescent="0.2">
      <c r="B78" s="202">
        <f t="shared" si="0"/>
        <v>45509</v>
      </c>
      <c r="C78" s="92">
        <v>62.699999999999996</v>
      </c>
      <c r="D78" s="92"/>
      <c r="E78" s="92">
        <v>92.138000000000005</v>
      </c>
      <c r="F78" s="92">
        <v>184</v>
      </c>
      <c r="G78" s="22">
        <f t="shared" si="1"/>
        <v>91.861999999999995</v>
      </c>
      <c r="H78" s="22">
        <f>IFERROR(IF(Yearending&gt;B77,'5. Historical demand'!F78-'5. Historical demand'!C78-'5. Historical demand'!D78,""),"")</f>
        <v>121.30000000000001</v>
      </c>
      <c r="I78" s="22">
        <f t="shared" si="2"/>
        <v>-29.438000000000009</v>
      </c>
    </row>
    <row r="79" spans="2:9" x14ac:dyDescent="0.2">
      <c r="B79" s="202">
        <f t="shared" si="0"/>
        <v>45510</v>
      </c>
      <c r="C79" s="92">
        <v>62.699999999999996</v>
      </c>
      <c r="D79" s="92"/>
      <c r="E79" s="92">
        <v>84.35</v>
      </c>
      <c r="F79" s="92">
        <v>184</v>
      </c>
      <c r="G79" s="22">
        <f t="shared" si="1"/>
        <v>99.65</v>
      </c>
      <c r="H79" s="22">
        <f>IFERROR(IF(Yearending&gt;B78,'5. Historical demand'!F79-'5. Historical demand'!C79-'5. Historical demand'!D79,""),"")</f>
        <v>121.30000000000001</v>
      </c>
      <c r="I79" s="22">
        <f t="shared" si="2"/>
        <v>-21.65</v>
      </c>
    </row>
    <row r="80" spans="2:9" x14ac:dyDescent="0.2">
      <c r="B80" s="202">
        <f t="shared" si="0"/>
        <v>45511</v>
      </c>
      <c r="C80" s="92">
        <v>62.699999999999996</v>
      </c>
      <c r="D80" s="92"/>
      <c r="E80" s="92">
        <v>97.05</v>
      </c>
      <c r="F80" s="92">
        <v>184</v>
      </c>
      <c r="G80" s="22">
        <f t="shared" si="1"/>
        <v>86.95</v>
      </c>
      <c r="H80" s="22">
        <f>IFERROR(IF(Yearending&gt;B79,'5. Historical demand'!F80-'5. Historical demand'!C80-'5. Historical demand'!D80,""),"")</f>
        <v>121.30000000000001</v>
      </c>
      <c r="I80" s="22">
        <f t="shared" si="2"/>
        <v>-34.35</v>
      </c>
    </row>
    <row r="81" spans="2:9" x14ac:dyDescent="0.2">
      <c r="B81" s="202">
        <f t="shared" si="0"/>
        <v>45512</v>
      </c>
      <c r="C81" s="92">
        <v>62.699999999999996</v>
      </c>
      <c r="D81" s="92"/>
      <c r="E81" s="92">
        <v>102.477</v>
      </c>
      <c r="F81" s="92">
        <v>184</v>
      </c>
      <c r="G81" s="22">
        <f t="shared" si="1"/>
        <v>81.522999999999996</v>
      </c>
      <c r="H81" s="22">
        <f>IFERROR(IF(Yearending&gt;B80,'5. Historical demand'!F81-'5. Historical demand'!C81-'5. Historical demand'!D81,""),"")</f>
        <v>121.30000000000001</v>
      </c>
      <c r="I81" s="22">
        <f t="shared" si="2"/>
        <v>-39.777000000000008</v>
      </c>
    </row>
    <row r="82" spans="2:9" x14ac:dyDescent="0.2">
      <c r="B82" s="202">
        <f t="shared" si="0"/>
        <v>45513</v>
      </c>
      <c r="C82" s="92">
        <v>62.699999999999996</v>
      </c>
      <c r="D82" s="92"/>
      <c r="E82" s="92">
        <v>97.263999999999996</v>
      </c>
      <c r="F82" s="92">
        <v>184</v>
      </c>
      <c r="G82" s="22">
        <f t="shared" si="1"/>
        <v>86.736000000000004</v>
      </c>
      <c r="H82" s="22">
        <f>IFERROR(IF(Yearending&gt;B81,'5. Historical demand'!F82-'5. Historical demand'!C82-'5. Historical demand'!D82,""),"")</f>
        <v>121.30000000000001</v>
      </c>
      <c r="I82" s="22">
        <f t="shared" si="2"/>
        <v>-34.564</v>
      </c>
    </row>
    <row r="83" spans="2:9" x14ac:dyDescent="0.2">
      <c r="B83" s="202">
        <f t="shared" si="0"/>
        <v>45514</v>
      </c>
      <c r="C83" s="92">
        <v>62.699999999999996</v>
      </c>
      <c r="D83" s="92"/>
      <c r="E83" s="92">
        <v>97.388000000000005</v>
      </c>
      <c r="F83" s="92">
        <v>184</v>
      </c>
      <c r="G83" s="22">
        <f t="shared" si="1"/>
        <v>86.611999999999995</v>
      </c>
      <c r="H83" s="22">
        <f>IFERROR(IF(Yearending&gt;B82,'5. Historical demand'!F83-'5. Historical demand'!C83-'5. Historical demand'!D83,""),"")</f>
        <v>121.30000000000001</v>
      </c>
      <c r="I83" s="22">
        <f t="shared" si="2"/>
        <v>-34.688000000000009</v>
      </c>
    </row>
    <row r="84" spans="2:9" x14ac:dyDescent="0.2">
      <c r="B84" s="202">
        <f t="shared" si="0"/>
        <v>45515</v>
      </c>
      <c r="C84" s="92">
        <v>62.699999999999996</v>
      </c>
      <c r="D84" s="92"/>
      <c r="E84" s="92">
        <v>98.287000000000006</v>
      </c>
      <c r="F84" s="92">
        <v>184</v>
      </c>
      <c r="G84" s="22">
        <f t="shared" si="1"/>
        <v>85.712999999999994</v>
      </c>
      <c r="H84" s="22">
        <f>IFERROR(IF(Yearending&gt;B83,'5. Historical demand'!F84-'5. Historical demand'!C84-'5. Historical demand'!D84,""),"")</f>
        <v>121.30000000000001</v>
      </c>
      <c r="I84" s="22">
        <f t="shared" si="2"/>
        <v>-35.58700000000001</v>
      </c>
    </row>
    <row r="85" spans="2:9" x14ac:dyDescent="0.2">
      <c r="B85" s="202">
        <f t="shared" si="0"/>
        <v>45516</v>
      </c>
      <c r="C85" s="92">
        <v>62.699999999999996</v>
      </c>
      <c r="D85" s="92"/>
      <c r="E85" s="92">
        <v>102.223</v>
      </c>
      <c r="F85" s="92">
        <v>184</v>
      </c>
      <c r="G85" s="22">
        <f t="shared" si="1"/>
        <v>81.777000000000001</v>
      </c>
      <c r="H85" s="22">
        <f>IFERROR(IF(Yearending&gt;B84,'5. Historical demand'!F85-'5. Historical demand'!C85-'5. Historical demand'!D85,""),"")</f>
        <v>121.30000000000001</v>
      </c>
      <c r="I85" s="22">
        <f t="shared" si="2"/>
        <v>-39.523000000000003</v>
      </c>
    </row>
    <row r="86" spans="2:9" x14ac:dyDescent="0.2">
      <c r="B86" s="202">
        <f t="shared" si="0"/>
        <v>45517</v>
      </c>
      <c r="C86" s="92">
        <v>62.699999999999996</v>
      </c>
      <c r="D86" s="92"/>
      <c r="E86" s="92">
        <v>101.61499999999999</v>
      </c>
      <c r="F86" s="92">
        <v>184</v>
      </c>
      <c r="G86" s="22">
        <f t="shared" si="1"/>
        <v>82.385000000000005</v>
      </c>
      <c r="H86" s="22">
        <f>IFERROR(IF(Yearending&gt;B85,'5. Historical demand'!F86-'5. Historical demand'!C86-'5. Historical demand'!D86,""),"")</f>
        <v>121.30000000000001</v>
      </c>
      <c r="I86" s="22">
        <f t="shared" si="2"/>
        <v>-38.914999999999999</v>
      </c>
    </row>
    <row r="87" spans="2:9" x14ac:dyDescent="0.2">
      <c r="B87" s="202">
        <f t="shared" si="0"/>
        <v>45518</v>
      </c>
      <c r="C87" s="92">
        <v>62.699999999999996</v>
      </c>
      <c r="D87" s="92"/>
      <c r="E87" s="92">
        <v>86.418000000000006</v>
      </c>
      <c r="F87" s="92">
        <v>184</v>
      </c>
      <c r="G87" s="22">
        <f t="shared" si="1"/>
        <v>97.581999999999994</v>
      </c>
      <c r="H87" s="22">
        <f>IFERROR(IF(Yearending&gt;B86,'5. Historical demand'!F87-'5. Historical demand'!C87-'5. Historical demand'!D87,""),"")</f>
        <v>121.30000000000001</v>
      </c>
      <c r="I87" s="22">
        <f t="shared" si="2"/>
        <v>-23.718000000000011</v>
      </c>
    </row>
    <row r="88" spans="2:9" x14ac:dyDescent="0.2">
      <c r="B88" s="202">
        <f t="shared" si="0"/>
        <v>45519</v>
      </c>
      <c r="C88" s="92">
        <v>62.699999999999996</v>
      </c>
      <c r="D88" s="92"/>
      <c r="E88" s="92">
        <v>98.328999999999994</v>
      </c>
      <c r="F88" s="92">
        <v>184</v>
      </c>
      <c r="G88" s="22">
        <f t="shared" si="1"/>
        <v>85.671000000000006</v>
      </c>
      <c r="H88" s="22">
        <f>IFERROR(IF(Yearending&gt;B87,'5. Historical demand'!F88-'5. Historical demand'!C88-'5. Historical demand'!D88,""),"")</f>
        <v>121.30000000000001</v>
      </c>
      <c r="I88" s="22">
        <f t="shared" si="2"/>
        <v>-35.628999999999998</v>
      </c>
    </row>
    <row r="89" spans="2:9" x14ac:dyDescent="0.2">
      <c r="B89" s="202">
        <f t="shared" si="0"/>
        <v>45520</v>
      </c>
      <c r="C89" s="92">
        <v>62.699999999999996</v>
      </c>
      <c r="D89" s="92"/>
      <c r="E89" s="92">
        <v>89.233000000000004</v>
      </c>
      <c r="F89" s="92">
        <v>184</v>
      </c>
      <c r="G89" s="22">
        <f t="shared" si="1"/>
        <v>94.766999999999996</v>
      </c>
      <c r="H89" s="22">
        <f>IFERROR(IF(Yearending&gt;B88,'5. Historical demand'!F89-'5. Historical demand'!C89-'5. Historical demand'!D89,""),"")</f>
        <v>121.30000000000001</v>
      </c>
      <c r="I89" s="22">
        <f t="shared" si="2"/>
        <v>-26.533000000000008</v>
      </c>
    </row>
    <row r="90" spans="2:9" x14ac:dyDescent="0.2">
      <c r="B90" s="202">
        <f t="shared" si="0"/>
        <v>45521</v>
      </c>
      <c r="C90" s="92">
        <v>62.699999999999996</v>
      </c>
      <c r="D90" s="92"/>
      <c r="E90" s="92">
        <v>86.01</v>
      </c>
      <c r="F90" s="92">
        <v>184</v>
      </c>
      <c r="G90" s="22">
        <f t="shared" si="1"/>
        <v>97.99</v>
      </c>
      <c r="H90" s="22">
        <f>IFERROR(IF(Yearending&gt;B89,'5. Historical demand'!F90-'5. Historical demand'!C90-'5. Historical demand'!D90,""),"")</f>
        <v>121.30000000000001</v>
      </c>
      <c r="I90" s="22">
        <f t="shared" si="2"/>
        <v>-23.310000000000009</v>
      </c>
    </row>
    <row r="91" spans="2:9" x14ac:dyDescent="0.2">
      <c r="B91" s="202">
        <f t="shared" si="0"/>
        <v>45522</v>
      </c>
      <c r="C91" s="92">
        <v>62.699999999999996</v>
      </c>
      <c r="D91" s="92"/>
      <c r="E91" s="92">
        <v>95.71</v>
      </c>
      <c r="F91" s="92">
        <v>184</v>
      </c>
      <c r="G91" s="22">
        <f t="shared" si="1"/>
        <v>88.29</v>
      </c>
      <c r="H91" s="22">
        <f>IFERROR(IF(Yearending&gt;B90,'5. Historical demand'!F91-'5. Historical demand'!C91-'5. Historical demand'!D91,""),"")</f>
        <v>121.30000000000001</v>
      </c>
      <c r="I91" s="22">
        <f t="shared" si="2"/>
        <v>-33.01</v>
      </c>
    </row>
    <row r="92" spans="2:9" x14ac:dyDescent="0.2">
      <c r="B92" s="202">
        <f t="shared" si="0"/>
        <v>45523</v>
      </c>
      <c r="C92" s="92">
        <v>62.699999999999996</v>
      </c>
      <c r="D92" s="92"/>
      <c r="E92" s="92">
        <v>82.977000000000004</v>
      </c>
      <c r="F92" s="92">
        <v>184</v>
      </c>
      <c r="G92" s="22">
        <f t="shared" si="1"/>
        <v>101.023</v>
      </c>
      <c r="H92" s="22">
        <f>IFERROR(IF(Yearending&gt;B91,'5. Historical demand'!F92-'5. Historical demand'!C92-'5. Historical demand'!D92,""),"")</f>
        <v>121.30000000000001</v>
      </c>
      <c r="I92" s="22">
        <f t="shared" si="2"/>
        <v>-20.277000000000008</v>
      </c>
    </row>
    <row r="93" spans="2:9" x14ac:dyDescent="0.2">
      <c r="B93" s="202">
        <f t="shared" si="0"/>
        <v>45524</v>
      </c>
      <c r="C93" s="92">
        <v>62.699999999999996</v>
      </c>
      <c r="D93" s="92"/>
      <c r="E93" s="92">
        <v>89.912000000000006</v>
      </c>
      <c r="F93" s="92">
        <v>184</v>
      </c>
      <c r="G93" s="22">
        <f t="shared" si="1"/>
        <v>94.087999999999994</v>
      </c>
      <c r="H93" s="22">
        <f>IFERROR(IF(Yearending&gt;B92,'5. Historical demand'!F93-'5. Historical demand'!C93-'5. Historical demand'!D93,""),"")</f>
        <v>121.30000000000001</v>
      </c>
      <c r="I93" s="22">
        <f t="shared" si="2"/>
        <v>-27.21200000000001</v>
      </c>
    </row>
    <row r="94" spans="2:9" x14ac:dyDescent="0.2">
      <c r="B94" s="202">
        <f t="shared" si="0"/>
        <v>45525</v>
      </c>
      <c r="C94" s="92">
        <v>62.699999999999996</v>
      </c>
      <c r="D94" s="92"/>
      <c r="E94" s="92">
        <v>82.349000000000004</v>
      </c>
      <c r="F94" s="92">
        <v>184</v>
      </c>
      <c r="G94" s="22">
        <f t="shared" si="1"/>
        <v>101.651</v>
      </c>
      <c r="H94" s="22">
        <f>IFERROR(IF(Yearending&gt;B93,'5. Historical demand'!F94-'5. Historical demand'!C94-'5. Historical demand'!D94,""),"")</f>
        <v>121.30000000000001</v>
      </c>
      <c r="I94" s="22">
        <f t="shared" si="2"/>
        <v>-19.649000000000008</v>
      </c>
    </row>
    <row r="95" spans="2:9" x14ac:dyDescent="0.2">
      <c r="B95" s="202">
        <f t="shared" si="0"/>
        <v>45526</v>
      </c>
      <c r="C95" s="92">
        <v>62.699999999999996</v>
      </c>
      <c r="D95" s="92"/>
      <c r="E95" s="92">
        <v>82.308999999999997</v>
      </c>
      <c r="F95" s="92">
        <v>184</v>
      </c>
      <c r="G95" s="22">
        <f t="shared" si="1"/>
        <v>101.691</v>
      </c>
      <c r="H95" s="22">
        <f>IFERROR(IF(Yearending&gt;B94,'5. Historical demand'!F95-'5. Historical demand'!C95-'5. Historical demand'!D95,""),"")</f>
        <v>121.30000000000001</v>
      </c>
      <c r="I95" s="22">
        <f t="shared" si="2"/>
        <v>-19.609000000000002</v>
      </c>
    </row>
    <row r="96" spans="2:9" x14ac:dyDescent="0.2">
      <c r="B96" s="202">
        <f t="shared" si="0"/>
        <v>45527</v>
      </c>
      <c r="C96" s="92">
        <v>62.699999999999996</v>
      </c>
      <c r="D96" s="92"/>
      <c r="E96" s="92">
        <v>92.733000000000004</v>
      </c>
      <c r="F96" s="92">
        <v>184</v>
      </c>
      <c r="G96" s="22">
        <f t="shared" si="1"/>
        <v>91.266999999999996</v>
      </c>
      <c r="H96" s="22">
        <f>IFERROR(IF(Yearending&gt;B95,'5. Historical demand'!F96-'5. Historical demand'!C96-'5. Historical demand'!D96,""),"")</f>
        <v>121.30000000000001</v>
      </c>
      <c r="I96" s="22">
        <f t="shared" si="2"/>
        <v>-30.033000000000008</v>
      </c>
    </row>
    <row r="97" spans="2:9" x14ac:dyDescent="0.2">
      <c r="B97" s="202">
        <f t="shared" si="0"/>
        <v>45528</v>
      </c>
      <c r="C97" s="92">
        <v>62.699999999999996</v>
      </c>
      <c r="D97" s="92"/>
      <c r="E97" s="92">
        <v>95.019000000000005</v>
      </c>
      <c r="F97" s="92">
        <v>184</v>
      </c>
      <c r="G97" s="22">
        <f t="shared" si="1"/>
        <v>88.980999999999995</v>
      </c>
      <c r="H97" s="22">
        <f>IFERROR(IF(Yearending&gt;B96,'5. Historical demand'!F97-'5. Historical demand'!C97-'5. Historical demand'!D97,""),"")</f>
        <v>121.30000000000001</v>
      </c>
      <c r="I97" s="22">
        <f t="shared" si="2"/>
        <v>-32.31900000000001</v>
      </c>
    </row>
    <row r="98" spans="2:9" x14ac:dyDescent="0.2">
      <c r="B98" s="202">
        <f t="shared" si="0"/>
        <v>45529</v>
      </c>
      <c r="C98" s="92">
        <v>62.699999999999996</v>
      </c>
      <c r="D98" s="92"/>
      <c r="E98" s="92">
        <v>87.558999999999997</v>
      </c>
      <c r="F98" s="92">
        <v>184</v>
      </c>
      <c r="G98" s="22">
        <f t="shared" si="1"/>
        <v>96.441000000000003</v>
      </c>
      <c r="H98" s="22">
        <f>IFERROR(IF(Yearending&gt;B97,'5. Historical demand'!F98-'5. Historical demand'!C98-'5. Historical demand'!D98,""),"")</f>
        <v>121.30000000000001</v>
      </c>
      <c r="I98" s="22">
        <f t="shared" si="2"/>
        <v>-24.859000000000002</v>
      </c>
    </row>
    <row r="99" spans="2:9" x14ac:dyDescent="0.2">
      <c r="B99" s="202">
        <f t="shared" si="0"/>
        <v>45530</v>
      </c>
      <c r="C99" s="92">
        <v>62.699999999999996</v>
      </c>
      <c r="D99" s="92"/>
      <c r="E99" s="92">
        <v>85.474999999999994</v>
      </c>
      <c r="F99" s="92">
        <v>184</v>
      </c>
      <c r="G99" s="22">
        <f t="shared" si="1"/>
        <v>98.525000000000006</v>
      </c>
      <c r="H99" s="22">
        <f>IFERROR(IF(Yearending&gt;B98,'5. Historical demand'!F99-'5. Historical demand'!C99-'5. Historical demand'!D99,""),"")</f>
        <v>121.30000000000001</v>
      </c>
      <c r="I99" s="22">
        <f t="shared" si="2"/>
        <v>-22.774999999999999</v>
      </c>
    </row>
    <row r="100" spans="2:9" x14ac:dyDescent="0.2">
      <c r="B100" s="202">
        <f t="shared" si="0"/>
        <v>45531</v>
      </c>
      <c r="C100" s="92">
        <v>62.699999999999996</v>
      </c>
      <c r="D100" s="92"/>
      <c r="E100" s="92">
        <v>93.837999999999994</v>
      </c>
      <c r="F100" s="92">
        <v>184</v>
      </c>
      <c r="G100" s="22">
        <f t="shared" si="1"/>
        <v>90.162000000000006</v>
      </c>
      <c r="H100" s="22">
        <f>IFERROR(IF(Yearending&gt;B99,'5. Historical demand'!F100-'5. Historical demand'!C100-'5. Historical demand'!D100,""),"")</f>
        <v>121.30000000000001</v>
      </c>
      <c r="I100" s="22">
        <f t="shared" si="2"/>
        <v>-31.137999999999998</v>
      </c>
    </row>
    <row r="101" spans="2:9" x14ac:dyDescent="0.2">
      <c r="B101" s="202">
        <f t="shared" si="0"/>
        <v>45532</v>
      </c>
      <c r="C101" s="92">
        <v>62.699999999999996</v>
      </c>
      <c r="D101" s="92"/>
      <c r="E101" s="92">
        <v>86.799000000000007</v>
      </c>
      <c r="F101" s="92">
        <v>184</v>
      </c>
      <c r="G101" s="22">
        <f t="shared" si="1"/>
        <v>97.200999999999993</v>
      </c>
      <c r="H101" s="22">
        <f>IFERROR(IF(Yearending&gt;B100,'5. Historical demand'!F101-'5. Historical demand'!C101-'5. Historical demand'!D101,""),"")</f>
        <v>121.30000000000001</v>
      </c>
      <c r="I101" s="22">
        <f t="shared" si="2"/>
        <v>-24.099000000000011</v>
      </c>
    </row>
    <row r="102" spans="2:9" x14ac:dyDescent="0.2">
      <c r="B102" s="202">
        <f t="shared" si="0"/>
        <v>45533</v>
      </c>
      <c r="C102" s="92">
        <v>62.699999999999996</v>
      </c>
      <c r="D102" s="92"/>
      <c r="E102" s="92">
        <v>84.634</v>
      </c>
      <c r="F102" s="92">
        <v>184</v>
      </c>
      <c r="G102" s="22">
        <f t="shared" si="1"/>
        <v>99.366</v>
      </c>
      <c r="H102" s="22">
        <f>IFERROR(IF(Yearending&gt;B101,'5. Historical demand'!F102-'5. Historical demand'!C102-'5. Historical demand'!D102,""),"")</f>
        <v>121.30000000000001</v>
      </c>
      <c r="I102" s="22">
        <f t="shared" si="2"/>
        <v>-21.934000000000005</v>
      </c>
    </row>
    <row r="103" spans="2:9" x14ac:dyDescent="0.2">
      <c r="B103" s="202">
        <f t="shared" si="0"/>
        <v>45534</v>
      </c>
      <c r="C103" s="92">
        <v>62.699999999999996</v>
      </c>
      <c r="D103" s="92"/>
      <c r="E103" s="92">
        <v>79.06</v>
      </c>
      <c r="F103" s="92">
        <v>184</v>
      </c>
      <c r="G103" s="22">
        <f t="shared" si="1"/>
        <v>104.94</v>
      </c>
      <c r="H103" s="22">
        <f>IFERROR(IF(Yearending&gt;B102,'5. Historical demand'!F103-'5. Historical demand'!C103-'5. Historical demand'!D103,""),"")</f>
        <v>121.30000000000001</v>
      </c>
      <c r="I103" s="22">
        <f t="shared" si="2"/>
        <v>-16.360000000000007</v>
      </c>
    </row>
    <row r="104" spans="2:9" x14ac:dyDescent="0.2">
      <c r="B104" s="202">
        <f t="shared" si="0"/>
        <v>45535</v>
      </c>
      <c r="C104" s="92">
        <v>62.699999999999996</v>
      </c>
      <c r="D104" s="92"/>
      <c r="E104" s="92">
        <v>86.614999999999995</v>
      </c>
      <c r="F104" s="92">
        <v>184</v>
      </c>
      <c r="G104" s="22">
        <f t="shared" si="1"/>
        <v>97.385000000000005</v>
      </c>
      <c r="H104" s="22">
        <f>IFERROR(IF(Yearending&gt;B103,'5. Historical demand'!F104-'5. Historical demand'!C104-'5. Historical demand'!D104,""),"")</f>
        <v>121.30000000000001</v>
      </c>
      <c r="I104" s="22">
        <f t="shared" si="2"/>
        <v>-23.914999999999999</v>
      </c>
    </row>
    <row r="105" spans="2:9" x14ac:dyDescent="0.2">
      <c r="B105" s="202">
        <f t="shared" si="0"/>
        <v>45536</v>
      </c>
      <c r="C105" s="92">
        <v>63.699999999999996</v>
      </c>
      <c r="D105" s="92"/>
      <c r="E105" s="92">
        <v>83.171000000000006</v>
      </c>
      <c r="F105" s="92">
        <v>184</v>
      </c>
      <c r="G105" s="22">
        <f t="shared" si="1"/>
        <v>100.82899999999999</v>
      </c>
      <c r="H105" s="22">
        <f>IFERROR(IF(Yearending&gt;B104,'5. Historical demand'!F105-'5. Historical demand'!C105-'5. Historical demand'!D105,""),"")</f>
        <v>120.30000000000001</v>
      </c>
      <c r="I105" s="22">
        <f t="shared" si="2"/>
        <v>-19.471000000000011</v>
      </c>
    </row>
    <row r="106" spans="2:9" x14ac:dyDescent="0.2">
      <c r="B106" s="202">
        <f t="shared" si="0"/>
        <v>45537</v>
      </c>
      <c r="C106" s="92">
        <v>63.699999999999996</v>
      </c>
      <c r="D106" s="92"/>
      <c r="E106" s="92">
        <v>76.741</v>
      </c>
      <c r="F106" s="92">
        <v>184</v>
      </c>
      <c r="G106" s="22">
        <f t="shared" si="1"/>
        <v>107.259</v>
      </c>
      <c r="H106" s="22">
        <f>IFERROR(IF(Yearending&gt;B105,'5. Historical demand'!F106-'5. Historical demand'!C106-'5. Historical demand'!D106,""),"")</f>
        <v>120.30000000000001</v>
      </c>
      <c r="I106" s="22">
        <f t="shared" si="2"/>
        <v>-13.041000000000004</v>
      </c>
    </row>
    <row r="107" spans="2:9" x14ac:dyDescent="0.2">
      <c r="B107" s="202">
        <f t="shared" si="0"/>
        <v>45538</v>
      </c>
      <c r="C107" s="92">
        <v>63.699999999999996</v>
      </c>
      <c r="D107" s="92"/>
      <c r="E107" s="92">
        <v>69.149000000000001</v>
      </c>
      <c r="F107" s="92">
        <v>184</v>
      </c>
      <c r="G107" s="22">
        <f t="shared" si="1"/>
        <v>114.851</v>
      </c>
      <c r="H107" s="22">
        <f>IFERROR(IF(Yearending&gt;B106,'5. Historical demand'!F107-'5. Historical demand'!C107-'5. Historical demand'!D107,""),"")</f>
        <v>120.30000000000001</v>
      </c>
      <c r="I107" s="22">
        <f t="shared" si="2"/>
        <v>-5.4490000000000052</v>
      </c>
    </row>
    <row r="108" spans="2:9" x14ac:dyDescent="0.2">
      <c r="B108" s="202">
        <f t="shared" ref="B108:B171" si="3">IFERROR(IF(Yearending&gt;B107, B107+1, ""),"")</f>
        <v>45539</v>
      </c>
      <c r="C108" s="92">
        <v>63.699999999999996</v>
      </c>
      <c r="D108" s="92"/>
      <c r="E108" s="92">
        <v>80.432000000000002</v>
      </c>
      <c r="F108" s="92">
        <v>184</v>
      </c>
      <c r="G108" s="22">
        <f t="shared" ref="G108:G171" si="4">IFERROR(IF(Yearending&gt;B107,F108-E108,""),"")</f>
        <v>103.568</v>
      </c>
      <c r="H108" s="22">
        <f>IFERROR(IF(Yearending&gt;B107,'5. Historical demand'!F108-'5. Historical demand'!C108-'5. Historical demand'!D108,""),"")</f>
        <v>120.30000000000001</v>
      </c>
      <c r="I108" s="22">
        <f t="shared" ref="I108:I171" si="5">IFERROR(IF(Yearending&gt;B107,C108+D108-E108,""),"")</f>
        <v>-16.732000000000006</v>
      </c>
    </row>
    <row r="109" spans="2:9" x14ac:dyDescent="0.2">
      <c r="B109" s="202">
        <f t="shared" si="3"/>
        <v>45540</v>
      </c>
      <c r="C109" s="92">
        <v>63.699999999999996</v>
      </c>
      <c r="D109" s="92"/>
      <c r="E109" s="92">
        <v>78.132999999999996</v>
      </c>
      <c r="F109" s="92">
        <v>184</v>
      </c>
      <c r="G109" s="22">
        <f t="shared" si="4"/>
        <v>105.867</v>
      </c>
      <c r="H109" s="22">
        <f>IFERROR(IF(Yearending&gt;B108,'5. Historical demand'!F109-'5. Historical demand'!C109-'5. Historical demand'!D109,""),"")</f>
        <v>120.30000000000001</v>
      </c>
      <c r="I109" s="22">
        <f t="shared" si="5"/>
        <v>-14.433</v>
      </c>
    </row>
    <row r="110" spans="2:9" x14ac:dyDescent="0.2">
      <c r="B110" s="202">
        <f t="shared" si="3"/>
        <v>45541</v>
      </c>
      <c r="C110" s="92">
        <v>63.699999999999996</v>
      </c>
      <c r="D110" s="92"/>
      <c r="E110" s="92">
        <v>80.611999999999995</v>
      </c>
      <c r="F110" s="92">
        <v>184</v>
      </c>
      <c r="G110" s="22">
        <f t="shared" si="4"/>
        <v>103.38800000000001</v>
      </c>
      <c r="H110" s="22">
        <f>IFERROR(IF(Yearending&gt;B109,'5. Historical demand'!F110-'5. Historical demand'!C110-'5. Historical demand'!D110,""),"")</f>
        <v>120.30000000000001</v>
      </c>
      <c r="I110" s="22">
        <f t="shared" si="5"/>
        <v>-16.911999999999999</v>
      </c>
    </row>
    <row r="111" spans="2:9" x14ac:dyDescent="0.2">
      <c r="B111" s="202">
        <f t="shared" si="3"/>
        <v>45542</v>
      </c>
      <c r="C111" s="92">
        <v>63.699999999999996</v>
      </c>
      <c r="D111" s="92"/>
      <c r="E111" s="92">
        <v>84.748000000000005</v>
      </c>
      <c r="F111" s="92">
        <v>184</v>
      </c>
      <c r="G111" s="22">
        <f t="shared" si="4"/>
        <v>99.251999999999995</v>
      </c>
      <c r="H111" s="22">
        <f>IFERROR(IF(Yearending&gt;B110,'5. Historical demand'!F111-'5. Historical demand'!C111-'5. Historical demand'!D111,""),"")</f>
        <v>120.30000000000001</v>
      </c>
      <c r="I111" s="22">
        <f t="shared" si="5"/>
        <v>-21.048000000000009</v>
      </c>
    </row>
    <row r="112" spans="2:9" x14ac:dyDescent="0.2">
      <c r="B112" s="202">
        <f t="shared" si="3"/>
        <v>45543</v>
      </c>
      <c r="C112" s="92">
        <v>63.699999999999996</v>
      </c>
      <c r="D112" s="92"/>
      <c r="E112" s="92">
        <v>80.081999999999994</v>
      </c>
      <c r="F112" s="92">
        <v>184</v>
      </c>
      <c r="G112" s="22">
        <f t="shared" si="4"/>
        <v>103.91800000000001</v>
      </c>
      <c r="H112" s="22">
        <f>IFERROR(IF(Yearending&gt;B111,'5. Historical demand'!F112-'5. Historical demand'!C112-'5. Historical demand'!D112,""),"")</f>
        <v>120.30000000000001</v>
      </c>
      <c r="I112" s="22">
        <f t="shared" si="5"/>
        <v>-16.381999999999998</v>
      </c>
    </row>
    <row r="113" spans="2:9" x14ac:dyDescent="0.2">
      <c r="B113" s="202">
        <f t="shared" si="3"/>
        <v>45544</v>
      </c>
      <c r="C113" s="92">
        <v>63.699999999999996</v>
      </c>
      <c r="D113" s="92"/>
      <c r="E113" s="92">
        <v>77.876999999999995</v>
      </c>
      <c r="F113" s="92">
        <v>184</v>
      </c>
      <c r="G113" s="22">
        <f t="shared" si="4"/>
        <v>106.123</v>
      </c>
      <c r="H113" s="22">
        <f>IFERROR(IF(Yearending&gt;B112,'5. Historical demand'!F113-'5. Historical demand'!C113-'5. Historical demand'!D113,""),"")</f>
        <v>120.30000000000001</v>
      </c>
      <c r="I113" s="22">
        <f t="shared" si="5"/>
        <v>-14.177</v>
      </c>
    </row>
    <row r="114" spans="2:9" x14ac:dyDescent="0.2">
      <c r="B114" s="202">
        <f t="shared" si="3"/>
        <v>45545</v>
      </c>
      <c r="C114" s="92">
        <v>63.699999999999996</v>
      </c>
      <c r="D114" s="92"/>
      <c r="E114" s="92">
        <v>82.213999999999999</v>
      </c>
      <c r="F114" s="92">
        <v>184</v>
      </c>
      <c r="G114" s="22">
        <f t="shared" si="4"/>
        <v>101.786</v>
      </c>
      <c r="H114" s="22">
        <f>IFERROR(IF(Yearending&gt;B113,'5. Historical demand'!F114-'5. Historical demand'!C114-'5. Historical demand'!D114,""),"")</f>
        <v>120.30000000000001</v>
      </c>
      <c r="I114" s="22">
        <f t="shared" si="5"/>
        <v>-18.514000000000003</v>
      </c>
    </row>
    <row r="115" spans="2:9" x14ac:dyDescent="0.2">
      <c r="B115" s="202">
        <f t="shared" si="3"/>
        <v>45546</v>
      </c>
      <c r="C115" s="92">
        <v>63.699999999999996</v>
      </c>
      <c r="D115" s="92"/>
      <c r="E115" s="92">
        <v>79.372</v>
      </c>
      <c r="F115" s="92">
        <v>184</v>
      </c>
      <c r="G115" s="22">
        <f t="shared" si="4"/>
        <v>104.628</v>
      </c>
      <c r="H115" s="22">
        <f>IFERROR(IF(Yearending&gt;B114,'5. Historical demand'!F115-'5. Historical demand'!C115-'5. Historical demand'!D115,""),"")</f>
        <v>120.30000000000001</v>
      </c>
      <c r="I115" s="22">
        <f t="shared" si="5"/>
        <v>-15.672000000000004</v>
      </c>
    </row>
    <row r="116" spans="2:9" x14ac:dyDescent="0.2">
      <c r="B116" s="202">
        <f t="shared" si="3"/>
        <v>45547</v>
      </c>
      <c r="C116" s="92">
        <v>63.699999999999996</v>
      </c>
      <c r="D116" s="92"/>
      <c r="E116" s="92">
        <v>86.673000000000002</v>
      </c>
      <c r="F116" s="92">
        <v>184</v>
      </c>
      <c r="G116" s="22">
        <f t="shared" si="4"/>
        <v>97.326999999999998</v>
      </c>
      <c r="H116" s="22">
        <f>IFERROR(IF(Yearending&gt;B115,'5. Historical demand'!F116-'5. Historical demand'!C116-'5. Historical demand'!D116,""),"")</f>
        <v>120.30000000000001</v>
      </c>
      <c r="I116" s="22">
        <f t="shared" si="5"/>
        <v>-22.973000000000006</v>
      </c>
    </row>
    <row r="117" spans="2:9" x14ac:dyDescent="0.2">
      <c r="B117" s="202">
        <f t="shared" si="3"/>
        <v>45548</v>
      </c>
      <c r="C117" s="92">
        <v>63.699999999999996</v>
      </c>
      <c r="D117" s="92"/>
      <c r="E117" s="92">
        <v>86.731999999999999</v>
      </c>
      <c r="F117" s="92">
        <v>184</v>
      </c>
      <c r="G117" s="22">
        <f t="shared" si="4"/>
        <v>97.268000000000001</v>
      </c>
      <c r="H117" s="22">
        <f>IFERROR(IF(Yearending&gt;B116,'5. Historical demand'!F117-'5. Historical demand'!C117-'5. Historical demand'!D117,""),"")</f>
        <v>120.30000000000001</v>
      </c>
      <c r="I117" s="22">
        <f t="shared" si="5"/>
        <v>-23.032000000000004</v>
      </c>
    </row>
    <row r="118" spans="2:9" x14ac:dyDescent="0.2">
      <c r="B118" s="202">
        <f t="shared" si="3"/>
        <v>45549</v>
      </c>
      <c r="C118" s="92">
        <v>63.699999999999996</v>
      </c>
      <c r="D118" s="92"/>
      <c r="E118" s="92">
        <v>86.569000000000003</v>
      </c>
      <c r="F118" s="92">
        <v>184</v>
      </c>
      <c r="G118" s="22">
        <f t="shared" si="4"/>
        <v>97.430999999999997</v>
      </c>
      <c r="H118" s="22">
        <f>IFERROR(IF(Yearending&gt;B117,'5. Historical demand'!F118-'5. Historical demand'!C118-'5. Historical demand'!D118,""),"")</f>
        <v>120.30000000000001</v>
      </c>
      <c r="I118" s="22">
        <f t="shared" si="5"/>
        <v>-22.869000000000007</v>
      </c>
    </row>
    <row r="119" spans="2:9" x14ac:dyDescent="0.2">
      <c r="B119" s="202">
        <f t="shared" si="3"/>
        <v>45550</v>
      </c>
      <c r="C119" s="92">
        <v>63.699999999999996</v>
      </c>
      <c r="D119" s="92"/>
      <c r="E119" s="92">
        <v>101.179</v>
      </c>
      <c r="F119" s="92">
        <v>184</v>
      </c>
      <c r="G119" s="22">
        <f t="shared" si="4"/>
        <v>82.820999999999998</v>
      </c>
      <c r="H119" s="22">
        <f>IFERROR(IF(Yearending&gt;B118,'5. Historical demand'!F119-'5. Historical demand'!C119-'5. Historical demand'!D119,""),"")</f>
        <v>120.30000000000001</v>
      </c>
      <c r="I119" s="22">
        <f t="shared" si="5"/>
        <v>-37.479000000000006</v>
      </c>
    </row>
    <row r="120" spans="2:9" x14ac:dyDescent="0.2">
      <c r="B120" s="202">
        <f t="shared" si="3"/>
        <v>45551</v>
      </c>
      <c r="C120" s="92">
        <v>63.699999999999996</v>
      </c>
      <c r="D120" s="92"/>
      <c r="E120" s="92">
        <v>98.066000000000003</v>
      </c>
      <c r="F120" s="92">
        <v>184</v>
      </c>
      <c r="G120" s="22">
        <f t="shared" si="4"/>
        <v>85.933999999999997</v>
      </c>
      <c r="H120" s="22">
        <f>IFERROR(IF(Yearending&gt;B119,'5. Historical demand'!F120-'5. Historical demand'!C120-'5. Historical demand'!D120,""),"")</f>
        <v>120.30000000000001</v>
      </c>
      <c r="I120" s="22">
        <f t="shared" si="5"/>
        <v>-34.366000000000007</v>
      </c>
    </row>
    <row r="121" spans="2:9" x14ac:dyDescent="0.2">
      <c r="B121" s="202">
        <f t="shared" si="3"/>
        <v>45552</v>
      </c>
      <c r="C121" s="92">
        <v>63.699999999999996</v>
      </c>
      <c r="D121" s="92"/>
      <c r="E121" s="92">
        <v>97.066000000000003</v>
      </c>
      <c r="F121" s="92">
        <v>184</v>
      </c>
      <c r="G121" s="22">
        <f t="shared" si="4"/>
        <v>86.933999999999997</v>
      </c>
      <c r="H121" s="22">
        <f>IFERROR(IF(Yearending&gt;B120,'5. Historical demand'!F121-'5. Historical demand'!C121-'5. Historical demand'!D121,""),"")</f>
        <v>120.30000000000001</v>
      </c>
      <c r="I121" s="22">
        <f t="shared" si="5"/>
        <v>-33.366000000000007</v>
      </c>
    </row>
    <row r="122" spans="2:9" x14ac:dyDescent="0.2">
      <c r="B122" s="202">
        <f t="shared" si="3"/>
        <v>45553</v>
      </c>
      <c r="C122" s="92">
        <v>63.699999999999996</v>
      </c>
      <c r="D122" s="92"/>
      <c r="E122" s="92">
        <v>89.950999999999993</v>
      </c>
      <c r="F122" s="92">
        <v>184</v>
      </c>
      <c r="G122" s="22">
        <f t="shared" si="4"/>
        <v>94.049000000000007</v>
      </c>
      <c r="H122" s="22">
        <f>IFERROR(IF(Yearending&gt;B121,'5. Historical demand'!F122-'5. Historical demand'!C122-'5. Historical demand'!D122,""),"")</f>
        <v>120.30000000000001</v>
      </c>
      <c r="I122" s="22">
        <f t="shared" si="5"/>
        <v>-26.250999999999998</v>
      </c>
    </row>
    <row r="123" spans="2:9" x14ac:dyDescent="0.2">
      <c r="B123" s="202">
        <f t="shared" si="3"/>
        <v>45554</v>
      </c>
      <c r="C123" s="92">
        <v>63.699999999999996</v>
      </c>
      <c r="D123" s="92"/>
      <c r="E123" s="92">
        <v>90.268000000000001</v>
      </c>
      <c r="F123" s="92">
        <v>184</v>
      </c>
      <c r="G123" s="22">
        <f t="shared" si="4"/>
        <v>93.731999999999999</v>
      </c>
      <c r="H123" s="22">
        <f>IFERROR(IF(Yearending&gt;B122,'5. Historical demand'!F123-'5. Historical demand'!C123-'5. Historical demand'!D123,""),"")</f>
        <v>120.30000000000001</v>
      </c>
      <c r="I123" s="22">
        <f t="shared" si="5"/>
        <v>-26.568000000000005</v>
      </c>
    </row>
    <row r="124" spans="2:9" x14ac:dyDescent="0.2">
      <c r="B124" s="202">
        <f t="shared" si="3"/>
        <v>45555</v>
      </c>
      <c r="C124" s="92">
        <v>63.699999999999996</v>
      </c>
      <c r="D124" s="92"/>
      <c r="E124" s="92">
        <v>89.683999999999997</v>
      </c>
      <c r="F124" s="92">
        <v>184</v>
      </c>
      <c r="G124" s="22">
        <f t="shared" si="4"/>
        <v>94.316000000000003</v>
      </c>
      <c r="H124" s="22">
        <f>IFERROR(IF(Yearending&gt;B123,'5. Historical demand'!F124-'5. Historical demand'!C124-'5. Historical demand'!D124,""),"")</f>
        <v>120.30000000000001</v>
      </c>
      <c r="I124" s="22">
        <f t="shared" si="5"/>
        <v>-25.984000000000002</v>
      </c>
    </row>
    <row r="125" spans="2:9" x14ac:dyDescent="0.2">
      <c r="B125" s="202">
        <f t="shared" si="3"/>
        <v>45556</v>
      </c>
      <c r="C125" s="92">
        <v>63.699999999999996</v>
      </c>
      <c r="D125" s="92"/>
      <c r="E125" s="92">
        <v>90.201999999999998</v>
      </c>
      <c r="F125" s="92">
        <v>184</v>
      </c>
      <c r="G125" s="22">
        <f t="shared" si="4"/>
        <v>93.798000000000002</v>
      </c>
      <c r="H125" s="22">
        <f>IFERROR(IF(Yearending&gt;B124,'5. Historical demand'!F125-'5. Historical demand'!C125-'5. Historical demand'!D125,""),"")</f>
        <v>120.30000000000001</v>
      </c>
      <c r="I125" s="22">
        <f t="shared" si="5"/>
        <v>-26.502000000000002</v>
      </c>
    </row>
    <row r="126" spans="2:9" x14ac:dyDescent="0.2">
      <c r="B126" s="202">
        <f t="shared" si="3"/>
        <v>45557</v>
      </c>
      <c r="C126" s="92">
        <v>63.699999999999996</v>
      </c>
      <c r="D126" s="92"/>
      <c r="E126" s="92">
        <v>89.915000000000006</v>
      </c>
      <c r="F126" s="92">
        <v>184</v>
      </c>
      <c r="G126" s="22">
        <f t="shared" si="4"/>
        <v>94.084999999999994</v>
      </c>
      <c r="H126" s="22">
        <f>IFERROR(IF(Yearending&gt;B125,'5. Historical demand'!F126-'5. Historical demand'!C126-'5. Historical demand'!D126,""),"")</f>
        <v>120.30000000000001</v>
      </c>
      <c r="I126" s="22">
        <f t="shared" si="5"/>
        <v>-26.215000000000011</v>
      </c>
    </row>
    <row r="127" spans="2:9" x14ac:dyDescent="0.2">
      <c r="B127" s="202">
        <f t="shared" si="3"/>
        <v>45558</v>
      </c>
      <c r="C127" s="92">
        <v>63.699999999999996</v>
      </c>
      <c r="D127" s="92"/>
      <c r="E127" s="92">
        <v>82.206999999999994</v>
      </c>
      <c r="F127" s="92">
        <v>184</v>
      </c>
      <c r="G127" s="22">
        <f t="shared" si="4"/>
        <v>101.79300000000001</v>
      </c>
      <c r="H127" s="22">
        <f>IFERROR(IF(Yearending&gt;B126,'5. Historical demand'!F127-'5. Historical demand'!C127-'5. Historical demand'!D127,""),"")</f>
        <v>120.30000000000001</v>
      </c>
      <c r="I127" s="22">
        <f t="shared" si="5"/>
        <v>-18.506999999999998</v>
      </c>
    </row>
    <row r="128" spans="2:9" x14ac:dyDescent="0.2">
      <c r="B128" s="202">
        <f t="shared" si="3"/>
        <v>45559</v>
      </c>
      <c r="C128" s="92">
        <v>63.699999999999996</v>
      </c>
      <c r="D128" s="92"/>
      <c r="E128" s="92">
        <v>88.183000000000007</v>
      </c>
      <c r="F128" s="92">
        <v>184</v>
      </c>
      <c r="G128" s="22">
        <f t="shared" si="4"/>
        <v>95.816999999999993</v>
      </c>
      <c r="H128" s="22">
        <f>IFERROR(IF(Yearending&gt;B127,'5. Historical demand'!F128-'5. Historical demand'!C128-'5. Historical demand'!D128,""),"")</f>
        <v>120.30000000000001</v>
      </c>
      <c r="I128" s="22">
        <f t="shared" si="5"/>
        <v>-24.483000000000011</v>
      </c>
    </row>
    <row r="129" spans="2:9" x14ac:dyDescent="0.2">
      <c r="B129" s="202">
        <f t="shared" si="3"/>
        <v>45560</v>
      </c>
      <c r="C129" s="92">
        <v>63.699999999999996</v>
      </c>
      <c r="D129" s="92"/>
      <c r="E129" s="92">
        <v>91.12</v>
      </c>
      <c r="F129" s="92">
        <v>184</v>
      </c>
      <c r="G129" s="22">
        <f t="shared" si="4"/>
        <v>92.88</v>
      </c>
      <c r="H129" s="22">
        <f>IFERROR(IF(Yearending&gt;B128,'5. Historical demand'!F129-'5. Historical demand'!C129-'5. Historical demand'!D129,""),"")</f>
        <v>120.30000000000001</v>
      </c>
      <c r="I129" s="22">
        <f t="shared" si="5"/>
        <v>-27.420000000000009</v>
      </c>
    </row>
    <row r="130" spans="2:9" x14ac:dyDescent="0.2">
      <c r="B130" s="202">
        <f t="shared" si="3"/>
        <v>45561</v>
      </c>
      <c r="C130" s="92">
        <v>63.699999999999996</v>
      </c>
      <c r="D130" s="92"/>
      <c r="E130" s="92">
        <v>82.694999999999993</v>
      </c>
      <c r="F130" s="92">
        <v>184</v>
      </c>
      <c r="G130" s="22">
        <f t="shared" si="4"/>
        <v>101.30500000000001</v>
      </c>
      <c r="H130" s="22">
        <f>IFERROR(IF(Yearending&gt;B129,'5. Historical demand'!F130-'5. Historical demand'!C130-'5. Historical demand'!D130,""),"")</f>
        <v>120.30000000000001</v>
      </c>
      <c r="I130" s="22">
        <f t="shared" si="5"/>
        <v>-18.994999999999997</v>
      </c>
    </row>
    <row r="131" spans="2:9" x14ac:dyDescent="0.2">
      <c r="B131" s="202">
        <f t="shared" si="3"/>
        <v>45562</v>
      </c>
      <c r="C131" s="92">
        <v>63.699999999999996</v>
      </c>
      <c r="D131" s="92"/>
      <c r="E131" s="92">
        <v>85.221999999999994</v>
      </c>
      <c r="F131" s="92">
        <v>184</v>
      </c>
      <c r="G131" s="22">
        <f t="shared" si="4"/>
        <v>98.778000000000006</v>
      </c>
      <c r="H131" s="22">
        <f>IFERROR(IF(Yearending&gt;B130,'5. Historical demand'!F131-'5. Historical demand'!C131-'5. Historical demand'!D131,""),"")</f>
        <v>120.30000000000001</v>
      </c>
      <c r="I131" s="22">
        <f t="shared" si="5"/>
        <v>-21.521999999999998</v>
      </c>
    </row>
    <row r="132" spans="2:9" x14ac:dyDescent="0.2">
      <c r="B132" s="202">
        <f t="shared" si="3"/>
        <v>45563</v>
      </c>
      <c r="C132" s="92">
        <v>63.699999999999996</v>
      </c>
      <c r="D132" s="92"/>
      <c r="E132" s="92">
        <v>82.882000000000005</v>
      </c>
      <c r="F132" s="92">
        <v>184</v>
      </c>
      <c r="G132" s="22">
        <f t="shared" si="4"/>
        <v>101.11799999999999</v>
      </c>
      <c r="H132" s="22">
        <f>IFERROR(IF(Yearending&gt;B131,'5. Historical demand'!F132-'5. Historical demand'!C132-'5. Historical demand'!D132,""),"")</f>
        <v>120.30000000000001</v>
      </c>
      <c r="I132" s="22">
        <f t="shared" si="5"/>
        <v>-19.182000000000009</v>
      </c>
    </row>
    <row r="133" spans="2:9" x14ac:dyDescent="0.2">
      <c r="B133" s="202">
        <f t="shared" si="3"/>
        <v>45564</v>
      </c>
      <c r="C133" s="92">
        <v>63.699999999999996</v>
      </c>
      <c r="D133" s="92"/>
      <c r="E133" s="92">
        <v>77.328000000000003</v>
      </c>
      <c r="F133" s="92">
        <v>184</v>
      </c>
      <c r="G133" s="22">
        <f t="shared" si="4"/>
        <v>106.672</v>
      </c>
      <c r="H133" s="22">
        <f>IFERROR(IF(Yearending&gt;B132,'5. Historical demand'!F133-'5. Historical demand'!C133-'5. Historical demand'!D133,""),"")</f>
        <v>120.30000000000001</v>
      </c>
      <c r="I133" s="22">
        <f t="shared" si="5"/>
        <v>-13.628000000000007</v>
      </c>
    </row>
    <row r="134" spans="2:9" x14ac:dyDescent="0.2">
      <c r="B134" s="202">
        <f t="shared" si="3"/>
        <v>45565</v>
      </c>
      <c r="C134" s="92">
        <v>63.699999999999996</v>
      </c>
      <c r="D134" s="92"/>
      <c r="E134" s="92">
        <v>69.268000000000001</v>
      </c>
      <c r="F134" s="92">
        <v>184</v>
      </c>
      <c r="G134" s="22">
        <f t="shared" si="4"/>
        <v>114.732</v>
      </c>
      <c r="H134" s="22">
        <f>IFERROR(IF(Yearending&gt;B133,'5. Historical demand'!F134-'5. Historical demand'!C134-'5. Historical demand'!D134,""),"")</f>
        <v>120.30000000000001</v>
      </c>
      <c r="I134" s="22">
        <f t="shared" si="5"/>
        <v>-5.5680000000000049</v>
      </c>
    </row>
    <row r="135" spans="2:9" x14ac:dyDescent="0.2">
      <c r="B135" s="202">
        <f t="shared" si="3"/>
        <v>45566</v>
      </c>
      <c r="C135" s="92">
        <v>62.8</v>
      </c>
      <c r="D135" s="92"/>
      <c r="E135" s="92">
        <v>67.149000000000001</v>
      </c>
      <c r="F135" s="92">
        <v>184</v>
      </c>
      <c r="G135" s="22">
        <f t="shared" si="4"/>
        <v>116.851</v>
      </c>
      <c r="H135" s="22">
        <f>IFERROR(IF(Yearending&gt;B134,'5. Historical demand'!F135-'5. Historical demand'!C135-'5. Historical demand'!D135,""),"")</f>
        <v>121.2</v>
      </c>
      <c r="I135" s="22">
        <f t="shared" si="5"/>
        <v>-4.3490000000000038</v>
      </c>
    </row>
    <row r="136" spans="2:9" x14ac:dyDescent="0.2">
      <c r="B136" s="202">
        <f t="shared" si="3"/>
        <v>45567</v>
      </c>
      <c r="C136" s="92">
        <v>62.8</v>
      </c>
      <c r="D136" s="92"/>
      <c r="E136" s="92">
        <v>70.051000000000002</v>
      </c>
      <c r="F136" s="92">
        <v>184</v>
      </c>
      <c r="G136" s="22">
        <f t="shared" si="4"/>
        <v>113.949</v>
      </c>
      <c r="H136" s="22">
        <f>IFERROR(IF(Yearending&gt;B135,'5. Historical demand'!F136-'5. Historical demand'!C136-'5. Historical demand'!D136,""),"")</f>
        <v>121.2</v>
      </c>
      <c r="I136" s="22">
        <f t="shared" si="5"/>
        <v>-7.2510000000000048</v>
      </c>
    </row>
    <row r="137" spans="2:9" x14ac:dyDescent="0.2">
      <c r="B137" s="202">
        <f t="shared" si="3"/>
        <v>45568</v>
      </c>
      <c r="C137" s="92">
        <v>62.8</v>
      </c>
      <c r="D137" s="92"/>
      <c r="E137" s="92">
        <v>60.314</v>
      </c>
      <c r="F137" s="92">
        <v>184</v>
      </c>
      <c r="G137" s="22">
        <f t="shared" si="4"/>
        <v>123.68600000000001</v>
      </c>
      <c r="H137" s="22">
        <f>IFERROR(IF(Yearending&gt;B136,'5. Historical demand'!F137-'5. Historical demand'!C137-'5. Historical demand'!D137,""),"")</f>
        <v>121.2</v>
      </c>
      <c r="I137" s="22">
        <f t="shared" si="5"/>
        <v>2.4859999999999971</v>
      </c>
    </row>
    <row r="138" spans="2:9" x14ac:dyDescent="0.2">
      <c r="B138" s="202">
        <f t="shared" si="3"/>
        <v>45569</v>
      </c>
      <c r="C138" s="92">
        <v>62.8</v>
      </c>
      <c r="D138" s="92"/>
      <c r="E138" s="92">
        <v>56.244999999999997</v>
      </c>
      <c r="F138" s="92">
        <v>184</v>
      </c>
      <c r="G138" s="22">
        <f t="shared" si="4"/>
        <v>127.755</v>
      </c>
      <c r="H138" s="22">
        <f>IFERROR(IF(Yearending&gt;B137,'5. Historical demand'!F138-'5. Historical demand'!C138-'5. Historical demand'!D138,""),"")</f>
        <v>121.2</v>
      </c>
      <c r="I138" s="22">
        <f t="shared" si="5"/>
        <v>6.5549999999999997</v>
      </c>
    </row>
    <row r="139" spans="2:9" x14ac:dyDescent="0.2">
      <c r="B139" s="202">
        <f t="shared" si="3"/>
        <v>45570</v>
      </c>
      <c r="C139" s="92">
        <v>62.8</v>
      </c>
      <c r="D139" s="92"/>
      <c r="E139" s="92">
        <v>63.351999999999997</v>
      </c>
      <c r="F139" s="92">
        <v>184</v>
      </c>
      <c r="G139" s="22">
        <f t="shared" si="4"/>
        <v>120.648</v>
      </c>
      <c r="H139" s="22">
        <f>IFERROR(IF(Yearending&gt;B138,'5. Historical demand'!F139-'5. Historical demand'!C139-'5. Historical demand'!D139,""),"")</f>
        <v>121.2</v>
      </c>
      <c r="I139" s="22">
        <f t="shared" si="5"/>
        <v>-0.5519999999999996</v>
      </c>
    </row>
    <row r="140" spans="2:9" x14ac:dyDescent="0.2">
      <c r="B140" s="202">
        <f t="shared" si="3"/>
        <v>45571</v>
      </c>
      <c r="C140" s="92">
        <v>62.8</v>
      </c>
      <c r="D140" s="92"/>
      <c r="E140" s="92">
        <v>61.521000000000001</v>
      </c>
      <c r="F140" s="92">
        <v>184</v>
      </c>
      <c r="G140" s="22">
        <f t="shared" si="4"/>
        <v>122.479</v>
      </c>
      <c r="H140" s="22">
        <f>IFERROR(IF(Yearending&gt;B139,'5. Historical demand'!F140-'5. Historical demand'!C140-'5. Historical demand'!D140,""),"")</f>
        <v>121.2</v>
      </c>
      <c r="I140" s="22">
        <f t="shared" si="5"/>
        <v>1.2789999999999964</v>
      </c>
    </row>
    <row r="141" spans="2:9" x14ac:dyDescent="0.2">
      <c r="B141" s="202">
        <f t="shared" si="3"/>
        <v>45572</v>
      </c>
      <c r="C141" s="92">
        <v>62.8</v>
      </c>
      <c r="D141" s="92"/>
      <c r="E141" s="92">
        <v>65.33</v>
      </c>
      <c r="F141" s="92">
        <v>184</v>
      </c>
      <c r="G141" s="22">
        <f t="shared" si="4"/>
        <v>118.67</v>
      </c>
      <c r="H141" s="22">
        <f>IFERROR(IF(Yearending&gt;B140,'5. Historical demand'!F141-'5. Historical demand'!C141-'5. Historical demand'!D141,""),"")</f>
        <v>121.2</v>
      </c>
      <c r="I141" s="22">
        <f t="shared" si="5"/>
        <v>-2.5300000000000011</v>
      </c>
    </row>
    <row r="142" spans="2:9" x14ac:dyDescent="0.2">
      <c r="B142" s="202">
        <f t="shared" si="3"/>
        <v>45573</v>
      </c>
      <c r="C142" s="92">
        <v>62.8</v>
      </c>
      <c r="D142" s="92"/>
      <c r="E142" s="92">
        <v>64.317999999999998</v>
      </c>
      <c r="F142" s="92">
        <v>184</v>
      </c>
      <c r="G142" s="22">
        <f t="shared" si="4"/>
        <v>119.682</v>
      </c>
      <c r="H142" s="22">
        <f>IFERROR(IF(Yearending&gt;B141,'5. Historical demand'!F142-'5. Historical demand'!C142-'5. Historical demand'!D142,""),"")</f>
        <v>121.2</v>
      </c>
      <c r="I142" s="22">
        <f t="shared" si="5"/>
        <v>-1.5180000000000007</v>
      </c>
    </row>
    <row r="143" spans="2:9" x14ac:dyDescent="0.2">
      <c r="B143" s="202">
        <f t="shared" si="3"/>
        <v>45574</v>
      </c>
      <c r="C143" s="92">
        <v>62.8</v>
      </c>
      <c r="D143" s="92"/>
      <c r="E143" s="92">
        <v>64.403000000000006</v>
      </c>
      <c r="F143" s="92">
        <v>184</v>
      </c>
      <c r="G143" s="22">
        <f t="shared" si="4"/>
        <v>119.59699999999999</v>
      </c>
      <c r="H143" s="22">
        <f>IFERROR(IF(Yearending&gt;B142,'5. Historical demand'!F143-'5. Historical demand'!C143-'5. Historical demand'!D143,""),"")</f>
        <v>121.2</v>
      </c>
      <c r="I143" s="22">
        <f t="shared" si="5"/>
        <v>-1.6030000000000086</v>
      </c>
    </row>
    <row r="144" spans="2:9" x14ac:dyDescent="0.2">
      <c r="B144" s="202">
        <f t="shared" si="3"/>
        <v>45575</v>
      </c>
      <c r="C144" s="92">
        <v>62.8</v>
      </c>
      <c r="D144" s="92"/>
      <c r="E144" s="92">
        <v>60.484999999999999</v>
      </c>
      <c r="F144" s="92">
        <v>184</v>
      </c>
      <c r="G144" s="22">
        <f t="shared" si="4"/>
        <v>123.515</v>
      </c>
      <c r="H144" s="22">
        <f>IFERROR(IF(Yearending&gt;B143,'5. Historical demand'!F144-'5. Historical demand'!C144-'5. Historical demand'!D144,""),"")</f>
        <v>121.2</v>
      </c>
      <c r="I144" s="22">
        <f t="shared" si="5"/>
        <v>2.3149999999999977</v>
      </c>
    </row>
    <row r="145" spans="2:9" x14ac:dyDescent="0.2">
      <c r="B145" s="202">
        <f t="shared" si="3"/>
        <v>45576</v>
      </c>
      <c r="C145" s="92">
        <v>62.8</v>
      </c>
      <c r="D145" s="92"/>
      <c r="E145" s="92">
        <v>65.665999999999997</v>
      </c>
      <c r="F145" s="92">
        <v>184</v>
      </c>
      <c r="G145" s="22">
        <f t="shared" si="4"/>
        <v>118.334</v>
      </c>
      <c r="H145" s="22">
        <f>IFERROR(IF(Yearending&gt;B144,'5. Historical demand'!F145-'5. Historical demand'!C145-'5. Historical demand'!D145,""),"")</f>
        <v>121.2</v>
      </c>
      <c r="I145" s="22">
        <f t="shared" si="5"/>
        <v>-2.8659999999999997</v>
      </c>
    </row>
    <row r="146" spans="2:9" x14ac:dyDescent="0.2">
      <c r="B146" s="202">
        <f t="shared" si="3"/>
        <v>45577</v>
      </c>
      <c r="C146" s="92">
        <v>62.8</v>
      </c>
      <c r="D146" s="92"/>
      <c r="E146" s="92">
        <v>58.951000000000001</v>
      </c>
      <c r="F146" s="92">
        <v>184</v>
      </c>
      <c r="G146" s="22">
        <f t="shared" si="4"/>
        <v>125.04900000000001</v>
      </c>
      <c r="H146" s="22">
        <f>IFERROR(IF(Yearending&gt;B145,'5. Historical demand'!F146-'5. Historical demand'!C146-'5. Historical demand'!D146,""),"")</f>
        <v>121.2</v>
      </c>
      <c r="I146" s="22">
        <f t="shared" si="5"/>
        <v>3.8489999999999966</v>
      </c>
    </row>
    <row r="147" spans="2:9" x14ac:dyDescent="0.2">
      <c r="B147" s="202">
        <f t="shared" si="3"/>
        <v>45578</v>
      </c>
      <c r="C147" s="92">
        <v>62.8</v>
      </c>
      <c r="D147" s="92"/>
      <c r="E147" s="92">
        <v>69.914000000000001</v>
      </c>
      <c r="F147" s="92">
        <v>184</v>
      </c>
      <c r="G147" s="22">
        <f t="shared" si="4"/>
        <v>114.086</v>
      </c>
      <c r="H147" s="22">
        <f>IFERROR(IF(Yearending&gt;B146,'5. Historical demand'!F147-'5. Historical demand'!C147-'5. Historical demand'!D147,""),"")</f>
        <v>121.2</v>
      </c>
      <c r="I147" s="22">
        <f t="shared" si="5"/>
        <v>-7.1140000000000043</v>
      </c>
    </row>
    <row r="148" spans="2:9" x14ac:dyDescent="0.2">
      <c r="B148" s="202">
        <f t="shared" si="3"/>
        <v>45579</v>
      </c>
      <c r="C148" s="92">
        <v>62.8</v>
      </c>
      <c r="D148" s="92"/>
      <c r="E148" s="92">
        <v>66.715000000000003</v>
      </c>
      <c r="F148" s="92">
        <v>184</v>
      </c>
      <c r="G148" s="22">
        <f t="shared" si="4"/>
        <v>117.285</v>
      </c>
      <c r="H148" s="22">
        <f>IFERROR(IF(Yearending&gt;B147,'5. Historical demand'!F148-'5. Historical demand'!C148-'5. Historical demand'!D148,""),"")</f>
        <v>121.2</v>
      </c>
      <c r="I148" s="22">
        <f t="shared" si="5"/>
        <v>-3.9150000000000063</v>
      </c>
    </row>
    <row r="149" spans="2:9" x14ac:dyDescent="0.2">
      <c r="B149" s="202">
        <f t="shared" si="3"/>
        <v>45580</v>
      </c>
      <c r="C149" s="92">
        <v>62.8</v>
      </c>
      <c r="D149" s="92"/>
      <c r="E149" s="92">
        <v>62.253999999999998</v>
      </c>
      <c r="F149" s="92">
        <v>184</v>
      </c>
      <c r="G149" s="22">
        <f t="shared" si="4"/>
        <v>121.74600000000001</v>
      </c>
      <c r="H149" s="22">
        <f>IFERROR(IF(Yearending&gt;B148,'5. Historical demand'!F149-'5. Historical demand'!C149-'5. Historical demand'!D149,""),"")</f>
        <v>121.2</v>
      </c>
      <c r="I149" s="22">
        <f t="shared" si="5"/>
        <v>0.54599999999999937</v>
      </c>
    </row>
    <row r="150" spans="2:9" x14ac:dyDescent="0.2">
      <c r="B150" s="202">
        <f t="shared" si="3"/>
        <v>45581</v>
      </c>
      <c r="C150" s="92">
        <v>62.8</v>
      </c>
      <c r="D150" s="92"/>
      <c r="E150" s="92">
        <v>61.448999999999998</v>
      </c>
      <c r="F150" s="92">
        <v>184</v>
      </c>
      <c r="G150" s="22">
        <f t="shared" si="4"/>
        <v>122.551</v>
      </c>
      <c r="H150" s="22">
        <f>IFERROR(IF(Yearending&gt;B149,'5. Historical demand'!F150-'5. Historical demand'!C150-'5. Historical demand'!D150,""),"")</f>
        <v>121.2</v>
      </c>
      <c r="I150" s="22">
        <f t="shared" si="5"/>
        <v>1.3509999999999991</v>
      </c>
    </row>
    <row r="151" spans="2:9" x14ac:dyDescent="0.2">
      <c r="B151" s="202">
        <f t="shared" si="3"/>
        <v>45582</v>
      </c>
      <c r="C151" s="92">
        <v>62.8</v>
      </c>
      <c r="D151" s="92"/>
      <c r="E151" s="92">
        <v>56.947000000000003</v>
      </c>
      <c r="F151" s="92">
        <v>184</v>
      </c>
      <c r="G151" s="22">
        <f t="shared" si="4"/>
        <v>127.053</v>
      </c>
      <c r="H151" s="22">
        <f>IFERROR(IF(Yearending&gt;B150,'5. Historical demand'!F151-'5. Historical demand'!C151-'5. Historical demand'!D151,""),"")</f>
        <v>121.2</v>
      </c>
      <c r="I151" s="22">
        <f t="shared" si="5"/>
        <v>5.8529999999999944</v>
      </c>
    </row>
    <row r="152" spans="2:9" x14ac:dyDescent="0.2">
      <c r="B152" s="202">
        <f t="shared" si="3"/>
        <v>45583</v>
      </c>
      <c r="C152" s="92">
        <v>62.8</v>
      </c>
      <c r="D152" s="92"/>
      <c r="E152" s="92">
        <v>65.195999999999998</v>
      </c>
      <c r="F152" s="92">
        <v>184</v>
      </c>
      <c r="G152" s="22">
        <f t="shared" si="4"/>
        <v>118.804</v>
      </c>
      <c r="H152" s="22">
        <f>IFERROR(IF(Yearending&gt;B151,'5. Historical demand'!F152-'5. Historical demand'!C152-'5. Historical demand'!D152,""),"")</f>
        <v>121.2</v>
      </c>
      <c r="I152" s="22">
        <f t="shared" si="5"/>
        <v>-2.3960000000000008</v>
      </c>
    </row>
    <row r="153" spans="2:9" x14ac:dyDescent="0.2">
      <c r="B153" s="202">
        <f t="shared" si="3"/>
        <v>45584</v>
      </c>
      <c r="C153" s="92">
        <v>62.8</v>
      </c>
      <c r="D153" s="92"/>
      <c r="E153" s="92">
        <v>69.302999999999997</v>
      </c>
      <c r="F153" s="92">
        <v>184</v>
      </c>
      <c r="G153" s="22">
        <f t="shared" si="4"/>
        <v>114.697</v>
      </c>
      <c r="H153" s="22">
        <f>IFERROR(IF(Yearending&gt;B152,'5. Historical demand'!F153-'5. Historical demand'!C153-'5. Historical demand'!D153,""),"")</f>
        <v>121.2</v>
      </c>
      <c r="I153" s="22">
        <f t="shared" si="5"/>
        <v>-6.5030000000000001</v>
      </c>
    </row>
    <row r="154" spans="2:9" x14ac:dyDescent="0.2">
      <c r="B154" s="202">
        <f t="shared" si="3"/>
        <v>45585</v>
      </c>
      <c r="C154" s="92">
        <v>62.8</v>
      </c>
      <c r="D154" s="92"/>
      <c r="E154" s="92">
        <v>86.274000000000001</v>
      </c>
      <c r="F154" s="92">
        <v>184</v>
      </c>
      <c r="G154" s="22">
        <f t="shared" si="4"/>
        <v>97.725999999999999</v>
      </c>
      <c r="H154" s="22">
        <f>IFERROR(IF(Yearending&gt;B153,'5. Historical demand'!F154-'5. Historical demand'!C154-'5. Historical demand'!D154,""),"")</f>
        <v>121.2</v>
      </c>
      <c r="I154" s="22">
        <f t="shared" si="5"/>
        <v>-23.474000000000004</v>
      </c>
    </row>
    <row r="155" spans="2:9" x14ac:dyDescent="0.2">
      <c r="B155" s="202">
        <f t="shared" si="3"/>
        <v>45586</v>
      </c>
      <c r="C155" s="92">
        <v>62.8</v>
      </c>
      <c r="D155" s="92"/>
      <c r="E155" s="92">
        <v>77.864999999999995</v>
      </c>
      <c r="F155" s="92">
        <v>184</v>
      </c>
      <c r="G155" s="22">
        <f t="shared" si="4"/>
        <v>106.13500000000001</v>
      </c>
      <c r="H155" s="22">
        <f>IFERROR(IF(Yearending&gt;B154,'5. Historical demand'!F155-'5. Historical demand'!C155-'5. Historical demand'!D155,""),"")</f>
        <v>121.2</v>
      </c>
      <c r="I155" s="22">
        <f t="shared" si="5"/>
        <v>-15.064999999999998</v>
      </c>
    </row>
    <row r="156" spans="2:9" x14ac:dyDescent="0.2">
      <c r="B156" s="202">
        <f t="shared" si="3"/>
        <v>45587</v>
      </c>
      <c r="C156" s="92">
        <v>62.8</v>
      </c>
      <c r="D156" s="92"/>
      <c r="E156" s="92">
        <v>78.207999999999998</v>
      </c>
      <c r="F156" s="92">
        <v>184</v>
      </c>
      <c r="G156" s="22">
        <f t="shared" si="4"/>
        <v>105.792</v>
      </c>
      <c r="H156" s="22">
        <f>IFERROR(IF(Yearending&gt;B155,'5. Historical demand'!F156-'5. Historical demand'!C156-'5. Historical demand'!D156,""),"")</f>
        <v>121.2</v>
      </c>
      <c r="I156" s="22">
        <f t="shared" si="5"/>
        <v>-15.408000000000001</v>
      </c>
    </row>
    <row r="157" spans="2:9" x14ac:dyDescent="0.2">
      <c r="B157" s="202">
        <f t="shared" si="3"/>
        <v>45588</v>
      </c>
      <c r="C157" s="92">
        <v>62.8</v>
      </c>
      <c r="D157" s="92"/>
      <c r="E157" s="92">
        <v>84.355999999999995</v>
      </c>
      <c r="F157" s="92">
        <v>184</v>
      </c>
      <c r="G157" s="22">
        <f t="shared" si="4"/>
        <v>99.644000000000005</v>
      </c>
      <c r="H157" s="22">
        <f>IFERROR(IF(Yearending&gt;B156,'5. Historical demand'!F157-'5. Historical demand'!C157-'5. Historical demand'!D157,""),"")</f>
        <v>121.2</v>
      </c>
      <c r="I157" s="22">
        <f t="shared" si="5"/>
        <v>-21.555999999999997</v>
      </c>
    </row>
    <row r="158" spans="2:9" x14ac:dyDescent="0.2">
      <c r="B158" s="202">
        <f t="shared" si="3"/>
        <v>45589</v>
      </c>
      <c r="C158" s="92">
        <v>62.8</v>
      </c>
      <c r="D158" s="92"/>
      <c r="E158" s="92">
        <v>86.506</v>
      </c>
      <c r="F158" s="92">
        <v>184</v>
      </c>
      <c r="G158" s="22">
        <f t="shared" si="4"/>
        <v>97.494</v>
      </c>
      <c r="H158" s="22">
        <f>IFERROR(IF(Yearending&gt;B157,'5. Historical demand'!F158-'5. Historical demand'!C158-'5. Historical demand'!D158,""),"")</f>
        <v>121.2</v>
      </c>
      <c r="I158" s="22">
        <f t="shared" si="5"/>
        <v>-23.706000000000003</v>
      </c>
    </row>
    <row r="159" spans="2:9" x14ac:dyDescent="0.2">
      <c r="B159" s="202">
        <f t="shared" si="3"/>
        <v>45590</v>
      </c>
      <c r="C159" s="92">
        <v>62.8</v>
      </c>
      <c r="D159" s="92"/>
      <c r="E159" s="92">
        <v>84.540999999999997</v>
      </c>
      <c r="F159" s="92">
        <v>184</v>
      </c>
      <c r="G159" s="22">
        <f t="shared" si="4"/>
        <v>99.459000000000003</v>
      </c>
      <c r="H159" s="22">
        <f>IFERROR(IF(Yearending&gt;B158,'5. Historical demand'!F159-'5. Historical demand'!C159-'5. Historical demand'!D159,""),"")</f>
        <v>121.2</v>
      </c>
      <c r="I159" s="22">
        <f t="shared" si="5"/>
        <v>-21.741</v>
      </c>
    </row>
    <row r="160" spans="2:9" x14ac:dyDescent="0.2">
      <c r="B160" s="202">
        <f t="shared" si="3"/>
        <v>45591</v>
      </c>
      <c r="C160" s="92">
        <v>62.8</v>
      </c>
      <c r="D160" s="92"/>
      <c r="E160" s="92">
        <v>77.156999999999996</v>
      </c>
      <c r="F160" s="92">
        <v>184</v>
      </c>
      <c r="G160" s="22">
        <f t="shared" si="4"/>
        <v>106.843</v>
      </c>
      <c r="H160" s="22">
        <f>IFERROR(IF(Yearending&gt;B159,'5. Historical demand'!F160-'5. Historical demand'!C160-'5. Historical demand'!D160,""),"")</f>
        <v>121.2</v>
      </c>
      <c r="I160" s="22">
        <f t="shared" si="5"/>
        <v>-14.356999999999999</v>
      </c>
    </row>
    <row r="161" spans="2:9" x14ac:dyDescent="0.2">
      <c r="B161" s="202">
        <f t="shared" si="3"/>
        <v>45592</v>
      </c>
      <c r="C161" s="92">
        <v>62.8</v>
      </c>
      <c r="D161" s="92"/>
      <c r="E161" s="92">
        <v>90.25</v>
      </c>
      <c r="F161" s="92">
        <v>184</v>
      </c>
      <c r="G161" s="22">
        <f t="shared" si="4"/>
        <v>93.75</v>
      </c>
      <c r="H161" s="22">
        <f>IFERROR(IF(Yearending&gt;B160,'5. Historical demand'!F161-'5. Historical demand'!C161-'5. Historical demand'!D161,""),"")</f>
        <v>121.2</v>
      </c>
      <c r="I161" s="22">
        <f t="shared" si="5"/>
        <v>-27.450000000000003</v>
      </c>
    </row>
    <row r="162" spans="2:9" x14ac:dyDescent="0.2">
      <c r="B162" s="202">
        <f t="shared" si="3"/>
        <v>45593</v>
      </c>
      <c r="C162" s="92">
        <v>62.8</v>
      </c>
      <c r="D162" s="92"/>
      <c r="E162" s="92">
        <v>86.01</v>
      </c>
      <c r="F162" s="92">
        <v>184</v>
      </c>
      <c r="G162" s="22">
        <f t="shared" si="4"/>
        <v>97.99</v>
      </c>
      <c r="H162" s="22">
        <f>IFERROR(IF(Yearending&gt;B161,'5. Historical demand'!F162-'5. Historical demand'!C162-'5. Historical demand'!D162,""),"")</f>
        <v>121.2</v>
      </c>
      <c r="I162" s="22">
        <f t="shared" si="5"/>
        <v>-23.210000000000008</v>
      </c>
    </row>
    <row r="163" spans="2:9" x14ac:dyDescent="0.2">
      <c r="B163" s="202">
        <f t="shared" si="3"/>
        <v>45594</v>
      </c>
      <c r="C163" s="92">
        <v>62.8</v>
      </c>
      <c r="D163" s="92"/>
      <c r="E163" s="92">
        <v>75.486999999999995</v>
      </c>
      <c r="F163" s="92">
        <v>184</v>
      </c>
      <c r="G163" s="22">
        <f t="shared" si="4"/>
        <v>108.51300000000001</v>
      </c>
      <c r="H163" s="22">
        <f>IFERROR(IF(Yearending&gt;B162,'5. Historical demand'!F163-'5. Historical demand'!C163-'5. Historical demand'!D163,""),"")</f>
        <v>121.2</v>
      </c>
      <c r="I163" s="22">
        <f t="shared" si="5"/>
        <v>-12.686999999999998</v>
      </c>
    </row>
    <row r="164" spans="2:9" x14ac:dyDescent="0.2">
      <c r="B164" s="202">
        <f t="shared" si="3"/>
        <v>45595</v>
      </c>
      <c r="C164" s="92">
        <v>62.8</v>
      </c>
      <c r="D164" s="92"/>
      <c r="E164" s="92">
        <v>78.245000000000005</v>
      </c>
      <c r="F164" s="92">
        <v>184</v>
      </c>
      <c r="G164" s="22">
        <f t="shared" si="4"/>
        <v>105.755</v>
      </c>
      <c r="H164" s="22">
        <f>IFERROR(IF(Yearending&gt;B163,'5. Historical demand'!F164-'5. Historical demand'!C164-'5. Historical demand'!D164,""),"")</f>
        <v>121.2</v>
      </c>
      <c r="I164" s="22">
        <f t="shared" si="5"/>
        <v>-15.445000000000007</v>
      </c>
    </row>
    <row r="165" spans="2:9" x14ac:dyDescent="0.2">
      <c r="B165" s="202">
        <f t="shared" si="3"/>
        <v>45596</v>
      </c>
      <c r="C165" s="92">
        <v>62.8</v>
      </c>
      <c r="D165" s="92"/>
      <c r="E165" s="92">
        <v>75.652000000000001</v>
      </c>
      <c r="F165" s="92">
        <v>184</v>
      </c>
      <c r="G165" s="22">
        <f t="shared" si="4"/>
        <v>108.348</v>
      </c>
      <c r="H165" s="22">
        <f>IFERROR(IF(Yearending&gt;B164,'5. Historical demand'!F165-'5. Historical demand'!C165-'5. Historical demand'!D165,""),"")</f>
        <v>121.2</v>
      </c>
      <c r="I165" s="22">
        <f t="shared" si="5"/>
        <v>-12.852000000000004</v>
      </c>
    </row>
    <row r="166" spans="2:9" x14ac:dyDescent="0.2">
      <c r="B166" s="202">
        <f t="shared" si="3"/>
        <v>45597</v>
      </c>
      <c r="C166" s="92">
        <v>63.699999999999996</v>
      </c>
      <c r="D166" s="92"/>
      <c r="E166" s="92">
        <v>73.394999999999996</v>
      </c>
      <c r="F166" s="92">
        <v>184</v>
      </c>
      <c r="G166" s="22">
        <f t="shared" si="4"/>
        <v>110.605</v>
      </c>
      <c r="H166" s="22">
        <f>IFERROR(IF(Yearending&gt;B165,'5. Historical demand'!F166-'5. Historical demand'!C166-'5. Historical demand'!D166,""),"")</f>
        <v>120.30000000000001</v>
      </c>
      <c r="I166" s="22">
        <f t="shared" si="5"/>
        <v>-9.6950000000000003</v>
      </c>
    </row>
    <row r="167" spans="2:9" x14ac:dyDescent="0.2">
      <c r="B167" s="202">
        <f t="shared" si="3"/>
        <v>45598</v>
      </c>
      <c r="C167" s="92">
        <v>63.699999999999996</v>
      </c>
      <c r="D167" s="92"/>
      <c r="E167" s="92">
        <v>77.108999999999995</v>
      </c>
      <c r="F167" s="92">
        <v>184</v>
      </c>
      <c r="G167" s="22">
        <f t="shared" si="4"/>
        <v>106.89100000000001</v>
      </c>
      <c r="H167" s="22">
        <f>IFERROR(IF(Yearending&gt;B166,'5. Historical demand'!F167-'5. Historical demand'!C167-'5. Historical demand'!D167,""),"")</f>
        <v>120.30000000000001</v>
      </c>
      <c r="I167" s="22">
        <f t="shared" si="5"/>
        <v>-13.408999999999999</v>
      </c>
    </row>
    <row r="168" spans="2:9" x14ac:dyDescent="0.2">
      <c r="B168" s="202">
        <f t="shared" si="3"/>
        <v>45599</v>
      </c>
      <c r="C168" s="92">
        <v>63.699999999999996</v>
      </c>
      <c r="D168" s="92"/>
      <c r="E168" s="92">
        <v>75.944000000000003</v>
      </c>
      <c r="F168" s="92">
        <v>184</v>
      </c>
      <c r="G168" s="22">
        <f t="shared" si="4"/>
        <v>108.056</v>
      </c>
      <c r="H168" s="22">
        <f>IFERROR(IF(Yearending&gt;B167,'5. Historical demand'!F168-'5. Historical demand'!C168-'5. Historical demand'!D168,""),"")</f>
        <v>120.30000000000001</v>
      </c>
      <c r="I168" s="22">
        <f t="shared" si="5"/>
        <v>-12.244000000000007</v>
      </c>
    </row>
    <row r="169" spans="2:9" x14ac:dyDescent="0.2">
      <c r="B169" s="202">
        <f t="shared" si="3"/>
        <v>45600</v>
      </c>
      <c r="C169" s="92">
        <v>63.699999999999996</v>
      </c>
      <c r="D169" s="92"/>
      <c r="E169" s="92">
        <v>73.106999999999999</v>
      </c>
      <c r="F169" s="92">
        <v>184</v>
      </c>
      <c r="G169" s="22">
        <f t="shared" si="4"/>
        <v>110.893</v>
      </c>
      <c r="H169" s="22">
        <f>IFERROR(IF(Yearending&gt;B168,'5. Historical demand'!F169-'5. Historical demand'!C169-'5. Historical demand'!D169,""),"")</f>
        <v>120.30000000000001</v>
      </c>
      <c r="I169" s="22">
        <f t="shared" si="5"/>
        <v>-9.4070000000000036</v>
      </c>
    </row>
    <row r="170" spans="2:9" x14ac:dyDescent="0.2">
      <c r="B170" s="202">
        <f t="shared" si="3"/>
        <v>45601</v>
      </c>
      <c r="C170" s="92">
        <v>63.699999999999996</v>
      </c>
      <c r="D170" s="92"/>
      <c r="E170" s="92">
        <v>77.459999999999994</v>
      </c>
      <c r="F170" s="92">
        <v>184</v>
      </c>
      <c r="G170" s="22">
        <f t="shared" si="4"/>
        <v>106.54</v>
      </c>
      <c r="H170" s="22">
        <f>IFERROR(IF(Yearending&gt;B169,'5. Historical demand'!F170-'5. Historical demand'!C170-'5. Historical demand'!D170,""),"")</f>
        <v>120.30000000000001</v>
      </c>
      <c r="I170" s="22">
        <f t="shared" si="5"/>
        <v>-13.759999999999998</v>
      </c>
    </row>
    <row r="171" spans="2:9" x14ac:dyDescent="0.2">
      <c r="B171" s="202">
        <f t="shared" si="3"/>
        <v>45602</v>
      </c>
      <c r="C171" s="92">
        <v>63.699999999999996</v>
      </c>
      <c r="D171" s="92"/>
      <c r="E171" s="92">
        <v>68.980999999999995</v>
      </c>
      <c r="F171" s="92">
        <v>184</v>
      </c>
      <c r="G171" s="22">
        <f t="shared" si="4"/>
        <v>115.01900000000001</v>
      </c>
      <c r="H171" s="22">
        <f>IFERROR(IF(Yearending&gt;B170,'5. Historical demand'!F171-'5. Historical demand'!C171-'5. Historical demand'!D171,""),"")</f>
        <v>120.30000000000001</v>
      </c>
      <c r="I171" s="22">
        <f t="shared" si="5"/>
        <v>-5.2809999999999988</v>
      </c>
    </row>
    <row r="172" spans="2:9" x14ac:dyDescent="0.2">
      <c r="B172" s="202">
        <f t="shared" ref="B172:B235" si="6">IFERROR(IF(Yearending&gt;B171, B171+1, ""),"")</f>
        <v>45603</v>
      </c>
      <c r="C172" s="92">
        <v>63.699999999999996</v>
      </c>
      <c r="D172" s="92"/>
      <c r="E172" s="92">
        <v>82.007000000000005</v>
      </c>
      <c r="F172" s="92">
        <v>184</v>
      </c>
      <c r="G172" s="22">
        <f t="shared" ref="G172:G235" si="7">IFERROR(IF(Yearending&gt;B171,F172-E172,""),"")</f>
        <v>101.99299999999999</v>
      </c>
      <c r="H172" s="22">
        <f>IFERROR(IF(Yearending&gt;B171,'5. Historical demand'!F172-'5. Historical demand'!C172-'5. Historical demand'!D172,""),"")</f>
        <v>120.30000000000001</v>
      </c>
      <c r="I172" s="22">
        <f t="shared" ref="I172:I235" si="8">IFERROR(IF(Yearending&gt;B171,C172+D172-E172,""),"")</f>
        <v>-18.307000000000009</v>
      </c>
    </row>
    <row r="173" spans="2:9" x14ac:dyDescent="0.2">
      <c r="B173" s="202">
        <f t="shared" si="6"/>
        <v>45604</v>
      </c>
      <c r="C173" s="92">
        <v>63.699999999999996</v>
      </c>
      <c r="D173" s="92"/>
      <c r="E173" s="92">
        <v>78.150999999999996</v>
      </c>
      <c r="F173" s="92">
        <v>184</v>
      </c>
      <c r="G173" s="22">
        <f t="shared" si="7"/>
        <v>105.849</v>
      </c>
      <c r="H173" s="22">
        <f>IFERROR(IF(Yearending&gt;B172,'5. Historical demand'!F173-'5. Historical demand'!C173-'5. Historical demand'!D173,""),"")</f>
        <v>120.30000000000001</v>
      </c>
      <c r="I173" s="22">
        <f t="shared" si="8"/>
        <v>-14.451000000000001</v>
      </c>
    </row>
    <row r="174" spans="2:9" x14ac:dyDescent="0.2">
      <c r="B174" s="202">
        <f t="shared" si="6"/>
        <v>45605</v>
      </c>
      <c r="C174" s="92">
        <v>63.699999999999996</v>
      </c>
      <c r="D174" s="92"/>
      <c r="E174" s="92">
        <v>71.091999999999999</v>
      </c>
      <c r="F174" s="92">
        <v>184</v>
      </c>
      <c r="G174" s="22">
        <f t="shared" si="7"/>
        <v>112.908</v>
      </c>
      <c r="H174" s="22">
        <f>IFERROR(IF(Yearending&gt;B173,'5. Historical demand'!F174-'5. Historical demand'!C174-'5. Historical demand'!D174,""),"")</f>
        <v>120.30000000000001</v>
      </c>
      <c r="I174" s="22">
        <f t="shared" si="8"/>
        <v>-7.392000000000003</v>
      </c>
    </row>
    <row r="175" spans="2:9" x14ac:dyDescent="0.2">
      <c r="B175" s="202">
        <f t="shared" si="6"/>
        <v>45606</v>
      </c>
      <c r="C175" s="92">
        <v>63.699999999999996</v>
      </c>
      <c r="D175" s="92"/>
      <c r="E175" s="92">
        <v>79.013999999999996</v>
      </c>
      <c r="F175" s="92">
        <v>184</v>
      </c>
      <c r="G175" s="22">
        <f t="shared" si="7"/>
        <v>104.986</v>
      </c>
      <c r="H175" s="22">
        <f>IFERROR(IF(Yearending&gt;B174,'5. Historical demand'!F175-'5. Historical demand'!C175-'5. Historical demand'!D175,""),"")</f>
        <v>120.30000000000001</v>
      </c>
      <c r="I175" s="22">
        <f t="shared" si="8"/>
        <v>-15.314</v>
      </c>
    </row>
    <row r="176" spans="2:9" x14ac:dyDescent="0.2">
      <c r="B176" s="202">
        <f t="shared" si="6"/>
        <v>45607</v>
      </c>
      <c r="C176" s="92">
        <v>63.699999999999996</v>
      </c>
      <c r="D176" s="92"/>
      <c r="E176" s="92">
        <v>65.628</v>
      </c>
      <c r="F176" s="92">
        <v>184</v>
      </c>
      <c r="G176" s="22">
        <f t="shared" si="7"/>
        <v>118.372</v>
      </c>
      <c r="H176" s="22">
        <f>IFERROR(IF(Yearending&gt;B175,'5. Historical demand'!F176-'5. Historical demand'!C176-'5. Historical demand'!D176,""),"")</f>
        <v>120.30000000000001</v>
      </c>
      <c r="I176" s="22">
        <f t="shared" si="8"/>
        <v>-1.9280000000000044</v>
      </c>
    </row>
    <row r="177" spans="2:9" x14ac:dyDescent="0.2">
      <c r="B177" s="202">
        <f t="shared" si="6"/>
        <v>45608</v>
      </c>
      <c r="C177" s="92">
        <v>63.699999999999996</v>
      </c>
      <c r="D177" s="92"/>
      <c r="E177" s="92">
        <v>73.545000000000002</v>
      </c>
      <c r="F177" s="92">
        <v>184</v>
      </c>
      <c r="G177" s="22">
        <f t="shared" si="7"/>
        <v>110.455</v>
      </c>
      <c r="H177" s="22">
        <f>IFERROR(IF(Yearending&gt;B176,'5. Historical demand'!F177-'5. Historical demand'!C177-'5. Historical demand'!D177,""),"")</f>
        <v>120.30000000000001</v>
      </c>
      <c r="I177" s="22">
        <f t="shared" si="8"/>
        <v>-9.845000000000006</v>
      </c>
    </row>
    <row r="178" spans="2:9" x14ac:dyDescent="0.2">
      <c r="B178" s="202">
        <f t="shared" si="6"/>
        <v>45609</v>
      </c>
      <c r="C178" s="92">
        <v>63.699999999999996</v>
      </c>
      <c r="D178" s="92"/>
      <c r="E178" s="92">
        <v>80.501999999999995</v>
      </c>
      <c r="F178" s="92">
        <v>184</v>
      </c>
      <c r="G178" s="22">
        <f t="shared" si="7"/>
        <v>103.498</v>
      </c>
      <c r="H178" s="22">
        <f>IFERROR(IF(Yearending&gt;B177,'5. Historical demand'!F178-'5. Historical demand'!C178-'5. Historical demand'!D178,""),"")</f>
        <v>120.30000000000001</v>
      </c>
      <c r="I178" s="22">
        <f t="shared" si="8"/>
        <v>-16.802</v>
      </c>
    </row>
    <row r="179" spans="2:9" x14ac:dyDescent="0.2">
      <c r="B179" s="202">
        <f t="shared" si="6"/>
        <v>45610</v>
      </c>
      <c r="C179" s="92">
        <v>63.699999999999996</v>
      </c>
      <c r="D179" s="92"/>
      <c r="E179" s="92">
        <v>71.117000000000004</v>
      </c>
      <c r="F179" s="92">
        <v>184</v>
      </c>
      <c r="G179" s="22">
        <f t="shared" si="7"/>
        <v>112.883</v>
      </c>
      <c r="H179" s="22">
        <f>IFERROR(IF(Yearending&gt;B178,'5. Historical demand'!F179-'5. Historical demand'!C179-'5. Historical demand'!D179,""),"")</f>
        <v>120.30000000000001</v>
      </c>
      <c r="I179" s="22">
        <f t="shared" si="8"/>
        <v>-7.4170000000000087</v>
      </c>
    </row>
    <row r="180" spans="2:9" x14ac:dyDescent="0.2">
      <c r="B180" s="202">
        <f t="shared" si="6"/>
        <v>45611</v>
      </c>
      <c r="C180" s="92">
        <v>63.699999999999996</v>
      </c>
      <c r="D180" s="92"/>
      <c r="E180" s="92">
        <v>73.926000000000002</v>
      </c>
      <c r="F180" s="92">
        <v>184</v>
      </c>
      <c r="G180" s="22">
        <f t="shared" si="7"/>
        <v>110.074</v>
      </c>
      <c r="H180" s="22">
        <f>IFERROR(IF(Yearending&gt;B179,'5. Historical demand'!F180-'5. Historical demand'!C180-'5. Historical demand'!D180,""),"")</f>
        <v>120.30000000000001</v>
      </c>
      <c r="I180" s="22">
        <f t="shared" si="8"/>
        <v>-10.226000000000006</v>
      </c>
    </row>
    <row r="181" spans="2:9" x14ac:dyDescent="0.2">
      <c r="B181" s="202">
        <f t="shared" si="6"/>
        <v>45612</v>
      </c>
      <c r="C181" s="92">
        <v>63.699999999999996</v>
      </c>
      <c r="D181" s="92"/>
      <c r="E181" s="92">
        <v>68.721000000000004</v>
      </c>
      <c r="F181" s="92">
        <v>184</v>
      </c>
      <c r="G181" s="22">
        <f t="shared" si="7"/>
        <v>115.279</v>
      </c>
      <c r="H181" s="22">
        <f>IFERROR(IF(Yearending&gt;B180,'5. Historical demand'!F181-'5. Historical demand'!C181-'5. Historical demand'!D181,""),"")</f>
        <v>120.30000000000001</v>
      </c>
      <c r="I181" s="22">
        <f t="shared" si="8"/>
        <v>-5.0210000000000079</v>
      </c>
    </row>
    <row r="182" spans="2:9" x14ac:dyDescent="0.2">
      <c r="B182" s="202">
        <f t="shared" si="6"/>
        <v>45613</v>
      </c>
      <c r="C182" s="92">
        <v>63.699999999999996</v>
      </c>
      <c r="D182" s="92"/>
      <c r="E182" s="92">
        <v>73.394000000000005</v>
      </c>
      <c r="F182" s="92">
        <v>184</v>
      </c>
      <c r="G182" s="22">
        <f t="shared" si="7"/>
        <v>110.60599999999999</v>
      </c>
      <c r="H182" s="22">
        <f>IFERROR(IF(Yearending&gt;B181,'5. Historical demand'!F182-'5. Historical demand'!C182-'5. Historical demand'!D182,""),"")</f>
        <v>120.30000000000001</v>
      </c>
      <c r="I182" s="22">
        <f t="shared" si="8"/>
        <v>-9.6940000000000097</v>
      </c>
    </row>
    <row r="183" spans="2:9" x14ac:dyDescent="0.2">
      <c r="B183" s="202">
        <f t="shared" si="6"/>
        <v>45614</v>
      </c>
      <c r="C183" s="92">
        <v>63.699999999999996</v>
      </c>
      <c r="D183" s="92"/>
      <c r="E183" s="92">
        <v>77.512</v>
      </c>
      <c r="F183" s="92">
        <v>184</v>
      </c>
      <c r="G183" s="22">
        <f t="shared" si="7"/>
        <v>106.488</v>
      </c>
      <c r="H183" s="22">
        <f>IFERROR(IF(Yearending&gt;B182,'5. Historical demand'!F183-'5. Historical demand'!C183-'5. Historical demand'!D183,""),"")</f>
        <v>120.30000000000001</v>
      </c>
      <c r="I183" s="22">
        <f t="shared" si="8"/>
        <v>-13.812000000000005</v>
      </c>
    </row>
    <row r="184" spans="2:9" x14ac:dyDescent="0.2">
      <c r="B184" s="202">
        <f t="shared" si="6"/>
        <v>45615</v>
      </c>
      <c r="C184" s="92">
        <v>63.699999999999996</v>
      </c>
      <c r="D184" s="92"/>
      <c r="E184" s="92">
        <v>91.95</v>
      </c>
      <c r="F184" s="92">
        <v>184</v>
      </c>
      <c r="G184" s="22">
        <f t="shared" si="7"/>
        <v>92.05</v>
      </c>
      <c r="H184" s="22">
        <f>IFERROR(IF(Yearending&gt;B183,'5. Historical demand'!F184-'5. Historical demand'!C184-'5. Historical demand'!D184,""),"")</f>
        <v>120.30000000000001</v>
      </c>
      <c r="I184" s="22">
        <f t="shared" si="8"/>
        <v>-28.250000000000007</v>
      </c>
    </row>
    <row r="185" spans="2:9" x14ac:dyDescent="0.2">
      <c r="B185" s="202">
        <f t="shared" si="6"/>
        <v>45616</v>
      </c>
      <c r="C185" s="92">
        <v>63.699999999999996</v>
      </c>
      <c r="D185" s="92"/>
      <c r="E185" s="92">
        <v>86.256</v>
      </c>
      <c r="F185" s="92">
        <v>184</v>
      </c>
      <c r="G185" s="22">
        <f t="shared" si="7"/>
        <v>97.744</v>
      </c>
      <c r="H185" s="22">
        <f>IFERROR(IF(Yearending&gt;B184,'5. Historical demand'!F185-'5. Historical demand'!C185-'5. Historical demand'!D185,""),"")</f>
        <v>120.30000000000001</v>
      </c>
      <c r="I185" s="22">
        <f t="shared" si="8"/>
        <v>-22.556000000000004</v>
      </c>
    </row>
    <row r="186" spans="2:9" x14ac:dyDescent="0.2">
      <c r="B186" s="202">
        <f t="shared" si="6"/>
        <v>45617</v>
      </c>
      <c r="C186" s="92">
        <v>63.699999999999996</v>
      </c>
      <c r="D186" s="92"/>
      <c r="E186" s="92">
        <v>81.966999999999999</v>
      </c>
      <c r="F186" s="92">
        <v>184</v>
      </c>
      <c r="G186" s="22">
        <f t="shared" si="7"/>
        <v>102.033</v>
      </c>
      <c r="H186" s="22">
        <f>IFERROR(IF(Yearending&gt;B185,'5. Historical demand'!F186-'5. Historical demand'!C186-'5. Historical demand'!D186,""),"")</f>
        <v>120.30000000000001</v>
      </c>
      <c r="I186" s="22">
        <f t="shared" si="8"/>
        <v>-18.267000000000003</v>
      </c>
    </row>
    <row r="187" spans="2:9" x14ac:dyDescent="0.2">
      <c r="B187" s="202">
        <f t="shared" si="6"/>
        <v>45618</v>
      </c>
      <c r="C187" s="92">
        <v>63.699999999999996</v>
      </c>
      <c r="D187" s="92"/>
      <c r="E187" s="92">
        <v>87.691999999999993</v>
      </c>
      <c r="F187" s="92">
        <v>184</v>
      </c>
      <c r="G187" s="22">
        <f t="shared" si="7"/>
        <v>96.308000000000007</v>
      </c>
      <c r="H187" s="22">
        <f>IFERROR(IF(Yearending&gt;B186,'5. Historical demand'!F187-'5. Historical demand'!C187-'5. Historical demand'!D187,""),"")</f>
        <v>120.30000000000001</v>
      </c>
      <c r="I187" s="22">
        <f t="shared" si="8"/>
        <v>-23.991999999999997</v>
      </c>
    </row>
    <row r="188" spans="2:9" x14ac:dyDescent="0.2">
      <c r="B188" s="202">
        <f t="shared" si="6"/>
        <v>45619</v>
      </c>
      <c r="C188" s="92">
        <v>63.699999999999996</v>
      </c>
      <c r="D188" s="92"/>
      <c r="E188" s="92">
        <v>85.641999999999996</v>
      </c>
      <c r="F188" s="92">
        <v>184</v>
      </c>
      <c r="G188" s="22">
        <f t="shared" si="7"/>
        <v>98.358000000000004</v>
      </c>
      <c r="H188" s="22">
        <f>IFERROR(IF(Yearending&gt;B187,'5. Historical demand'!F188-'5. Historical demand'!C188-'5. Historical demand'!D188,""),"")</f>
        <v>120.30000000000001</v>
      </c>
      <c r="I188" s="22">
        <f t="shared" si="8"/>
        <v>-21.942</v>
      </c>
    </row>
    <row r="189" spans="2:9" x14ac:dyDescent="0.2">
      <c r="B189" s="202">
        <f t="shared" si="6"/>
        <v>45620</v>
      </c>
      <c r="C189" s="92">
        <v>63.699999999999996</v>
      </c>
      <c r="D189" s="92"/>
      <c r="E189" s="92">
        <v>87.331999999999994</v>
      </c>
      <c r="F189" s="92">
        <v>184</v>
      </c>
      <c r="G189" s="22">
        <f t="shared" si="7"/>
        <v>96.668000000000006</v>
      </c>
      <c r="H189" s="22">
        <f>IFERROR(IF(Yearending&gt;B188,'5. Historical demand'!F189-'5. Historical demand'!C189-'5. Historical demand'!D189,""),"")</f>
        <v>120.30000000000001</v>
      </c>
      <c r="I189" s="22">
        <f t="shared" si="8"/>
        <v>-23.631999999999998</v>
      </c>
    </row>
    <row r="190" spans="2:9" x14ac:dyDescent="0.2">
      <c r="B190" s="202">
        <f t="shared" si="6"/>
        <v>45621</v>
      </c>
      <c r="C190" s="92">
        <v>63.699999999999996</v>
      </c>
      <c r="D190" s="92"/>
      <c r="E190" s="92">
        <v>82.185000000000002</v>
      </c>
      <c r="F190" s="92">
        <v>184</v>
      </c>
      <c r="G190" s="22">
        <f t="shared" si="7"/>
        <v>101.815</v>
      </c>
      <c r="H190" s="22">
        <f>IFERROR(IF(Yearending&gt;B189,'5. Historical demand'!F190-'5. Historical demand'!C190-'5. Historical demand'!D190,""),"")</f>
        <v>120.30000000000001</v>
      </c>
      <c r="I190" s="22">
        <f t="shared" si="8"/>
        <v>-18.485000000000007</v>
      </c>
    </row>
    <row r="191" spans="2:9" x14ac:dyDescent="0.2">
      <c r="B191" s="202">
        <f t="shared" si="6"/>
        <v>45622</v>
      </c>
      <c r="C191" s="92">
        <v>63.699999999999996</v>
      </c>
      <c r="D191" s="92"/>
      <c r="E191" s="92">
        <v>85.435000000000002</v>
      </c>
      <c r="F191" s="92">
        <v>184</v>
      </c>
      <c r="G191" s="22">
        <f t="shared" si="7"/>
        <v>98.564999999999998</v>
      </c>
      <c r="H191" s="22">
        <f>IFERROR(IF(Yearending&gt;B190,'5. Historical demand'!F191-'5. Historical demand'!C191-'5. Historical demand'!D191,""),"")</f>
        <v>120.30000000000001</v>
      </c>
      <c r="I191" s="22">
        <f t="shared" si="8"/>
        <v>-21.735000000000007</v>
      </c>
    </row>
    <row r="192" spans="2:9" x14ac:dyDescent="0.2">
      <c r="B192" s="202">
        <f t="shared" si="6"/>
        <v>45623</v>
      </c>
      <c r="C192" s="92">
        <v>63.699999999999996</v>
      </c>
      <c r="D192" s="92"/>
      <c r="E192" s="92">
        <v>68.849999999999994</v>
      </c>
      <c r="F192" s="92">
        <v>184</v>
      </c>
      <c r="G192" s="22">
        <f t="shared" si="7"/>
        <v>115.15</v>
      </c>
      <c r="H192" s="22">
        <f>IFERROR(IF(Yearending&gt;B191,'5. Historical demand'!F192-'5. Historical demand'!C192-'5. Historical demand'!D192,""),"")</f>
        <v>120.30000000000001</v>
      </c>
      <c r="I192" s="22">
        <f t="shared" si="8"/>
        <v>-5.1499999999999986</v>
      </c>
    </row>
    <row r="193" spans="2:9" x14ac:dyDescent="0.2">
      <c r="B193" s="202">
        <f t="shared" si="6"/>
        <v>45624</v>
      </c>
      <c r="C193" s="92">
        <v>63.699999999999996</v>
      </c>
      <c r="D193" s="92"/>
      <c r="E193" s="92">
        <v>76.914000000000001</v>
      </c>
      <c r="F193" s="92">
        <v>184</v>
      </c>
      <c r="G193" s="22">
        <f t="shared" si="7"/>
        <v>107.086</v>
      </c>
      <c r="H193" s="22">
        <f>IFERROR(IF(Yearending&gt;B192,'5. Historical demand'!F193-'5. Historical demand'!C193-'5. Historical demand'!D193,""),"")</f>
        <v>120.30000000000001</v>
      </c>
      <c r="I193" s="22">
        <f t="shared" si="8"/>
        <v>-13.214000000000006</v>
      </c>
    </row>
    <row r="194" spans="2:9" x14ac:dyDescent="0.2">
      <c r="B194" s="202">
        <f t="shared" si="6"/>
        <v>45625</v>
      </c>
      <c r="C194" s="92">
        <v>63.699999999999996</v>
      </c>
      <c r="D194" s="92"/>
      <c r="E194" s="92">
        <v>69.703999999999994</v>
      </c>
      <c r="F194" s="92">
        <v>184</v>
      </c>
      <c r="G194" s="22">
        <f t="shared" si="7"/>
        <v>114.29600000000001</v>
      </c>
      <c r="H194" s="22">
        <f>IFERROR(IF(Yearending&gt;B193,'5. Historical demand'!F194-'5. Historical demand'!C194-'5. Historical demand'!D194,""),"")</f>
        <v>120.30000000000001</v>
      </c>
      <c r="I194" s="22">
        <f t="shared" si="8"/>
        <v>-6.0039999999999978</v>
      </c>
    </row>
    <row r="195" spans="2:9" x14ac:dyDescent="0.2">
      <c r="B195" s="202">
        <f t="shared" si="6"/>
        <v>45626</v>
      </c>
      <c r="C195" s="92">
        <v>63.699999999999996</v>
      </c>
      <c r="D195" s="92"/>
      <c r="E195" s="92">
        <v>72.72</v>
      </c>
      <c r="F195" s="92">
        <v>184</v>
      </c>
      <c r="G195" s="22">
        <f t="shared" si="7"/>
        <v>111.28</v>
      </c>
      <c r="H195" s="22">
        <f>IFERROR(IF(Yearending&gt;B194,'5. Historical demand'!F195-'5. Historical demand'!C195-'5. Historical demand'!D195,""),"")</f>
        <v>120.30000000000001</v>
      </c>
      <c r="I195" s="22">
        <f t="shared" si="8"/>
        <v>-9.0200000000000031</v>
      </c>
    </row>
    <row r="196" spans="2:9" x14ac:dyDescent="0.2">
      <c r="B196" s="202">
        <f t="shared" si="6"/>
        <v>45627</v>
      </c>
      <c r="C196" s="92">
        <v>63.699999999999996</v>
      </c>
      <c r="D196" s="92"/>
      <c r="E196" s="92">
        <v>64.44</v>
      </c>
      <c r="F196" s="92">
        <v>184</v>
      </c>
      <c r="G196" s="22">
        <f t="shared" si="7"/>
        <v>119.56</v>
      </c>
      <c r="H196" s="22">
        <f>IFERROR(IF(Yearending&gt;B195,'5. Historical demand'!F196-'5. Historical demand'!C196-'5. Historical demand'!D196,""),"")</f>
        <v>120.30000000000001</v>
      </c>
      <c r="I196" s="22">
        <f t="shared" si="8"/>
        <v>-0.74000000000000199</v>
      </c>
    </row>
    <row r="197" spans="2:9" x14ac:dyDescent="0.2">
      <c r="B197" s="202">
        <f t="shared" si="6"/>
        <v>45628</v>
      </c>
      <c r="C197" s="92">
        <v>63.699999999999996</v>
      </c>
      <c r="D197" s="92"/>
      <c r="E197" s="92">
        <v>76.040000000000006</v>
      </c>
      <c r="F197" s="92">
        <v>184</v>
      </c>
      <c r="G197" s="22">
        <f t="shared" si="7"/>
        <v>107.96</v>
      </c>
      <c r="H197" s="22">
        <f>IFERROR(IF(Yearending&gt;B196,'5. Historical demand'!F197-'5. Historical demand'!C197-'5. Historical demand'!D197,""),"")</f>
        <v>120.30000000000001</v>
      </c>
      <c r="I197" s="22">
        <f t="shared" si="8"/>
        <v>-12.340000000000011</v>
      </c>
    </row>
    <row r="198" spans="2:9" x14ac:dyDescent="0.2">
      <c r="B198" s="202">
        <f t="shared" si="6"/>
        <v>45629</v>
      </c>
      <c r="C198" s="92">
        <v>63.699999999999996</v>
      </c>
      <c r="D198" s="92"/>
      <c r="E198" s="92">
        <v>72.891000000000005</v>
      </c>
      <c r="F198" s="92">
        <v>184</v>
      </c>
      <c r="G198" s="22">
        <f t="shared" si="7"/>
        <v>111.10899999999999</v>
      </c>
      <c r="H198" s="22">
        <f>IFERROR(IF(Yearending&gt;B197,'5. Historical demand'!F198-'5. Historical demand'!C198-'5. Historical demand'!D198,""),"")</f>
        <v>120.30000000000001</v>
      </c>
      <c r="I198" s="22">
        <f t="shared" si="8"/>
        <v>-9.1910000000000096</v>
      </c>
    </row>
    <row r="199" spans="2:9" x14ac:dyDescent="0.2">
      <c r="B199" s="202">
        <f t="shared" si="6"/>
        <v>45630</v>
      </c>
      <c r="C199" s="92">
        <v>63.699999999999996</v>
      </c>
      <c r="D199" s="92"/>
      <c r="E199" s="92">
        <v>75.846000000000004</v>
      </c>
      <c r="F199" s="92">
        <v>184</v>
      </c>
      <c r="G199" s="22">
        <f t="shared" si="7"/>
        <v>108.154</v>
      </c>
      <c r="H199" s="22">
        <f>IFERROR(IF(Yearending&gt;B198,'5. Historical demand'!F199-'5. Historical demand'!C199-'5. Historical demand'!D199,""),"")</f>
        <v>120.30000000000001</v>
      </c>
      <c r="I199" s="22">
        <f t="shared" si="8"/>
        <v>-12.146000000000008</v>
      </c>
    </row>
    <row r="200" spans="2:9" x14ac:dyDescent="0.2">
      <c r="B200" s="202">
        <f t="shared" si="6"/>
        <v>45631</v>
      </c>
      <c r="C200" s="92">
        <v>63.699999999999996</v>
      </c>
      <c r="D200" s="92"/>
      <c r="E200" s="92">
        <v>69.430000000000007</v>
      </c>
      <c r="F200" s="92">
        <v>184</v>
      </c>
      <c r="G200" s="22">
        <f t="shared" si="7"/>
        <v>114.57</v>
      </c>
      <c r="H200" s="22">
        <f>IFERROR(IF(Yearending&gt;B199,'5. Historical demand'!F200-'5. Historical demand'!C200-'5. Historical demand'!D200,""),"")</f>
        <v>120.30000000000001</v>
      </c>
      <c r="I200" s="22">
        <f t="shared" si="8"/>
        <v>-5.7300000000000111</v>
      </c>
    </row>
    <row r="201" spans="2:9" x14ac:dyDescent="0.2">
      <c r="B201" s="202">
        <f t="shared" si="6"/>
        <v>45632</v>
      </c>
      <c r="C201" s="92">
        <v>63.699999999999996</v>
      </c>
      <c r="D201" s="92"/>
      <c r="E201" s="92">
        <v>96.897000000000006</v>
      </c>
      <c r="F201" s="92">
        <v>184</v>
      </c>
      <c r="G201" s="22">
        <f t="shared" si="7"/>
        <v>87.102999999999994</v>
      </c>
      <c r="H201" s="22">
        <f>IFERROR(IF(Yearending&gt;B200,'5. Historical demand'!F201-'5. Historical demand'!C201-'5. Historical demand'!D201,""),"")</f>
        <v>120.30000000000001</v>
      </c>
      <c r="I201" s="22">
        <f t="shared" si="8"/>
        <v>-33.19700000000001</v>
      </c>
    </row>
    <row r="202" spans="2:9" x14ac:dyDescent="0.2">
      <c r="B202" s="202">
        <f t="shared" si="6"/>
        <v>45633</v>
      </c>
      <c r="C202" s="92">
        <v>63.699999999999996</v>
      </c>
      <c r="D202" s="92"/>
      <c r="E202" s="92">
        <v>92.5</v>
      </c>
      <c r="F202" s="92">
        <v>184</v>
      </c>
      <c r="G202" s="22">
        <f t="shared" si="7"/>
        <v>91.5</v>
      </c>
      <c r="H202" s="22">
        <f>IFERROR(IF(Yearending&gt;B201,'5. Historical demand'!F202-'5. Historical demand'!C202-'5. Historical demand'!D202,""),"")</f>
        <v>120.30000000000001</v>
      </c>
      <c r="I202" s="22">
        <f t="shared" si="8"/>
        <v>-28.800000000000004</v>
      </c>
    </row>
    <row r="203" spans="2:9" x14ac:dyDescent="0.2">
      <c r="B203" s="202">
        <f t="shared" si="6"/>
        <v>45634</v>
      </c>
      <c r="C203" s="92">
        <v>63.699999999999996</v>
      </c>
      <c r="D203" s="92"/>
      <c r="E203" s="92">
        <v>89.933999999999997</v>
      </c>
      <c r="F203" s="92">
        <v>184</v>
      </c>
      <c r="G203" s="22">
        <f t="shared" si="7"/>
        <v>94.066000000000003</v>
      </c>
      <c r="H203" s="22">
        <f>IFERROR(IF(Yearending&gt;B202,'5. Historical demand'!F203-'5. Historical demand'!C203-'5. Historical demand'!D203,""),"")</f>
        <v>120.30000000000001</v>
      </c>
      <c r="I203" s="22">
        <f t="shared" si="8"/>
        <v>-26.234000000000002</v>
      </c>
    </row>
    <row r="204" spans="2:9" x14ac:dyDescent="0.2">
      <c r="B204" s="202">
        <f t="shared" si="6"/>
        <v>45635</v>
      </c>
      <c r="C204" s="92">
        <v>63.699999999999996</v>
      </c>
      <c r="D204" s="92"/>
      <c r="E204" s="92">
        <v>83.164000000000001</v>
      </c>
      <c r="F204" s="92">
        <v>184</v>
      </c>
      <c r="G204" s="22">
        <f t="shared" si="7"/>
        <v>100.836</v>
      </c>
      <c r="H204" s="22">
        <f>IFERROR(IF(Yearending&gt;B203,'5. Historical demand'!F204-'5. Historical demand'!C204-'5. Historical demand'!D204,""),"")</f>
        <v>120.30000000000001</v>
      </c>
      <c r="I204" s="22">
        <f t="shared" si="8"/>
        <v>-19.464000000000006</v>
      </c>
    </row>
    <row r="205" spans="2:9" x14ac:dyDescent="0.2">
      <c r="B205" s="202">
        <f t="shared" si="6"/>
        <v>45636</v>
      </c>
      <c r="C205" s="92">
        <v>63.699999999999996</v>
      </c>
      <c r="D205" s="92"/>
      <c r="E205" s="92">
        <v>81.879000000000005</v>
      </c>
      <c r="F205" s="92">
        <v>184</v>
      </c>
      <c r="G205" s="22">
        <f t="shared" si="7"/>
        <v>102.121</v>
      </c>
      <c r="H205" s="22">
        <f>IFERROR(IF(Yearending&gt;B204,'5. Historical demand'!F205-'5. Historical demand'!C205-'5. Historical demand'!D205,""),"")</f>
        <v>120.30000000000001</v>
      </c>
      <c r="I205" s="22">
        <f t="shared" si="8"/>
        <v>-18.179000000000009</v>
      </c>
    </row>
    <row r="206" spans="2:9" x14ac:dyDescent="0.2">
      <c r="B206" s="202">
        <f t="shared" si="6"/>
        <v>45637</v>
      </c>
      <c r="C206" s="92">
        <v>63.699999999999996</v>
      </c>
      <c r="D206" s="92"/>
      <c r="E206" s="92">
        <v>83.328999999999994</v>
      </c>
      <c r="F206" s="92">
        <v>184</v>
      </c>
      <c r="G206" s="22">
        <f t="shared" si="7"/>
        <v>100.67100000000001</v>
      </c>
      <c r="H206" s="22">
        <f>IFERROR(IF(Yearending&gt;B205,'5. Historical demand'!F206-'5. Historical demand'!C206-'5. Historical demand'!D206,""),"")</f>
        <v>120.30000000000001</v>
      </c>
      <c r="I206" s="22">
        <f t="shared" si="8"/>
        <v>-19.628999999999998</v>
      </c>
    </row>
    <row r="207" spans="2:9" x14ac:dyDescent="0.2">
      <c r="B207" s="202">
        <f t="shared" si="6"/>
        <v>45638</v>
      </c>
      <c r="C207" s="92">
        <v>63.699999999999996</v>
      </c>
      <c r="D207" s="92"/>
      <c r="E207" s="92">
        <v>86.406999999999996</v>
      </c>
      <c r="F207" s="92">
        <v>184</v>
      </c>
      <c r="G207" s="22">
        <f t="shared" si="7"/>
        <v>97.593000000000004</v>
      </c>
      <c r="H207" s="22">
        <f>IFERROR(IF(Yearending&gt;B206,'5. Historical demand'!F207-'5. Historical demand'!C207-'5. Historical demand'!D207,""),"")</f>
        <v>120.30000000000001</v>
      </c>
      <c r="I207" s="22">
        <f t="shared" si="8"/>
        <v>-22.707000000000001</v>
      </c>
    </row>
    <row r="208" spans="2:9" x14ac:dyDescent="0.2">
      <c r="B208" s="202">
        <f t="shared" si="6"/>
        <v>45639</v>
      </c>
      <c r="C208" s="92">
        <v>63.699999999999996</v>
      </c>
      <c r="D208" s="92"/>
      <c r="E208" s="92">
        <v>81.760000000000005</v>
      </c>
      <c r="F208" s="92">
        <v>184</v>
      </c>
      <c r="G208" s="22">
        <f t="shared" si="7"/>
        <v>102.24</v>
      </c>
      <c r="H208" s="22">
        <f>IFERROR(IF(Yearending&gt;B207,'5. Historical demand'!F208-'5. Historical demand'!C208-'5. Historical demand'!D208,""),"")</f>
        <v>120.30000000000001</v>
      </c>
      <c r="I208" s="22">
        <f t="shared" si="8"/>
        <v>-18.060000000000009</v>
      </c>
    </row>
    <row r="209" spans="2:9" x14ac:dyDescent="0.2">
      <c r="B209" s="202">
        <f t="shared" si="6"/>
        <v>45640</v>
      </c>
      <c r="C209" s="92">
        <v>63.699999999999996</v>
      </c>
      <c r="D209" s="92"/>
      <c r="E209" s="92">
        <v>77.067999999999998</v>
      </c>
      <c r="F209" s="92">
        <v>184</v>
      </c>
      <c r="G209" s="22">
        <f t="shared" si="7"/>
        <v>106.932</v>
      </c>
      <c r="H209" s="22">
        <f>IFERROR(IF(Yearending&gt;B208,'5. Historical demand'!F209-'5. Historical demand'!C209-'5. Historical demand'!D209,""),"")</f>
        <v>120.30000000000001</v>
      </c>
      <c r="I209" s="22">
        <f t="shared" si="8"/>
        <v>-13.368000000000002</v>
      </c>
    </row>
    <row r="210" spans="2:9" x14ac:dyDescent="0.2">
      <c r="B210" s="202">
        <f t="shared" si="6"/>
        <v>45641</v>
      </c>
      <c r="C210" s="92">
        <v>63.699999999999996</v>
      </c>
      <c r="D210" s="92"/>
      <c r="E210" s="92">
        <v>88.731999999999999</v>
      </c>
      <c r="F210" s="92">
        <v>184</v>
      </c>
      <c r="G210" s="22">
        <f t="shared" si="7"/>
        <v>95.268000000000001</v>
      </c>
      <c r="H210" s="22">
        <f>IFERROR(IF(Yearending&gt;B209,'5. Historical demand'!F210-'5. Historical demand'!C210-'5. Historical demand'!D210,""),"")</f>
        <v>120.30000000000001</v>
      </c>
      <c r="I210" s="22">
        <f t="shared" si="8"/>
        <v>-25.032000000000004</v>
      </c>
    </row>
    <row r="211" spans="2:9" x14ac:dyDescent="0.2">
      <c r="B211" s="202">
        <f t="shared" si="6"/>
        <v>45642</v>
      </c>
      <c r="C211" s="92">
        <v>63.699999999999996</v>
      </c>
      <c r="D211" s="92"/>
      <c r="E211" s="92">
        <v>84.364999999999995</v>
      </c>
      <c r="F211" s="92">
        <v>184</v>
      </c>
      <c r="G211" s="22">
        <f t="shared" si="7"/>
        <v>99.635000000000005</v>
      </c>
      <c r="H211" s="22">
        <f>IFERROR(IF(Yearending&gt;B210,'5. Historical demand'!F211-'5. Historical demand'!C211-'5. Historical demand'!D211,""),"")</f>
        <v>120.30000000000001</v>
      </c>
      <c r="I211" s="22">
        <f t="shared" si="8"/>
        <v>-20.664999999999999</v>
      </c>
    </row>
    <row r="212" spans="2:9" x14ac:dyDescent="0.2">
      <c r="B212" s="202">
        <f t="shared" si="6"/>
        <v>45643</v>
      </c>
      <c r="C212" s="92">
        <v>63.699999999999996</v>
      </c>
      <c r="D212" s="92"/>
      <c r="E212" s="92">
        <v>99.058000000000007</v>
      </c>
      <c r="F212" s="92">
        <v>184</v>
      </c>
      <c r="G212" s="22">
        <f t="shared" si="7"/>
        <v>84.941999999999993</v>
      </c>
      <c r="H212" s="22">
        <f>IFERROR(IF(Yearending&gt;B211,'5. Historical demand'!F212-'5. Historical demand'!C212-'5. Historical demand'!D212,""),"")</f>
        <v>120.30000000000001</v>
      </c>
      <c r="I212" s="22">
        <f t="shared" si="8"/>
        <v>-35.358000000000011</v>
      </c>
    </row>
    <row r="213" spans="2:9" x14ac:dyDescent="0.2">
      <c r="B213" s="202">
        <f t="shared" si="6"/>
        <v>45644</v>
      </c>
      <c r="C213" s="92">
        <v>63.699999999999996</v>
      </c>
      <c r="D213" s="92"/>
      <c r="E213" s="92">
        <v>87.554000000000002</v>
      </c>
      <c r="F213" s="92">
        <v>184</v>
      </c>
      <c r="G213" s="22">
        <f t="shared" si="7"/>
        <v>96.445999999999998</v>
      </c>
      <c r="H213" s="22">
        <f>IFERROR(IF(Yearending&gt;B212,'5. Historical demand'!F213-'5. Historical demand'!C213-'5. Historical demand'!D213,""),"")</f>
        <v>120.30000000000001</v>
      </c>
      <c r="I213" s="22">
        <f t="shared" si="8"/>
        <v>-23.854000000000006</v>
      </c>
    </row>
    <row r="214" spans="2:9" x14ac:dyDescent="0.2">
      <c r="B214" s="202">
        <f t="shared" si="6"/>
        <v>45645</v>
      </c>
      <c r="C214" s="92">
        <v>63.699999999999996</v>
      </c>
      <c r="D214" s="92"/>
      <c r="E214" s="92">
        <v>83.572999999999993</v>
      </c>
      <c r="F214" s="92">
        <v>184</v>
      </c>
      <c r="G214" s="22">
        <f t="shared" si="7"/>
        <v>100.42700000000001</v>
      </c>
      <c r="H214" s="22">
        <f>IFERROR(IF(Yearending&gt;B213,'5. Historical demand'!F214-'5. Historical demand'!C214-'5. Historical demand'!D214,""),"")</f>
        <v>120.30000000000001</v>
      </c>
      <c r="I214" s="22">
        <f t="shared" si="8"/>
        <v>-19.872999999999998</v>
      </c>
    </row>
    <row r="215" spans="2:9" x14ac:dyDescent="0.2">
      <c r="B215" s="202">
        <f t="shared" si="6"/>
        <v>45646</v>
      </c>
      <c r="C215" s="92">
        <v>63.699999999999996</v>
      </c>
      <c r="D215" s="92"/>
      <c r="E215" s="92">
        <v>89.400999999999996</v>
      </c>
      <c r="F215" s="92">
        <v>184</v>
      </c>
      <c r="G215" s="22">
        <f t="shared" si="7"/>
        <v>94.599000000000004</v>
      </c>
      <c r="H215" s="22">
        <f>IFERROR(IF(Yearending&gt;B214,'5. Historical demand'!F215-'5. Historical demand'!C215-'5. Historical demand'!D215,""),"")</f>
        <v>120.30000000000001</v>
      </c>
      <c r="I215" s="22">
        <f t="shared" si="8"/>
        <v>-25.701000000000001</v>
      </c>
    </row>
    <row r="216" spans="2:9" x14ac:dyDescent="0.2">
      <c r="B216" s="202">
        <f t="shared" si="6"/>
        <v>45647</v>
      </c>
      <c r="C216" s="92">
        <v>63.699999999999996</v>
      </c>
      <c r="D216" s="92"/>
      <c r="E216" s="92">
        <v>93.242999999999995</v>
      </c>
      <c r="F216" s="92">
        <v>184</v>
      </c>
      <c r="G216" s="22">
        <f t="shared" si="7"/>
        <v>90.757000000000005</v>
      </c>
      <c r="H216" s="22">
        <f>IFERROR(IF(Yearending&gt;B215,'5. Historical demand'!F216-'5. Historical demand'!C216-'5. Historical demand'!D216,""),"")</f>
        <v>120.30000000000001</v>
      </c>
      <c r="I216" s="22">
        <f t="shared" si="8"/>
        <v>-29.542999999999999</v>
      </c>
    </row>
    <row r="217" spans="2:9" x14ac:dyDescent="0.2">
      <c r="B217" s="202">
        <f t="shared" si="6"/>
        <v>45648</v>
      </c>
      <c r="C217" s="92">
        <v>63.699999999999996</v>
      </c>
      <c r="D217" s="92"/>
      <c r="E217" s="92">
        <v>87.414000000000001</v>
      </c>
      <c r="F217" s="92">
        <v>184</v>
      </c>
      <c r="G217" s="22">
        <f t="shared" si="7"/>
        <v>96.585999999999999</v>
      </c>
      <c r="H217" s="22">
        <f>IFERROR(IF(Yearending&gt;B216,'5. Historical demand'!F217-'5. Historical demand'!C217-'5. Historical demand'!D217,""),"")</f>
        <v>120.30000000000001</v>
      </c>
      <c r="I217" s="22">
        <f t="shared" si="8"/>
        <v>-23.714000000000006</v>
      </c>
    </row>
    <row r="218" spans="2:9" x14ac:dyDescent="0.2">
      <c r="B218" s="202">
        <f t="shared" si="6"/>
        <v>45649</v>
      </c>
      <c r="C218" s="92">
        <v>63.699999999999996</v>
      </c>
      <c r="D218" s="92"/>
      <c r="E218" s="92">
        <v>88.138999999999996</v>
      </c>
      <c r="F218" s="92">
        <v>184</v>
      </c>
      <c r="G218" s="22">
        <f t="shared" si="7"/>
        <v>95.861000000000004</v>
      </c>
      <c r="H218" s="22">
        <f>IFERROR(IF(Yearending&gt;B217,'5. Historical demand'!F218-'5. Historical demand'!C218-'5. Historical demand'!D218,""),"")</f>
        <v>120.30000000000001</v>
      </c>
      <c r="I218" s="22">
        <f t="shared" si="8"/>
        <v>-24.439</v>
      </c>
    </row>
    <row r="219" spans="2:9" x14ac:dyDescent="0.2">
      <c r="B219" s="202">
        <f t="shared" si="6"/>
        <v>45650</v>
      </c>
      <c r="C219" s="92">
        <v>63.699999999999996</v>
      </c>
      <c r="D219" s="92"/>
      <c r="E219" s="92">
        <v>80.875</v>
      </c>
      <c r="F219" s="92">
        <v>184</v>
      </c>
      <c r="G219" s="22">
        <f t="shared" si="7"/>
        <v>103.125</v>
      </c>
      <c r="H219" s="22">
        <f>IFERROR(IF(Yearending&gt;B218,'5. Historical demand'!F219-'5. Historical demand'!C219-'5. Historical demand'!D219,""),"")</f>
        <v>120.30000000000001</v>
      </c>
      <c r="I219" s="22">
        <f t="shared" si="8"/>
        <v>-17.175000000000004</v>
      </c>
    </row>
    <row r="220" spans="2:9" x14ac:dyDescent="0.2">
      <c r="B220" s="202">
        <f t="shared" si="6"/>
        <v>45651</v>
      </c>
      <c r="C220" s="92">
        <v>63.699999999999996</v>
      </c>
      <c r="D220" s="92"/>
      <c r="E220" s="92">
        <v>88.234999999999999</v>
      </c>
      <c r="F220" s="92">
        <v>184</v>
      </c>
      <c r="G220" s="22">
        <f t="shared" si="7"/>
        <v>95.765000000000001</v>
      </c>
      <c r="H220" s="22">
        <f>IFERROR(IF(Yearending&gt;B219,'5. Historical demand'!F220-'5. Historical demand'!C220-'5. Historical demand'!D220,""),"")</f>
        <v>120.30000000000001</v>
      </c>
      <c r="I220" s="22">
        <f t="shared" si="8"/>
        <v>-24.535000000000004</v>
      </c>
    </row>
    <row r="221" spans="2:9" x14ac:dyDescent="0.2">
      <c r="B221" s="202">
        <f t="shared" si="6"/>
        <v>45652</v>
      </c>
      <c r="C221" s="92">
        <v>63.699999999999996</v>
      </c>
      <c r="D221" s="92"/>
      <c r="E221" s="92">
        <v>94.073999999999998</v>
      </c>
      <c r="F221" s="92">
        <v>184</v>
      </c>
      <c r="G221" s="22">
        <f t="shared" si="7"/>
        <v>89.926000000000002</v>
      </c>
      <c r="H221" s="22">
        <f>IFERROR(IF(Yearending&gt;B220,'5. Historical demand'!F221-'5. Historical demand'!C221-'5. Historical demand'!D221,""),"")</f>
        <v>120.30000000000001</v>
      </c>
      <c r="I221" s="22">
        <f t="shared" si="8"/>
        <v>-30.374000000000002</v>
      </c>
    </row>
    <row r="222" spans="2:9" x14ac:dyDescent="0.2">
      <c r="B222" s="202">
        <f t="shared" si="6"/>
        <v>45653</v>
      </c>
      <c r="C222" s="92">
        <v>63.699999999999996</v>
      </c>
      <c r="D222" s="92"/>
      <c r="E222" s="92">
        <v>106.89100000000001</v>
      </c>
      <c r="F222" s="92">
        <v>184</v>
      </c>
      <c r="G222" s="22">
        <f t="shared" si="7"/>
        <v>77.108999999999995</v>
      </c>
      <c r="H222" s="22">
        <f>IFERROR(IF(Yearending&gt;B221,'5. Historical demand'!F222-'5. Historical demand'!C222-'5. Historical demand'!D222,""),"")</f>
        <v>120.30000000000001</v>
      </c>
      <c r="I222" s="22">
        <f t="shared" si="8"/>
        <v>-43.19100000000001</v>
      </c>
    </row>
    <row r="223" spans="2:9" x14ac:dyDescent="0.2">
      <c r="B223" s="202">
        <f t="shared" si="6"/>
        <v>45654</v>
      </c>
      <c r="C223" s="92">
        <v>63.699999999999996</v>
      </c>
      <c r="D223" s="92"/>
      <c r="E223" s="92">
        <v>92.989000000000004</v>
      </c>
      <c r="F223" s="92">
        <v>184</v>
      </c>
      <c r="G223" s="22">
        <f t="shared" si="7"/>
        <v>91.010999999999996</v>
      </c>
      <c r="H223" s="22">
        <f>IFERROR(IF(Yearending&gt;B222,'5. Historical demand'!F223-'5. Historical demand'!C223-'5. Historical demand'!D223,""),"")</f>
        <v>120.30000000000001</v>
      </c>
      <c r="I223" s="22">
        <f t="shared" si="8"/>
        <v>-29.289000000000009</v>
      </c>
    </row>
    <row r="224" spans="2:9" x14ac:dyDescent="0.2">
      <c r="B224" s="202">
        <f t="shared" si="6"/>
        <v>45655</v>
      </c>
      <c r="C224" s="92">
        <v>63.699999999999996</v>
      </c>
      <c r="D224" s="92"/>
      <c r="E224" s="92">
        <v>93.611999999999995</v>
      </c>
      <c r="F224" s="92">
        <v>184</v>
      </c>
      <c r="G224" s="22">
        <f t="shared" si="7"/>
        <v>90.388000000000005</v>
      </c>
      <c r="H224" s="22">
        <f>IFERROR(IF(Yearending&gt;B223,'5. Historical demand'!F224-'5. Historical demand'!C224-'5. Historical demand'!D224,""),"")</f>
        <v>120.30000000000001</v>
      </c>
      <c r="I224" s="22">
        <f t="shared" si="8"/>
        <v>-29.911999999999999</v>
      </c>
    </row>
    <row r="225" spans="2:9" x14ac:dyDescent="0.2">
      <c r="B225" s="202">
        <f t="shared" si="6"/>
        <v>45656</v>
      </c>
      <c r="C225" s="92">
        <v>63.699999999999996</v>
      </c>
      <c r="D225" s="92"/>
      <c r="E225" s="92">
        <v>102.745</v>
      </c>
      <c r="F225" s="92">
        <v>184</v>
      </c>
      <c r="G225" s="22">
        <f t="shared" si="7"/>
        <v>81.254999999999995</v>
      </c>
      <c r="H225" s="22">
        <f>IFERROR(IF(Yearending&gt;B224,'5. Historical demand'!F225-'5. Historical demand'!C225-'5. Historical demand'!D225,""),"")</f>
        <v>120.30000000000001</v>
      </c>
      <c r="I225" s="22">
        <f t="shared" si="8"/>
        <v>-39.045000000000009</v>
      </c>
    </row>
    <row r="226" spans="2:9" x14ac:dyDescent="0.2">
      <c r="B226" s="202">
        <f t="shared" si="6"/>
        <v>45657</v>
      </c>
      <c r="C226" s="92">
        <v>63.699999999999996</v>
      </c>
      <c r="D226" s="92"/>
      <c r="E226" s="92">
        <v>106.655</v>
      </c>
      <c r="F226" s="92">
        <v>184</v>
      </c>
      <c r="G226" s="22">
        <f t="shared" si="7"/>
        <v>77.344999999999999</v>
      </c>
      <c r="H226" s="22">
        <f>IFERROR(IF(Yearending&gt;B225,'5. Historical demand'!F226-'5. Historical demand'!C226-'5. Historical demand'!D226,""),"")</f>
        <v>120.30000000000001</v>
      </c>
      <c r="I226" s="22">
        <f t="shared" si="8"/>
        <v>-42.955000000000005</v>
      </c>
    </row>
    <row r="227" spans="2:9" x14ac:dyDescent="0.2">
      <c r="B227" s="202">
        <f t="shared" si="6"/>
        <v>45658</v>
      </c>
      <c r="C227" s="92">
        <v>37</v>
      </c>
      <c r="D227" s="92"/>
      <c r="E227" s="92">
        <v>73.549000000000007</v>
      </c>
      <c r="F227" s="92">
        <v>184</v>
      </c>
      <c r="G227" s="22">
        <f t="shared" si="7"/>
        <v>110.45099999999999</v>
      </c>
      <c r="H227" s="22">
        <f>IFERROR(IF(Yearending&gt;B226,'5. Historical demand'!F227-'5. Historical demand'!C227-'5. Historical demand'!D227,""),"")</f>
        <v>147</v>
      </c>
      <c r="I227" s="22">
        <f t="shared" si="8"/>
        <v>-36.549000000000007</v>
      </c>
    </row>
    <row r="228" spans="2:9" x14ac:dyDescent="0.2">
      <c r="B228" s="202">
        <f t="shared" si="6"/>
        <v>45659</v>
      </c>
      <c r="C228" s="92">
        <v>37</v>
      </c>
      <c r="D228" s="92"/>
      <c r="E228" s="92">
        <v>110.001</v>
      </c>
      <c r="F228" s="92">
        <v>184</v>
      </c>
      <c r="G228" s="22">
        <f t="shared" si="7"/>
        <v>73.998999999999995</v>
      </c>
      <c r="H228" s="22">
        <f>IFERROR(IF(Yearending&gt;B227,'5. Historical demand'!F228-'5. Historical demand'!C228-'5. Historical demand'!D228,""),"")</f>
        <v>147</v>
      </c>
      <c r="I228" s="22">
        <f t="shared" si="8"/>
        <v>-73.001000000000005</v>
      </c>
    </row>
    <row r="229" spans="2:9" x14ac:dyDescent="0.2">
      <c r="B229" s="202">
        <f t="shared" si="6"/>
        <v>45660</v>
      </c>
      <c r="C229" s="92">
        <v>37</v>
      </c>
      <c r="D229" s="92"/>
      <c r="E229" s="92">
        <v>91.025000000000006</v>
      </c>
      <c r="F229" s="92">
        <v>184</v>
      </c>
      <c r="G229" s="22">
        <f t="shared" si="7"/>
        <v>92.974999999999994</v>
      </c>
      <c r="H229" s="22">
        <f>IFERROR(IF(Yearending&gt;B228,'5. Historical demand'!F229-'5. Historical demand'!C229-'5. Historical demand'!D229,""),"")</f>
        <v>147</v>
      </c>
      <c r="I229" s="22">
        <f t="shared" si="8"/>
        <v>-54.025000000000006</v>
      </c>
    </row>
    <row r="230" spans="2:9" x14ac:dyDescent="0.2">
      <c r="B230" s="202">
        <f t="shared" si="6"/>
        <v>45661</v>
      </c>
      <c r="C230" s="92">
        <v>37</v>
      </c>
      <c r="D230" s="92"/>
      <c r="E230" s="92">
        <v>79.126000000000005</v>
      </c>
      <c r="F230" s="92">
        <v>184</v>
      </c>
      <c r="G230" s="22">
        <f t="shared" si="7"/>
        <v>104.874</v>
      </c>
      <c r="H230" s="22">
        <f>IFERROR(IF(Yearending&gt;B229,'5. Historical demand'!F230-'5. Historical demand'!C230-'5. Historical demand'!D230,""),"")</f>
        <v>147</v>
      </c>
      <c r="I230" s="22">
        <f t="shared" si="8"/>
        <v>-42.126000000000005</v>
      </c>
    </row>
    <row r="231" spans="2:9" x14ac:dyDescent="0.2">
      <c r="B231" s="202">
        <f t="shared" si="6"/>
        <v>45662</v>
      </c>
      <c r="C231" s="92">
        <v>37</v>
      </c>
      <c r="D231" s="92"/>
      <c r="E231" s="92">
        <v>94.817999999999998</v>
      </c>
      <c r="F231" s="92">
        <v>184</v>
      </c>
      <c r="G231" s="22">
        <f t="shared" si="7"/>
        <v>89.182000000000002</v>
      </c>
      <c r="H231" s="22">
        <f>IFERROR(IF(Yearending&gt;B230,'5. Historical demand'!F231-'5. Historical demand'!C231-'5. Historical demand'!D231,""),"")</f>
        <v>147</v>
      </c>
      <c r="I231" s="22">
        <f t="shared" si="8"/>
        <v>-57.817999999999998</v>
      </c>
    </row>
    <row r="232" spans="2:9" x14ac:dyDescent="0.2">
      <c r="B232" s="202">
        <f t="shared" si="6"/>
        <v>45663</v>
      </c>
      <c r="C232" s="92">
        <v>37</v>
      </c>
      <c r="D232" s="92"/>
      <c r="E232" s="92">
        <v>99.534999999999997</v>
      </c>
      <c r="F232" s="92">
        <v>184</v>
      </c>
      <c r="G232" s="22">
        <f t="shared" si="7"/>
        <v>84.465000000000003</v>
      </c>
      <c r="H232" s="22">
        <f>IFERROR(IF(Yearending&gt;B231,'5. Historical demand'!F232-'5. Historical demand'!C232-'5. Historical demand'!D232,""),"")</f>
        <v>147</v>
      </c>
      <c r="I232" s="22">
        <f t="shared" si="8"/>
        <v>-62.534999999999997</v>
      </c>
    </row>
    <row r="233" spans="2:9" x14ac:dyDescent="0.2">
      <c r="B233" s="202">
        <f t="shared" si="6"/>
        <v>45664</v>
      </c>
      <c r="C233" s="92">
        <v>37</v>
      </c>
      <c r="D233" s="92"/>
      <c r="E233" s="92">
        <v>88.111000000000004</v>
      </c>
      <c r="F233" s="92">
        <v>184</v>
      </c>
      <c r="G233" s="22">
        <f t="shared" si="7"/>
        <v>95.888999999999996</v>
      </c>
      <c r="H233" s="22">
        <f>IFERROR(IF(Yearending&gt;B232,'5. Historical demand'!F233-'5. Historical demand'!C233-'5. Historical demand'!D233,""),"")</f>
        <v>147</v>
      </c>
      <c r="I233" s="22">
        <f t="shared" si="8"/>
        <v>-51.111000000000004</v>
      </c>
    </row>
    <row r="234" spans="2:9" x14ac:dyDescent="0.2">
      <c r="B234" s="202">
        <f t="shared" si="6"/>
        <v>45665</v>
      </c>
      <c r="C234" s="92">
        <v>37</v>
      </c>
      <c r="D234" s="92"/>
      <c r="E234" s="92">
        <v>81.260000000000005</v>
      </c>
      <c r="F234" s="92">
        <v>184</v>
      </c>
      <c r="G234" s="22">
        <f t="shared" si="7"/>
        <v>102.74</v>
      </c>
      <c r="H234" s="22">
        <f>IFERROR(IF(Yearending&gt;B233,'5. Historical demand'!F234-'5. Historical demand'!C234-'5. Historical demand'!D234,""),"")</f>
        <v>147</v>
      </c>
      <c r="I234" s="22">
        <f t="shared" si="8"/>
        <v>-44.260000000000005</v>
      </c>
    </row>
    <row r="235" spans="2:9" x14ac:dyDescent="0.2">
      <c r="B235" s="202">
        <f t="shared" si="6"/>
        <v>45666</v>
      </c>
      <c r="C235" s="92">
        <v>37</v>
      </c>
      <c r="D235" s="92"/>
      <c r="E235" s="92">
        <v>82.799000000000007</v>
      </c>
      <c r="F235" s="92">
        <v>184</v>
      </c>
      <c r="G235" s="22">
        <f t="shared" si="7"/>
        <v>101.20099999999999</v>
      </c>
      <c r="H235" s="22">
        <f>IFERROR(IF(Yearending&gt;B234,'5. Historical demand'!F235-'5. Historical demand'!C235-'5. Historical demand'!D235,""),"")</f>
        <v>147</v>
      </c>
      <c r="I235" s="22">
        <f t="shared" si="8"/>
        <v>-45.799000000000007</v>
      </c>
    </row>
    <row r="236" spans="2:9" x14ac:dyDescent="0.2">
      <c r="B236" s="202">
        <f t="shared" ref="B236:B299" si="9">IFERROR(IF(Yearending&gt;B235, B235+1, ""),"")</f>
        <v>45667</v>
      </c>
      <c r="C236" s="92">
        <v>37</v>
      </c>
      <c r="D236" s="92"/>
      <c r="E236" s="92">
        <v>98.331000000000003</v>
      </c>
      <c r="F236" s="92">
        <v>184</v>
      </c>
      <c r="G236" s="22">
        <f t="shared" ref="G236:G299" si="10">IFERROR(IF(Yearending&gt;B235,F236-E236,""),"")</f>
        <v>85.668999999999997</v>
      </c>
      <c r="H236" s="22">
        <f>IFERROR(IF(Yearending&gt;B235,'5. Historical demand'!F236-'5. Historical demand'!C236-'5. Historical demand'!D236,""),"")</f>
        <v>147</v>
      </c>
      <c r="I236" s="22">
        <f t="shared" ref="I236:I299" si="11">IFERROR(IF(Yearending&gt;B235,C236+D236-E236,""),"")</f>
        <v>-61.331000000000003</v>
      </c>
    </row>
    <row r="237" spans="2:9" x14ac:dyDescent="0.2">
      <c r="B237" s="202">
        <f t="shared" si="9"/>
        <v>45668</v>
      </c>
      <c r="C237" s="92">
        <v>37</v>
      </c>
      <c r="D237" s="92"/>
      <c r="E237" s="92">
        <v>97.707999999999998</v>
      </c>
      <c r="F237" s="92">
        <v>184</v>
      </c>
      <c r="G237" s="22">
        <f t="shared" si="10"/>
        <v>86.292000000000002</v>
      </c>
      <c r="H237" s="22">
        <f>IFERROR(IF(Yearending&gt;B236,'5. Historical demand'!F237-'5. Historical demand'!C237-'5. Historical demand'!D237,""),"")</f>
        <v>147</v>
      </c>
      <c r="I237" s="22">
        <f t="shared" si="11"/>
        <v>-60.707999999999998</v>
      </c>
    </row>
    <row r="238" spans="2:9" x14ac:dyDescent="0.2">
      <c r="B238" s="202">
        <f t="shared" si="9"/>
        <v>45669</v>
      </c>
      <c r="C238" s="92">
        <v>37</v>
      </c>
      <c r="D238" s="92"/>
      <c r="E238" s="92">
        <v>92.975999999999999</v>
      </c>
      <c r="F238" s="92">
        <v>184</v>
      </c>
      <c r="G238" s="22">
        <f t="shared" si="10"/>
        <v>91.024000000000001</v>
      </c>
      <c r="H238" s="22">
        <f>IFERROR(IF(Yearending&gt;B237,'5. Historical demand'!F238-'5. Historical demand'!C238-'5. Historical demand'!D238,""),"")</f>
        <v>147</v>
      </c>
      <c r="I238" s="22">
        <f t="shared" si="11"/>
        <v>-55.975999999999999</v>
      </c>
    </row>
    <row r="239" spans="2:9" x14ac:dyDescent="0.2">
      <c r="B239" s="202">
        <f t="shared" si="9"/>
        <v>45670</v>
      </c>
      <c r="C239" s="92">
        <v>37</v>
      </c>
      <c r="D239" s="92"/>
      <c r="E239" s="92">
        <v>90.394000000000005</v>
      </c>
      <c r="F239" s="92">
        <v>184</v>
      </c>
      <c r="G239" s="22">
        <f t="shared" si="10"/>
        <v>93.605999999999995</v>
      </c>
      <c r="H239" s="22">
        <f>IFERROR(IF(Yearending&gt;B238,'5. Historical demand'!F239-'5. Historical demand'!C239-'5. Historical demand'!D239,""),"")</f>
        <v>147</v>
      </c>
      <c r="I239" s="22">
        <f t="shared" si="11"/>
        <v>-53.394000000000005</v>
      </c>
    </row>
    <row r="240" spans="2:9" x14ac:dyDescent="0.2">
      <c r="B240" s="202">
        <f t="shared" si="9"/>
        <v>45671</v>
      </c>
      <c r="C240" s="92">
        <v>37</v>
      </c>
      <c r="D240" s="92"/>
      <c r="E240" s="92">
        <v>94.099000000000004</v>
      </c>
      <c r="F240" s="92">
        <v>184</v>
      </c>
      <c r="G240" s="22">
        <f t="shared" si="10"/>
        <v>89.900999999999996</v>
      </c>
      <c r="H240" s="22">
        <f>IFERROR(IF(Yearending&gt;B239,'5. Historical demand'!F240-'5. Historical demand'!C240-'5. Historical demand'!D240,""),"")</f>
        <v>147</v>
      </c>
      <c r="I240" s="22">
        <f t="shared" si="11"/>
        <v>-57.099000000000004</v>
      </c>
    </row>
    <row r="241" spans="2:9" x14ac:dyDescent="0.2">
      <c r="B241" s="202">
        <f t="shared" si="9"/>
        <v>45672</v>
      </c>
      <c r="C241" s="92">
        <v>37</v>
      </c>
      <c r="D241" s="92"/>
      <c r="E241" s="92">
        <v>87.1</v>
      </c>
      <c r="F241" s="92">
        <v>184</v>
      </c>
      <c r="G241" s="22">
        <f t="shared" si="10"/>
        <v>96.9</v>
      </c>
      <c r="H241" s="22">
        <f>IFERROR(IF(Yearending&gt;B240,'5. Historical demand'!F241-'5. Historical demand'!C241-'5. Historical demand'!D241,""),"")</f>
        <v>147</v>
      </c>
      <c r="I241" s="22">
        <f t="shared" si="11"/>
        <v>-50.099999999999994</v>
      </c>
    </row>
    <row r="242" spans="2:9" x14ac:dyDescent="0.2">
      <c r="B242" s="202">
        <f t="shared" si="9"/>
        <v>45673</v>
      </c>
      <c r="C242" s="92">
        <v>37</v>
      </c>
      <c r="D242" s="92"/>
      <c r="E242" s="92">
        <v>76.867999999999995</v>
      </c>
      <c r="F242" s="92">
        <v>184</v>
      </c>
      <c r="G242" s="22">
        <f t="shared" si="10"/>
        <v>107.13200000000001</v>
      </c>
      <c r="H242" s="22">
        <f>IFERROR(IF(Yearending&gt;B241,'5. Historical demand'!F242-'5. Historical demand'!C242-'5. Historical demand'!D242,""),"")</f>
        <v>147</v>
      </c>
      <c r="I242" s="22">
        <f t="shared" si="11"/>
        <v>-39.867999999999995</v>
      </c>
    </row>
    <row r="243" spans="2:9" x14ac:dyDescent="0.2">
      <c r="B243" s="202">
        <f t="shared" si="9"/>
        <v>45674</v>
      </c>
      <c r="C243" s="92">
        <v>37</v>
      </c>
      <c r="D243" s="92"/>
      <c r="E243" s="92">
        <v>99.099000000000004</v>
      </c>
      <c r="F243" s="92">
        <v>184</v>
      </c>
      <c r="G243" s="22">
        <f t="shared" si="10"/>
        <v>84.900999999999996</v>
      </c>
      <c r="H243" s="22">
        <f>IFERROR(IF(Yearending&gt;B242,'5. Historical demand'!F243-'5. Historical demand'!C243-'5. Historical demand'!D243,""),"")</f>
        <v>147</v>
      </c>
      <c r="I243" s="22">
        <f t="shared" si="11"/>
        <v>-62.099000000000004</v>
      </c>
    </row>
    <row r="244" spans="2:9" x14ac:dyDescent="0.2">
      <c r="B244" s="202">
        <f t="shared" si="9"/>
        <v>45675</v>
      </c>
      <c r="C244" s="92">
        <v>37</v>
      </c>
      <c r="D244" s="92"/>
      <c r="E244" s="92">
        <v>93.418000000000006</v>
      </c>
      <c r="F244" s="92">
        <v>184</v>
      </c>
      <c r="G244" s="22">
        <f t="shared" si="10"/>
        <v>90.581999999999994</v>
      </c>
      <c r="H244" s="22">
        <f>IFERROR(IF(Yearending&gt;B243,'5. Historical demand'!F244-'5. Historical demand'!C244-'5. Historical demand'!D244,""),"")</f>
        <v>147</v>
      </c>
      <c r="I244" s="22">
        <f t="shared" si="11"/>
        <v>-56.418000000000006</v>
      </c>
    </row>
    <row r="245" spans="2:9" x14ac:dyDescent="0.2">
      <c r="B245" s="202">
        <f t="shared" si="9"/>
        <v>45676</v>
      </c>
      <c r="C245" s="92">
        <v>37</v>
      </c>
      <c r="D245" s="92"/>
      <c r="E245" s="92">
        <v>90.366</v>
      </c>
      <c r="F245" s="92">
        <v>184</v>
      </c>
      <c r="G245" s="22">
        <f t="shared" si="10"/>
        <v>93.634</v>
      </c>
      <c r="H245" s="22">
        <f>IFERROR(IF(Yearending&gt;B244,'5. Historical demand'!F245-'5. Historical demand'!C245-'5. Historical demand'!D245,""),"")</f>
        <v>147</v>
      </c>
      <c r="I245" s="22">
        <f t="shared" si="11"/>
        <v>-53.366</v>
      </c>
    </row>
    <row r="246" spans="2:9" x14ac:dyDescent="0.2">
      <c r="B246" s="202">
        <f t="shared" si="9"/>
        <v>45677</v>
      </c>
      <c r="C246" s="92">
        <v>37</v>
      </c>
      <c r="D246" s="92"/>
      <c r="E246" s="92">
        <v>92.885000000000005</v>
      </c>
      <c r="F246" s="92">
        <v>184</v>
      </c>
      <c r="G246" s="22">
        <f t="shared" si="10"/>
        <v>91.114999999999995</v>
      </c>
      <c r="H246" s="22">
        <f>IFERROR(IF(Yearending&gt;B245,'5. Historical demand'!F246-'5. Historical demand'!C246-'5. Historical demand'!D246,""),"")</f>
        <v>147</v>
      </c>
      <c r="I246" s="22">
        <f t="shared" si="11"/>
        <v>-55.885000000000005</v>
      </c>
    </row>
    <row r="247" spans="2:9" x14ac:dyDescent="0.2">
      <c r="B247" s="202">
        <f t="shared" si="9"/>
        <v>45678</v>
      </c>
      <c r="C247" s="92">
        <v>37</v>
      </c>
      <c r="D247" s="92"/>
      <c r="E247" s="92">
        <v>96.843000000000004</v>
      </c>
      <c r="F247" s="92">
        <v>184</v>
      </c>
      <c r="G247" s="22">
        <f t="shared" si="10"/>
        <v>87.156999999999996</v>
      </c>
      <c r="H247" s="22">
        <f>IFERROR(IF(Yearending&gt;B246,'5. Historical demand'!F247-'5. Historical demand'!C247-'5. Historical demand'!D247,""),"")</f>
        <v>147</v>
      </c>
      <c r="I247" s="22">
        <f t="shared" si="11"/>
        <v>-59.843000000000004</v>
      </c>
    </row>
    <row r="248" spans="2:9" x14ac:dyDescent="0.2">
      <c r="B248" s="202">
        <f t="shared" si="9"/>
        <v>45679</v>
      </c>
      <c r="C248" s="92">
        <v>37</v>
      </c>
      <c r="D248" s="92"/>
      <c r="E248" s="92">
        <v>85.506</v>
      </c>
      <c r="F248" s="92">
        <v>184</v>
      </c>
      <c r="G248" s="22">
        <f t="shared" si="10"/>
        <v>98.494</v>
      </c>
      <c r="H248" s="22">
        <f>IFERROR(IF(Yearending&gt;B247,'5. Historical demand'!F248-'5. Historical demand'!C248-'5. Historical demand'!D248,""),"")</f>
        <v>147</v>
      </c>
      <c r="I248" s="22">
        <f t="shared" si="11"/>
        <v>-48.506</v>
      </c>
    </row>
    <row r="249" spans="2:9" x14ac:dyDescent="0.2">
      <c r="B249" s="202">
        <f t="shared" si="9"/>
        <v>45680</v>
      </c>
      <c r="C249" s="92">
        <v>37</v>
      </c>
      <c r="D249" s="92"/>
      <c r="E249" s="92">
        <v>87.513999999999996</v>
      </c>
      <c r="F249" s="92">
        <v>184</v>
      </c>
      <c r="G249" s="22">
        <f t="shared" si="10"/>
        <v>96.486000000000004</v>
      </c>
      <c r="H249" s="22">
        <f>IFERROR(IF(Yearending&gt;B248,'5. Historical demand'!F249-'5. Historical demand'!C249-'5. Historical demand'!D249,""),"")</f>
        <v>147</v>
      </c>
      <c r="I249" s="22">
        <f t="shared" si="11"/>
        <v>-50.513999999999996</v>
      </c>
    </row>
    <row r="250" spans="2:9" x14ac:dyDescent="0.2">
      <c r="B250" s="202">
        <f t="shared" si="9"/>
        <v>45681</v>
      </c>
      <c r="C250" s="92">
        <v>37</v>
      </c>
      <c r="D250" s="92"/>
      <c r="E250" s="92">
        <v>87.435000000000002</v>
      </c>
      <c r="F250" s="92">
        <v>184</v>
      </c>
      <c r="G250" s="22">
        <f t="shared" si="10"/>
        <v>96.564999999999998</v>
      </c>
      <c r="H250" s="22">
        <f>IFERROR(IF(Yearending&gt;B249,'5. Historical demand'!F250-'5. Historical demand'!C250-'5. Historical demand'!D250,""),"")</f>
        <v>147</v>
      </c>
      <c r="I250" s="22">
        <f t="shared" si="11"/>
        <v>-50.435000000000002</v>
      </c>
    </row>
    <row r="251" spans="2:9" x14ac:dyDescent="0.2">
      <c r="B251" s="202">
        <f t="shared" si="9"/>
        <v>45682</v>
      </c>
      <c r="C251" s="92">
        <v>37</v>
      </c>
      <c r="D251" s="92"/>
      <c r="E251" s="92">
        <v>89.539000000000001</v>
      </c>
      <c r="F251" s="92">
        <v>184</v>
      </c>
      <c r="G251" s="22">
        <f t="shared" si="10"/>
        <v>94.460999999999999</v>
      </c>
      <c r="H251" s="22">
        <f>IFERROR(IF(Yearending&gt;B250,'5. Historical demand'!F251-'5. Historical demand'!C251-'5. Historical demand'!D251,""),"")</f>
        <v>147</v>
      </c>
      <c r="I251" s="22">
        <f t="shared" si="11"/>
        <v>-52.539000000000001</v>
      </c>
    </row>
    <row r="252" spans="2:9" x14ac:dyDescent="0.2">
      <c r="B252" s="202">
        <f t="shared" si="9"/>
        <v>45683</v>
      </c>
      <c r="C252" s="92">
        <v>37</v>
      </c>
      <c r="D252" s="92"/>
      <c r="E252" s="92">
        <v>93.795000000000002</v>
      </c>
      <c r="F252" s="92">
        <v>184</v>
      </c>
      <c r="G252" s="22">
        <f t="shared" si="10"/>
        <v>90.204999999999998</v>
      </c>
      <c r="H252" s="22">
        <f>IFERROR(IF(Yearending&gt;B251,'5. Historical demand'!F252-'5. Historical demand'!C252-'5. Historical demand'!D252,""),"")</f>
        <v>147</v>
      </c>
      <c r="I252" s="22">
        <f t="shared" si="11"/>
        <v>-56.795000000000002</v>
      </c>
    </row>
    <row r="253" spans="2:9" x14ac:dyDescent="0.2">
      <c r="B253" s="202">
        <f t="shared" si="9"/>
        <v>45684</v>
      </c>
      <c r="C253" s="92">
        <v>37</v>
      </c>
      <c r="D253" s="92"/>
      <c r="E253" s="92">
        <v>88.299000000000007</v>
      </c>
      <c r="F253" s="92">
        <v>184</v>
      </c>
      <c r="G253" s="22">
        <f t="shared" si="10"/>
        <v>95.700999999999993</v>
      </c>
      <c r="H253" s="22">
        <f>IFERROR(IF(Yearending&gt;B252,'5. Historical demand'!F253-'5. Historical demand'!C253-'5. Historical demand'!D253,""),"")</f>
        <v>147</v>
      </c>
      <c r="I253" s="22">
        <f t="shared" si="11"/>
        <v>-51.299000000000007</v>
      </c>
    </row>
    <row r="254" spans="2:9" x14ac:dyDescent="0.2">
      <c r="B254" s="202">
        <f t="shared" si="9"/>
        <v>45685</v>
      </c>
      <c r="C254" s="92">
        <v>37</v>
      </c>
      <c r="D254" s="92"/>
      <c r="E254" s="92">
        <v>87.269000000000005</v>
      </c>
      <c r="F254" s="92">
        <v>184</v>
      </c>
      <c r="G254" s="22">
        <f t="shared" si="10"/>
        <v>96.730999999999995</v>
      </c>
      <c r="H254" s="22">
        <f>IFERROR(IF(Yearending&gt;B253,'5. Historical demand'!F254-'5. Historical demand'!C254-'5. Historical demand'!D254,""),"")</f>
        <v>147</v>
      </c>
      <c r="I254" s="22">
        <f t="shared" si="11"/>
        <v>-50.269000000000005</v>
      </c>
    </row>
    <row r="255" spans="2:9" x14ac:dyDescent="0.2">
      <c r="B255" s="202">
        <f t="shared" si="9"/>
        <v>45686</v>
      </c>
      <c r="C255" s="92">
        <v>37</v>
      </c>
      <c r="D255" s="92"/>
      <c r="E255" s="92">
        <v>84.534000000000006</v>
      </c>
      <c r="F255" s="92">
        <v>184</v>
      </c>
      <c r="G255" s="22">
        <f t="shared" si="10"/>
        <v>99.465999999999994</v>
      </c>
      <c r="H255" s="22">
        <f>IFERROR(IF(Yearending&gt;B254,'5. Historical demand'!F255-'5. Historical demand'!C255-'5. Historical demand'!D255,""),"")</f>
        <v>147</v>
      </c>
      <c r="I255" s="22">
        <f t="shared" si="11"/>
        <v>-47.534000000000006</v>
      </c>
    </row>
    <row r="256" spans="2:9" x14ac:dyDescent="0.2">
      <c r="B256" s="202">
        <f t="shared" si="9"/>
        <v>45687</v>
      </c>
      <c r="C256" s="92">
        <v>37</v>
      </c>
      <c r="D256" s="92"/>
      <c r="E256" s="92">
        <v>89.489000000000004</v>
      </c>
      <c r="F256" s="92">
        <v>184</v>
      </c>
      <c r="G256" s="22">
        <f t="shared" si="10"/>
        <v>94.510999999999996</v>
      </c>
      <c r="H256" s="22">
        <f>IFERROR(IF(Yearending&gt;B255,'5. Historical demand'!F256-'5. Historical demand'!C256-'5. Historical demand'!D256,""),"")</f>
        <v>147</v>
      </c>
      <c r="I256" s="22">
        <f t="shared" si="11"/>
        <v>-52.489000000000004</v>
      </c>
    </row>
    <row r="257" spans="2:9" x14ac:dyDescent="0.2">
      <c r="B257" s="202">
        <f t="shared" si="9"/>
        <v>45688</v>
      </c>
      <c r="C257" s="92">
        <v>37</v>
      </c>
      <c r="D257" s="92"/>
      <c r="E257" s="92">
        <v>82.894000000000005</v>
      </c>
      <c r="F257" s="92">
        <v>184</v>
      </c>
      <c r="G257" s="22">
        <f t="shared" si="10"/>
        <v>101.10599999999999</v>
      </c>
      <c r="H257" s="22">
        <f>IFERROR(IF(Yearending&gt;B256,'5. Historical demand'!F257-'5. Historical demand'!C257-'5. Historical demand'!D257,""),"")</f>
        <v>147</v>
      </c>
      <c r="I257" s="22">
        <f t="shared" si="11"/>
        <v>-45.894000000000005</v>
      </c>
    </row>
    <row r="258" spans="2:9" x14ac:dyDescent="0.2">
      <c r="B258" s="202">
        <f t="shared" si="9"/>
        <v>45689</v>
      </c>
      <c r="C258" s="92">
        <v>37</v>
      </c>
      <c r="D258" s="92"/>
      <c r="E258" s="92">
        <v>78.228999999999999</v>
      </c>
      <c r="F258" s="92">
        <v>184</v>
      </c>
      <c r="G258" s="22">
        <f t="shared" si="10"/>
        <v>105.771</v>
      </c>
      <c r="H258" s="22">
        <f>IFERROR(IF(Yearending&gt;B257,'5. Historical demand'!F258-'5. Historical demand'!C258-'5. Historical demand'!D258,""),"")</f>
        <v>147</v>
      </c>
      <c r="I258" s="22">
        <f t="shared" si="11"/>
        <v>-41.228999999999999</v>
      </c>
    </row>
    <row r="259" spans="2:9" x14ac:dyDescent="0.2">
      <c r="B259" s="202">
        <f t="shared" si="9"/>
        <v>45690</v>
      </c>
      <c r="C259" s="92">
        <v>37</v>
      </c>
      <c r="D259" s="92"/>
      <c r="E259" s="92">
        <v>78.066999999999993</v>
      </c>
      <c r="F259" s="92">
        <v>184</v>
      </c>
      <c r="G259" s="22">
        <f t="shared" si="10"/>
        <v>105.93300000000001</v>
      </c>
      <c r="H259" s="22">
        <f>IFERROR(IF(Yearending&gt;B258,'5. Historical demand'!F259-'5. Historical demand'!C259-'5. Historical demand'!D259,""),"")</f>
        <v>147</v>
      </c>
      <c r="I259" s="22">
        <f t="shared" si="11"/>
        <v>-41.066999999999993</v>
      </c>
    </row>
    <row r="260" spans="2:9" x14ac:dyDescent="0.2">
      <c r="B260" s="202">
        <f t="shared" si="9"/>
        <v>45691</v>
      </c>
      <c r="C260" s="92">
        <v>37</v>
      </c>
      <c r="D260" s="92"/>
      <c r="E260" s="92">
        <v>80.992999999999995</v>
      </c>
      <c r="F260" s="92">
        <v>184</v>
      </c>
      <c r="G260" s="22">
        <f t="shared" si="10"/>
        <v>103.00700000000001</v>
      </c>
      <c r="H260" s="22">
        <f>IFERROR(IF(Yearending&gt;B259,'5. Historical demand'!F260-'5. Historical demand'!C260-'5. Historical demand'!D260,""),"")</f>
        <v>147</v>
      </c>
      <c r="I260" s="22">
        <f t="shared" si="11"/>
        <v>-43.992999999999995</v>
      </c>
    </row>
    <row r="261" spans="2:9" x14ac:dyDescent="0.2">
      <c r="B261" s="202">
        <f t="shared" si="9"/>
        <v>45692</v>
      </c>
      <c r="C261" s="92">
        <v>37</v>
      </c>
      <c r="D261" s="92"/>
      <c r="E261" s="92">
        <v>78.093000000000004</v>
      </c>
      <c r="F261" s="92">
        <v>184</v>
      </c>
      <c r="G261" s="22">
        <f t="shared" si="10"/>
        <v>105.907</v>
      </c>
      <c r="H261" s="22">
        <f>IFERROR(IF(Yearending&gt;B260,'5. Historical demand'!F261-'5. Historical demand'!C261-'5. Historical demand'!D261,""),"")</f>
        <v>147</v>
      </c>
      <c r="I261" s="22">
        <f t="shared" si="11"/>
        <v>-41.093000000000004</v>
      </c>
    </row>
    <row r="262" spans="2:9" x14ac:dyDescent="0.2">
      <c r="B262" s="202">
        <f t="shared" si="9"/>
        <v>45693</v>
      </c>
      <c r="C262" s="92">
        <v>37</v>
      </c>
      <c r="D262" s="92"/>
      <c r="E262" s="92">
        <v>78.388000000000005</v>
      </c>
      <c r="F262" s="92">
        <v>184</v>
      </c>
      <c r="G262" s="22">
        <f t="shared" si="10"/>
        <v>105.61199999999999</v>
      </c>
      <c r="H262" s="22">
        <f>IFERROR(IF(Yearending&gt;B261,'5. Historical demand'!F262-'5. Historical demand'!C262-'5. Historical demand'!D262,""),"")</f>
        <v>147</v>
      </c>
      <c r="I262" s="22">
        <f t="shared" si="11"/>
        <v>-41.388000000000005</v>
      </c>
    </row>
    <row r="263" spans="2:9" x14ac:dyDescent="0.2">
      <c r="B263" s="202">
        <f t="shared" si="9"/>
        <v>45694</v>
      </c>
      <c r="C263" s="92">
        <v>37</v>
      </c>
      <c r="D263" s="92"/>
      <c r="E263" s="92">
        <v>73.376999999999995</v>
      </c>
      <c r="F263" s="92">
        <v>184</v>
      </c>
      <c r="G263" s="22">
        <f t="shared" si="10"/>
        <v>110.623</v>
      </c>
      <c r="H263" s="22">
        <f>IFERROR(IF(Yearending&gt;B262,'5. Historical demand'!F263-'5. Historical demand'!C263-'5. Historical demand'!D263,""),"")</f>
        <v>147</v>
      </c>
      <c r="I263" s="22">
        <f t="shared" si="11"/>
        <v>-36.376999999999995</v>
      </c>
    </row>
    <row r="264" spans="2:9" x14ac:dyDescent="0.2">
      <c r="B264" s="202">
        <f t="shared" si="9"/>
        <v>45695</v>
      </c>
      <c r="C264" s="92">
        <v>37</v>
      </c>
      <c r="D264" s="92"/>
      <c r="E264" s="92">
        <v>68.222999999999999</v>
      </c>
      <c r="F264" s="92">
        <v>184</v>
      </c>
      <c r="G264" s="22">
        <f t="shared" si="10"/>
        <v>115.777</v>
      </c>
      <c r="H264" s="22">
        <f>IFERROR(IF(Yearending&gt;B263,'5. Historical demand'!F264-'5. Historical demand'!C264-'5. Historical demand'!D264,""),"")</f>
        <v>147</v>
      </c>
      <c r="I264" s="22">
        <f t="shared" si="11"/>
        <v>-31.222999999999999</v>
      </c>
    </row>
    <row r="265" spans="2:9" x14ac:dyDescent="0.2">
      <c r="B265" s="202">
        <f t="shared" si="9"/>
        <v>45696</v>
      </c>
      <c r="C265" s="92">
        <v>37</v>
      </c>
      <c r="D265" s="92"/>
      <c r="E265" s="92">
        <v>69.869</v>
      </c>
      <c r="F265" s="92">
        <v>184</v>
      </c>
      <c r="G265" s="22">
        <f t="shared" si="10"/>
        <v>114.131</v>
      </c>
      <c r="H265" s="22">
        <f>IFERROR(IF(Yearending&gt;B264,'5. Historical demand'!F265-'5. Historical demand'!C265-'5. Historical demand'!D265,""),"")</f>
        <v>147</v>
      </c>
      <c r="I265" s="22">
        <f t="shared" si="11"/>
        <v>-32.869</v>
      </c>
    </row>
    <row r="266" spans="2:9" x14ac:dyDescent="0.2">
      <c r="B266" s="202">
        <f t="shared" si="9"/>
        <v>45697</v>
      </c>
      <c r="C266" s="92">
        <v>37</v>
      </c>
      <c r="D266" s="92"/>
      <c r="E266" s="92">
        <v>68.756</v>
      </c>
      <c r="F266" s="92">
        <v>184</v>
      </c>
      <c r="G266" s="22">
        <f t="shared" si="10"/>
        <v>115.244</v>
      </c>
      <c r="H266" s="22">
        <f>IFERROR(IF(Yearending&gt;B265,'5. Historical demand'!F266-'5. Historical demand'!C266-'5. Historical demand'!D266,""),"")</f>
        <v>147</v>
      </c>
      <c r="I266" s="22">
        <f t="shared" si="11"/>
        <v>-31.756</v>
      </c>
    </row>
    <row r="267" spans="2:9" x14ac:dyDescent="0.2">
      <c r="B267" s="202">
        <f t="shared" si="9"/>
        <v>45698</v>
      </c>
      <c r="C267" s="92">
        <v>37</v>
      </c>
      <c r="D267" s="92"/>
      <c r="E267" s="92">
        <v>66.742000000000004</v>
      </c>
      <c r="F267" s="92">
        <v>184</v>
      </c>
      <c r="G267" s="22">
        <f t="shared" si="10"/>
        <v>117.258</v>
      </c>
      <c r="H267" s="22">
        <f>IFERROR(IF(Yearending&gt;B266,'5. Historical demand'!F267-'5. Historical demand'!C267-'5. Historical demand'!D267,""),"")</f>
        <v>147</v>
      </c>
      <c r="I267" s="22">
        <f t="shared" si="11"/>
        <v>-29.742000000000004</v>
      </c>
    </row>
    <row r="268" spans="2:9" x14ac:dyDescent="0.2">
      <c r="B268" s="202">
        <f t="shared" si="9"/>
        <v>45699</v>
      </c>
      <c r="C268" s="92">
        <v>37</v>
      </c>
      <c r="D268" s="92"/>
      <c r="E268" s="92">
        <v>79.284999999999997</v>
      </c>
      <c r="F268" s="92">
        <v>184</v>
      </c>
      <c r="G268" s="22">
        <f t="shared" si="10"/>
        <v>104.715</v>
      </c>
      <c r="H268" s="22">
        <f>IFERROR(IF(Yearending&gt;B267,'5. Historical demand'!F268-'5. Historical demand'!C268-'5. Historical demand'!D268,""),"")</f>
        <v>147</v>
      </c>
      <c r="I268" s="22">
        <f t="shared" si="11"/>
        <v>-42.284999999999997</v>
      </c>
    </row>
    <row r="269" spans="2:9" x14ac:dyDescent="0.2">
      <c r="B269" s="202">
        <f t="shared" si="9"/>
        <v>45700</v>
      </c>
      <c r="C269" s="92">
        <v>37</v>
      </c>
      <c r="D269" s="92"/>
      <c r="E269" s="92">
        <v>81.37</v>
      </c>
      <c r="F269" s="92">
        <v>184</v>
      </c>
      <c r="G269" s="22">
        <f t="shared" si="10"/>
        <v>102.63</v>
      </c>
      <c r="H269" s="22">
        <f>IFERROR(IF(Yearending&gt;B268,'5. Historical demand'!F269-'5. Historical demand'!C269-'5. Historical demand'!D269,""),"")</f>
        <v>147</v>
      </c>
      <c r="I269" s="22">
        <f t="shared" si="11"/>
        <v>-44.370000000000005</v>
      </c>
    </row>
    <row r="270" spans="2:9" x14ac:dyDescent="0.2">
      <c r="B270" s="202">
        <f t="shared" si="9"/>
        <v>45701</v>
      </c>
      <c r="C270" s="92">
        <v>37</v>
      </c>
      <c r="D270" s="92"/>
      <c r="E270" s="92">
        <v>72.799000000000007</v>
      </c>
      <c r="F270" s="92">
        <v>184</v>
      </c>
      <c r="G270" s="22">
        <f t="shared" si="10"/>
        <v>111.20099999999999</v>
      </c>
      <c r="H270" s="22">
        <f>IFERROR(IF(Yearending&gt;B269,'5. Historical demand'!F270-'5. Historical demand'!C270-'5. Historical demand'!D270,""),"")</f>
        <v>147</v>
      </c>
      <c r="I270" s="22">
        <f t="shared" si="11"/>
        <v>-35.799000000000007</v>
      </c>
    </row>
    <row r="271" spans="2:9" x14ac:dyDescent="0.2">
      <c r="B271" s="202">
        <f t="shared" si="9"/>
        <v>45702</v>
      </c>
      <c r="C271" s="92">
        <v>37</v>
      </c>
      <c r="D271" s="92"/>
      <c r="E271" s="92">
        <v>82.733000000000004</v>
      </c>
      <c r="F271" s="92">
        <v>184</v>
      </c>
      <c r="G271" s="22">
        <f t="shared" si="10"/>
        <v>101.267</v>
      </c>
      <c r="H271" s="22">
        <f>IFERROR(IF(Yearending&gt;B270,'5. Historical demand'!F271-'5. Historical demand'!C271-'5. Historical demand'!D271,""),"")</f>
        <v>147</v>
      </c>
      <c r="I271" s="22">
        <f t="shared" si="11"/>
        <v>-45.733000000000004</v>
      </c>
    </row>
    <row r="272" spans="2:9" x14ac:dyDescent="0.2">
      <c r="B272" s="202">
        <f t="shared" si="9"/>
        <v>45703</v>
      </c>
      <c r="C272" s="92">
        <v>37</v>
      </c>
      <c r="D272" s="92"/>
      <c r="E272" s="92">
        <v>72.326999999999998</v>
      </c>
      <c r="F272" s="92">
        <v>184</v>
      </c>
      <c r="G272" s="22">
        <f t="shared" si="10"/>
        <v>111.673</v>
      </c>
      <c r="H272" s="22">
        <f>IFERROR(IF(Yearending&gt;B271,'5. Historical demand'!F272-'5. Historical demand'!C272-'5. Historical demand'!D272,""),"")</f>
        <v>147</v>
      </c>
      <c r="I272" s="22">
        <f t="shared" si="11"/>
        <v>-35.326999999999998</v>
      </c>
    </row>
    <row r="273" spans="2:9" x14ac:dyDescent="0.2">
      <c r="B273" s="202">
        <f t="shared" si="9"/>
        <v>45704</v>
      </c>
      <c r="C273" s="92">
        <v>37</v>
      </c>
      <c r="D273" s="92"/>
      <c r="E273" s="92">
        <v>86.156000000000006</v>
      </c>
      <c r="F273" s="92">
        <v>184</v>
      </c>
      <c r="G273" s="22">
        <f t="shared" si="10"/>
        <v>97.843999999999994</v>
      </c>
      <c r="H273" s="22">
        <f>IFERROR(IF(Yearending&gt;B272,'5. Historical demand'!F273-'5. Historical demand'!C273-'5. Historical demand'!D273,""),"")</f>
        <v>147</v>
      </c>
      <c r="I273" s="22">
        <f t="shared" si="11"/>
        <v>-49.156000000000006</v>
      </c>
    </row>
    <row r="274" spans="2:9" x14ac:dyDescent="0.2">
      <c r="B274" s="202">
        <f t="shared" si="9"/>
        <v>45705</v>
      </c>
      <c r="C274" s="92">
        <v>37</v>
      </c>
      <c r="D274" s="92"/>
      <c r="E274" s="92">
        <v>77.998000000000005</v>
      </c>
      <c r="F274" s="92">
        <v>184</v>
      </c>
      <c r="G274" s="22">
        <f t="shared" si="10"/>
        <v>106.002</v>
      </c>
      <c r="H274" s="22">
        <f>IFERROR(IF(Yearending&gt;B273,'5. Historical demand'!F274-'5. Historical demand'!C274-'5. Historical demand'!D274,""),"")</f>
        <v>147</v>
      </c>
      <c r="I274" s="22">
        <f t="shared" si="11"/>
        <v>-40.998000000000005</v>
      </c>
    </row>
    <row r="275" spans="2:9" x14ac:dyDescent="0.2">
      <c r="B275" s="202">
        <f t="shared" si="9"/>
        <v>45706</v>
      </c>
      <c r="C275" s="92">
        <v>37</v>
      </c>
      <c r="D275" s="92"/>
      <c r="E275" s="92">
        <v>78.513999999999996</v>
      </c>
      <c r="F275" s="92">
        <v>184</v>
      </c>
      <c r="G275" s="22">
        <f t="shared" si="10"/>
        <v>105.486</v>
      </c>
      <c r="H275" s="22">
        <f>IFERROR(IF(Yearending&gt;B274,'5. Historical demand'!F275-'5. Historical demand'!C275-'5. Historical demand'!D275,""),"")</f>
        <v>147</v>
      </c>
      <c r="I275" s="22">
        <f t="shared" si="11"/>
        <v>-41.513999999999996</v>
      </c>
    </row>
    <row r="276" spans="2:9" x14ac:dyDescent="0.2">
      <c r="B276" s="202">
        <f t="shared" si="9"/>
        <v>45707</v>
      </c>
      <c r="C276" s="92">
        <v>37</v>
      </c>
      <c r="D276" s="92"/>
      <c r="E276" s="92">
        <v>71.555000000000007</v>
      </c>
      <c r="F276" s="92">
        <v>184</v>
      </c>
      <c r="G276" s="22">
        <f t="shared" si="10"/>
        <v>112.44499999999999</v>
      </c>
      <c r="H276" s="22">
        <f>IFERROR(IF(Yearending&gt;B275,'5. Historical demand'!F276-'5. Historical demand'!C276-'5. Historical demand'!D276,""),"")</f>
        <v>147</v>
      </c>
      <c r="I276" s="22">
        <f t="shared" si="11"/>
        <v>-34.555000000000007</v>
      </c>
    </row>
    <row r="277" spans="2:9" x14ac:dyDescent="0.2">
      <c r="B277" s="202">
        <f t="shared" si="9"/>
        <v>45708</v>
      </c>
      <c r="C277" s="92">
        <v>37</v>
      </c>
      <c r="D277" s="92"/>
      <c r="E277" s="92">
        <v>90.153999999999996</v>
      </c>
      <c r="F277" s="92">
        <v>184</v>
      </c>
      <c r="G277" s="22">
        <f t="shared" si="10"/>
        <v>93.846000000000004</v>
      </c>
      <c r="H277" s="22">
        <f>IFERROR(IF(Yearending&gt;B276,'5. Historical demand'!F277-'5. Historical demand'!C277-'5. Historical demand'!D277,""),"")</f>
        <v>147</v>
      </c>
      <c r="I277" s="22">
        <f t="shared" si="11"/>
        <v>-53.153999999999996</v>
      </c>
    </row>
    <row r="278" spans="2:9" x14ac:dyDescent="0.2">
      <c r="B278" s="202">
        <f t="shared" si="9"/>
        <v>45709</v>
      </c>
      <c r="C278" s="92">
        <v>37</v>
      </c>
      <c r="D278" s="92"/>
      <c r="E278" s="92">
        <v>75.088999999999999</v>
      </c>
      <c r="F278" s="92">
        <v>184</v>
      </c>
      <c r="G278" s="22">
        <f t="shared" si="10"/>
        <v>108.911</v>
      </c>
      <c r="H278" s="22">
        <f>IFERROR(IF(Yearending&gt;B277,'5. Historical demand'!F278-'5. Historical demand'!C278-'5. Historical demand'!D278,""),"")</f>
        <v>147</v>
      </c>
      <c r="I278" s="22">
        <f t="shared" si="11"/>
        <v>-38.088999999999999</v>
      </c>
    </row>
    <row r="279" spans="2:9" x14ac:dyDescent="0.2">
      <c r="B279" s="202">
        <f t="shared" si="9"/>
        <v>45710</v>
      </c>
      <c r="C279" s="92">
        <v>37</v>
      </c>
      <c r="D279" s="92"/>
      <c r="E279" s="92">
        <v>86.92</v>
      </c>
      <c r="F279" s="92">
        <v>184</v>
      </c>
      <c r="G279" s="22">
        <f t="shared" si="10"/>
        <v>97.08</v>
      </c>
      <c r="H279" s="22">
        <f>IFERROR(IF(Yearending&gt;B278,'5. Historical demand'!F279-'5. Historical demand'!C279-'5. Historical demand'!D279,""),"")</f>
        <v>147</v>
      </c>
      <c r="I279" s="22">
        <f t="shared" si="11"/>
        <v>-49.92</v>
      </c>
    </row>
    <row r="280" spans="2:9" x14ac:dyDescent="0.2">
      <c r="B280" s="202">
        <f t="shared" si="9"/>
        <v>45711</v>
      </c>
      <c r="C280" s="92">
        <v>37</v>
      </c>
      <c r="D280" s="92"/>
      <c r="E280" s="92">
        <v>80.97</v>
      </c>
      <c r="F280" s="92">
        <v>184</v>
      </c>
      <c r="G280" s="22">
        <f t="shared" si="10"/>
        <v>103.03</v>
      </c>
      <c r="H280" s="22">
        <f>IFERROR(IF(Yearending&gt;B279,'5. Historical demand'!F280-'5. Historical demand'!C280-'5. Historical demand'!D280,""),"")</f>
        <v>147</v>
      </c>
      <c r="I280" s="22">
        <f t="shared" si="11"/>
        <v>-43.97</v>
      </c>
    </row>
    <row r="281" spans="2:9" x14ac:dyDescent="0.2">
      <c r="B281" s="202">
        <f t="shared" si="9"/>
        <v>45712</v>
      </c>
      <c r="C281" s="92">
        <v>37</v>
      </c>
      <c r="D281" s="92"/>
      <c r="E281" s="92">
        <v>82.921999999999997</v>
      </c>
      <c r="F281" s="92">
        <v>184</v>
      </c>
      <c r="G281" s="22">
        <f t="shared" si="10"/>
        <v>101.078</v>
      </c>
      <c r="H281" s="22">
        <f>IFERROR(IF(Yearending&gt;B280,'5. Historical demand'!F281-'5. Historical demand'!C281-'5. Historical demand'!D281,""),"")</f>
        <v>147</v>
      </c>
      <c r="I281" s="22">
        <f t="shared" si="11"/>
        <v>-45.921999999999997</v>
      </c>
    </row>
    <row r="282" spans="2:9" x14ac:dyDescent="0.2">
      <c r="B282" s="202">
        <f t="shared" si="9"/>
        <v>45713</v>
      </c>
      <c r="C282" s="92">
        <v>37</v>
      </c>
      <c r="D282" s="92"/>
      <c r="E282" s="92">
        <v>89.256</v>
      </c>
      <c r="F282" s="92">
        <v>184</v>
      </c>
      <c r="G282" s="22">
        <f t="shared" si="10"/>
        <v>94.744</v>
      </c>
      <c r="H282" s="22">
        <f>IFERROR(IF(Yearending&gt;B281,'5. Historical demand'!F282-'5. Historical demand'!C282-'5. Historical demand'!D282,""),"")</f>
        <v>147</v>
      </c>
      <c r="I282" s="22">
        <f t="shared" si="11"/>
        <v>-52.256</v>
      </c>
    </row>
    <row r="283" spans="2:9" x14ac:dyDescent="0.2">
      <c r="B283" s="202">
        <f t="shared" si="9"/>
        <v>45714</v>
      </c>
      <c r="C283" s="92">
        <v>37</v>
      </c>
      <c r="D283" s="92"/>
      <c r="E283" s="92">
        <v>93.519000000000005</v>
      </c>
      <c r="F283" s="92">
        <v>184</v>
      </c>
      <c r="G283" s="22">
        <f t="shared" si="10"/>
        <v>90.480999999999995</v>
      </c>
      <c r="H283" s="22">
        <f>IFERROR(IF(Yearending&gt;B282,'5. Historical demand'!F283-'5. Historical demand'!C283-'5. Historical demand'!D283,""),"")</f>
        <v>147</v>
      </c>
      <c r="I283" s="22">
        <f t="shared" si="11"/>
        <v>-56.519000000000005</v>
      </c>
    </row>
    <row r="284" spans="2:9" x14ac:dyDescent="0.2">
      <c r="B284" s="202">
        <f t="shared" si="9"/>
        <v>45715</v>
      </c>
      <c r="C284" s="92">
        <v>37</v>
      </c>
      <c r="D284" s="92"/>
      <c r="E284" s="92">
        <v>90.491</v>
      </c>
      <c r="F284" s="92">
        <v>184</v>
      </c>
      <c r="G284" s="22">
        <f t="shared" si="10"/>
        <v>93.509</v>
      </c>
      <c r="H284" s="22">
        <f>IFERROR(IF(Yearending&gt;B283,'5. Historical demand'!F284-'5. Historical demand'!C284-'5. Historical demand'!D284,""),"")</f>
        <v>147</v>
      </c>
      <c r="I284" s="22">
        <f t="shared" si="11"/>
        <v>-53.491</v>
      </c>
    </row>
    <row r="285" spans="2:9" x14ac:dyDescent="0.2">
      <c r="B285" s="202">
        <f t="shared" si="9"/>
        <v>45716</v>
      </c>
      <c r="C285" s="92">
        <v>37</v>
      </c>
      <c r="D285" s="92"/>
      <c r="E285" s="92">
        <v>84.942999999999998</v>
      </c>
      <c r="F285" s="92">
        <v>184</v>
      </c>
      <c r="G285" s="22">
        <f t="shared" si="10"/>
        <v>99.057000000000002</v>
      </c>
      <c r="H285" s="22">
        <f>IFERROR(IF(Yearending&gt;B284,'5. Historical demand'!F285-'5. Historical demand'!C285-'5. Historical demand'!D285,""),"")</f>
        <v>147</v>
      </c>
      <c r="I285" s="22">
        <f t="shared" si="11"/>
        <v>-47.942999999999998</v>
      </c>
    </row>
    <row r="286" spans="2:9" x14ac:dyDescent="0.2">
      <c r="B286" s="202">
        <f t="shared" si="9"/>
        <v>45717</v>
      </c>
      <c r="C286" s="92">
        <v>37</v>
      </c>
      <c r="D286" s="92"/>
      <c r="E286" s="92">
        <v>83.64</v>
      </c>
      <c r="F286" s="92">
        <v>184</v>
      </c>
      <c r="G286" s="22">
        <f t="shared" si="10"/>
        <v>100.36</v>
      </c>
      <c r="H286" s="22">
        <f>IFERROR(IF(Yearending&gt;B285,'5. Historical demand'!F286-'5. Historical demand'!C286-'5. Historical demand'!D286,""),"")</f>
        <v>147</v>
      </c>
      <c r="I286" s="22">
        <f t="shared" si="11"/>
        <v>-46.64</v>
      </c>
    </row>
    <row r="287" spans="2:9" x14ac:dyDescent="0.2">
      <c r="B287" s="202">
        <f t="shared" si="9"/>
        <v>45718</v>
      </c>
      <c r="C287" s="92">
        <v>37</v>
      </c>
      <c r="D287" s="92"/>
      <c r="E287" s="92">
        <v>88.32</v>
      </c>
      <c r="F287" s="92">
        <v>184</v>
      </c>
      <c r="G287" s="22">
        <f t="shared" si="10"/>
        <v>95.68</v>
      </c>
      <c r="H287" s="22">
        <f>IFERROR(IF(Yearending&gt;B286,'5. Historical demand'!F287-'5. Historical demand'!C287-'5. Historical demand'!D287,""),"")</f>
        <v>147</v>
      </c>
      <c r="I287" s="22">
        <f t="shared" si="11"/>
        <v>-51.319999999999993</v>
      </c>
    </row>
    <row r="288" spans="2:9" x14ac:dyDescent="0.2">
      <c r="B288" s="202">
        <f t="shared" si="9"/>
        <v>45719</v>
      </c>
      <c r="C288" s="92">
        <v>37</v>
      </c>
      <c r="D288" s="92"/>
      <c r="E288" s="92">
        <v>88.495999999999995</v>
      </c>
      <c r="F288" s="92">
        <v>184</v>
      </c>
      <c r="G288" s="22">
        <f t="shared" si="10"/>
        <v>95.504000000000005</v>
      </c>
      <c r="H288" s="22">
        <f>IFERROR(IF(Yearending&gt;B287,'5. Historical demand'!F288-'5. Historical demand'!C288-'5. Historical demand'!D288,""),"")</f>
        <v>147</v>
      </c>
      <c r="I288" s="22">
        <f t="shared" si="11"/>
        <v>-51.495999999999995</v>
      </c>
    </row>
    <row r="289" spans="2:9" x14ac:dyDescent="0.2">
      <c r="B289" s="202">
        <f t="shared" si="9"/>
        <v>45720</v>
      </c>
      <c r="C289" s="92">
        <v>37</v>
      </c>
      <c r="D289" s="92"/>
      <c r="E289" s="92">
        <v>84.802999999999997</v>
      </c>
      <c r="F289" s="92">
        <v>184</v>
      </c>
      <c r="G289" s="22">
        <f t="shared" si="10"/>
        <v>99.197000000000003</v>
      </c>
      <c r="H289" s="22">
        <f>IFERROR(IF(Yearending&gt;B288,'5. Historical demand'!F289-'5. Historical demand'!C289-'5. Historical demand'!D289,""),"")</f>
        <v>147</v>
      </c>
      <c r="I289" s="22">
        <f t="shared" si="11"/>
        <v>-47.802999999999997</v>
      </c>
    </row>
    <row r="290" spans="2:9" x14ac:dyDescent="0.2">
      <c r="B290" s="202">
        <f t="shared" si="9"/>
        <v>45721</v>
      </c>
      <c r="C290" s="92">
        <v>37</v>
      </c>
      <c r="D290" s="92"/>
      <c r="E290" s="92">
        <v>82.795000000000002</v>
      </c>
      <c r="F290" s="92">
        <v>184</v>
      </c>
      <c r="G290" s="22">
        <f t="shared" si="10"/>
        <v>101.205</v>
      </c>
      <c r="H290" s="22">
        <f>IFERROR(IF(Yearending&gt;B289,'5. Historical demand'!F290-'5. Historical demand'!C290-'5. Historical demand'!D290,""),"")</f>
        <v>147</v>
      </c>
      <c r="I290" s="22">
        <f t="shared" si="11"/>
        <v>-45.795000000000002</v>
      </c>
    </row>
    <row r="291" spans="2:9" x14ac:dyDescent="0.2">
      <c r="B291" s="202">
        <f t="shared" si="9"/>
        <v>45722</v>
      </c>
      <c r="C291" s="92">
        <v>37</v>
      </c>
      <c r="D291" s="92"/>
      <c r="E291" s="92">
        <v>81.168000000000006</v>
      </c>
      <c r="F291" s="92">
        <v>184</v>
      </c>
      <c r="G291" s="22">
        <f t="shared" si="10"/>
        <v>102.83199999999999</v>
      </c>
      <c r="H291" s="22">
        <f>IFERROR(IF(Yearending&gt;B290,'5. Historical demand'!F291-'5. Historical demand'!C291-'5. Historical demand'!D291,""),"")</f>
        <v>147</v>
      </c>
      <c r="I291" s="22">
        <f t="shared" si="11"/>
        <v>-44.168000000000006</v>
      </c>
    </row>
    <row r="292" spans="2:9" x14ac:dyDescent="0.2">
      <c r="B292" s="202">
        <f t="shared" si="9"/>
        <v>45723</v>
      </c>
      <c r="C292" s="92">
        <v>37</v>
      </c>
      <c r="D292" s="92"/>
      <c r="E292" s="92">
        <v>86.42</v>
      </c>
      <c r="F292" s="92">
        <v>184</v>
      </c>
      <c r="G292" s="22">
        <f t="shared" si="10"/>
        <v>97.58</v>
      </c>
      <c r="H292" s="22">
        <f>IFERROR(IF(Yearending&gt;B291,'5. Historical demand'!F292-'5. Historical demand'!C292-'5. Historical demand'!D292,""),"")</f>
        <v>147</v>
      </c>
      <c r="I292" s="22">
        <f t="shared" si="11"/>
        <v>-49.42</v>
      </c>
    </row>
    <row r="293" spans="2:9" x14ac:dyDescent="0.2">
      <c r="B293" s="202">
        <f t="shared" si="9"/>
        <v>45724</v>
      </c>
      <c r="C293" s="92">
        <v>37</v>
      </c>
      <c r="D293" s="92"/>
      <c r="E293" s="92">
        <v>88.218000000000004</v>
      </c>
      <c r="F293" s="92">
        <v>184</v>
      </c>
      <c r="G293" s="22">
        <f t="shared" si="10"/>
        <v>95.781999999999996</v>
      </c>
      <c r="H293" s="22">
        <f>IFERROR(IF(Yearending&gt;B292,'5. Historical demand'!F293-'5. Historical demand'!C293-'5. Historical demand'!D293,""),"")</f>
        <v>147</v>
      </c>
      <c r="I293" s="22">
        <f t="shared" si="11"/>
        <v>-51.218000000000004</v>
      </c>
    </row>
    <row r="294" spans="2:9" x14ac:dyDescent="0.2">
      <c r="B294" s="202">
        <f t="shared" si="9"/>
        <v>45725</v>
      </c>
      <c r="C294" s="92">
        <v>37</v>
      </c>
      <c r="D294" s="92"/>
      <c r="E294" s="92">
        <v>84.852000000000004</v>
      </c>
      <c r="F294" s="92">
        <v>184</v>
      </c>
      <c r="G294" s="22">
        <f t="shared" si="10"/>
        <v>99.147999999999996</v>
      </c>
      <c r="H294" s="22">
        <f>IFERROR(IF(Yearending&gt;B293,'5. Historical demand'!F294-'5. Historical demand'!C294-'5. Historical demand'!D294,""),"")</f>
        <v>147</v>
      </c>
      <c r="I294" s="22">
        <f t="shared" si="11"/>
        <v>-47.852000000000004</v>
      </c>
    </row>
    <row r="295" spans="2:9" x14ac:dyDescent="0.2">
      <c r="B295" s="202">
        <f t="shared" si="9"/>
        <v>45726</v>
      </c>
      <c r="C295" s="92">
        <v>37</v>
      </c>
      <c r="D295" s="92"/>
      <c r="E295" s="92">
        <v>76.751000000000005</v>
      </c>
      <c r="F295" s="92">
        <v>184</v>
      </c>
      <c r="G295" s="22">
        <f t="shared" si="10"/>
        <v>107.249</v>
      </c>
      <c r="H295" s="22">
        <f>IFERROR(IF(Yearending&gt;B294,'5. Historical demand'!F295-'5. Historical demand'!C295-'5. Historical demand'!D295,""),"")</f>
        <v>147</v>
      </c>
      <c r="I295" s="22">
        <f t="shared" si="11"/>
        <v>-39.751000000000005</v>
      </c>
    </row>
    <row r="296" spans="2:9" x14ac:dyDescent="0.2">
      <c r="B296" s="202">
        <f t="shared" si="9"/>
        <v>45727</v>
      </c>
      <c r="C296" s="92">
        <v>37</v>
      </c>
      <c r="D296" s="92"/>
      <c r="E296" s="92">
        <v>82.561999999999998</v>
      </c>
      <c r="F296" s="92">
        <v>184</v>
      </c>
      <c r="G296" s="22">
        <f t="shared" si="10"/>
        <v>101.438</v>
      </c>
      <c r="H296" s="22">
        <f>IFERROR(IF(Yearending&gt;B295,'5. Historical demand'!F296-'5. Historical demand'!C296-'5. Historical demand'!D296,""),"")</f>
        <v>147</v>
      </c>
      <c r="I296" s="22">
        <f t="shared" si="11"/>
        <v>-45.561999999999998</v>
      </c>
    </row>
    <row r="297" spans="2:9" x14ac:dyDescent="0.2">
      <c r="B297" s="202">
        <f t="shared" si="9"/>
        <v>45728</v>
      </c>
      <c r="C297" s="92">
        <v>37</v>
      </c>
      <c r="D297" s="92"/>
      <c r="E297" s="92">
        <v>72.741</v>
      </c>
      <c r="F297" s="92">
        <v>184</v>
      </c>
      <c r="G297" s="22">
        <f t="shared" si="10"/>
        <v>111.259</v>
      </c>
      <c r="H297" s="22">
        <f>IFERROR(IF(Yearending&gt;B296,'5. Historical demand'!F297-'5. Historical demand'!C297-'5. Historical demand'!D297,""),"")</f>
        <v>147</v>
      </c>
      <c r="I297" s="22">
        <f t="shared" si="11"/>
        <v>-35.741</v>
      </c>
    </row>
    <row r="298" spans="2:9" x14ac:dyDescent="0.2">
      <c r="B298" s="202">
        <f t="shared" si="9"/>
        <v>45729</v>
      </c>
      <c r="C298" s="92">
        <v>37</v>
      </c>
      <c r="D298" s="92"/>
      <c r="E298" s="92">
        <v>97.488</v>
      </c>
      <c r="F298" s="92">
        <v>184</v>
      </c>
      <c r="G298" s="22">
        <f t="shared" si="10"/>
        <v>86.512</v>
      </c>
      <c r="H298" s="22">
        <f>IFERROR(IF(Yearending&gt;B297,'5. Historical demand'!F298-'5. Historical demand'!C298-'5. Historical demand'!D298,""),"")</f>
        <v>147</v>
      </c>
      <c r="I298" s="22">
        <f t="shared" si="11"/>
        <v>-60.488</v>
      </c>
    </row>
    <row r="299" spans="2:9" x14ac:dyDescent="0.2">
      <c r="B299" s="202">
        <f t="shared" si="9"/>
        <v>45730</v>
      </c>
      <c r="C299" s="92">
        <v>37</v>
      </c>
      <c r="D299" s="92"/>
      <c r="E299" s="92">
        <v>71.638999999999996</v>
      </c>
      <c r="F299" s="92">
        <v>184</v>
      </c>
      <c r="G299" s="22">
        <f t="shared" si="10"/>
        <v>112.361</v>
      </c>
      <c r="H299" s="22">
        <f>IFERROR(IF(Yearending&gt;B298,'5. Historical demand'!F299-'5. Historical demand'!C299-'5. Historical demand'!D299,""),"")</f>
        <v>147</v>
      </c>
      <c r="I299" s="22">
        <f t="shared" si="11"/>
        <v>-34.638999999999996</v>
      </c>
    </row>
    <row r="300" spans="2:9" x14ac:dyDescent="0.2">
      <c r="B300" s="202">
        <f t="shared" ref="B300:B363" si="12">IFERROR(IF(Yearending&gt;B299, B299+1, ""),"")</f>
        <v>45731</v>
      </c>
      <c r="C300" s="92">
        <v>37</v>
      </c>
      <c r="D300" s="92"/>
      <c r="E300" s="92">
        <v>86.364999999999995</v>
      </c>
      <c r="F300" s="92">
        <v>184</v>
      </c>
      <c r="G300" s="22">
        <f t="shared" ref="G300:G363" si="13">IFERROR(IF(Yearending&gt;B299,F300-E300,""),"")</f>
        <v>97.635000000000005</v>
      </c>
      <c r="H300" s="22">
        <f>IFERROR(IF(Yearending&gt;B299,'5. Historical demand'!F300-'5. Historical demand'!C300-'5. Historical demand'!D300,""),"")</f>
        <v>147</v>
      </c>
      <c r="I300" s="22">
        <f t="shared" ref="I300:I363" si="14">IFERROR(IF(Yearending&gt;B299,C300+D300-E300,""),"")</f>
        <v>-49.364999999999995</v>
      </c>
    </row>
    <row r="301" spans="2:9" x14ac:dyDescent="0.2">
      <c r="B301" s="202">
        <f t="shared" si="12"/>
        <v>45732</v>
      </c>
      <c r="C301" s="92">
        <v>37</v>
      </c>
      <c r="D301" s="92"/>
      <c r="E301" s="92">
        <v>81.231999999999999</v>
      </c>
      <c r="F301" s="92">
        <v>184</v>
      </c>
      <c r="G301" s="22">
        <f t="shared" si="13"/>
        <v>102.768</v>
      </c>
      <c r="H301" s="22">
        <f>IFERROR(IF(Yearending&gt;B300,'5. Historical demand'!F301-'5. Historical demand'!C301-'5. Historical demand'!D301,""),"")</f>
        <v>147</v>
      </c>
      <c r="I301" s="22">
        <f t="shared" si="14"/>
        <v>-44.231999999999999</v>
      </c>
    </row>
    <row r="302" spans="2:9" x14ac:dyDescent="0.2">
      <c r="B302" s="202">
        <f t="shared" si="12"/>
        <v>45733</v>
      </c>
      <c r="C302" s="92">
        <v>37</v>
      </c>
      <c r="D302" s="92"/>
      <c r="E302" s="92">
        <v>78.634</v>
      </c>
      <c r="F302" s="92">
        <v>184</v>
      </c>
      <c r="G302" s="22">
        <f t="shared" si="13"/>
        <v>105.366</v>
      </c>
      <c r="H302" s="22">
        <f>IFERROR(IF(Yearending&gt;B301,'5. Historical demand'!F302-'5. Historical demand'!C302-'5. Historical demand'!D302,""),"")</f>
        <v>147</v>
      </c>
      <c r="I302" s="22">
        <f t="shared" si="14"/>
        <v>-41.634</v>
      </c>
    </row>
    <row r="303" spans="2:9" x14ac:dyDescent="0.2">
      <c r="B303" s="202">
        <f t="shared" si="12"/>
        <v>45734</v>
      </c>
      <c r="C303" s="92">
        <v>37</v>
      </c>
      <c r="D303" s="92"/>
      <c r="E303" s="92">
        <v>86.119</v>
      </c>
      <c r="F303" s="92">
        <v>184</v>
      </c>
      <c r="G303" s="22">
        <f t="shared" si="13"/>
        <v>97.881</v>
      </c>
      <c r="H303" s="22">
        <f>IFERROR(IF(Yearending&gt;B302,'5. Historical demand'!F303-'5. Historical demand'!C303-'5. Historical demand'!D303,""),"")</f>
        <v>147</v>
      </c>
      <c r="I303" s="22">
        <f t="shared" si="14"/>
        <v>-49.119</v>
      </c>
    </row>
    <row r="304" spans="2:9" x14ac:dyDescent="0.2">
      <c r="B304" s="202">
        <f t="shared" si="12"/>
        <v>45735</v>
      </c>
      <c r="C304" s="92">
        <v>37</v>
      </c>
      <c r="D304" s="92"/>
      <c r="E304" s="92">
        <v>79.396000000000001</v>
      </c>
      <c r="F304" s="92">
        <v>184</v>
      </c>
      <c r="G304" s="22">
        <f t="shared" si="13"/>
        <v>104.604</v>
      </c>
      <c r="H304" s="22">
        <f>IFERROR(IF(Yearending&gt;B303,'5. Historical demand'!F304-'5. Historical demand'!C304-'5. Historical demand'!D304,""),"")</f>
        <v>147</v>
      </c>
      <c r="I304" s="22">
        <f t="shared" si="14"/>
        <v>-42.396000000000001</v>
      </c>
    </row>
    <row r="305" spans="2:9" x14ac:dyDescent="0.2">
      <c r="B305" s="202">
        <f t="shared" si="12"/>
        <v>45736</v>
      </c>
      <c r="C305" s="92">
        <v>37</v>
      </c>
      <c r="D305" s="92"/>
      <c r="E305" s="92">
        <v>82.113</v>
      </c>
      <c r="F305" s="92">
        <v>184</v>
      </c>
      <c r="G305" s="22">
        <f t="shared" si="13"/>
        <v>101.887</v>
      </c>
      <c r="H305" s="22">
        <f>IFERROR(IF(Yearending&gt;B304,'5. Historical demand'!F305-'5. Historical demand'!C305-'5. Historical demand'!D305,""),"")</f>
        <v>147</v>
      </c>
      <c r="I305" s="22">
        <f t="shared" si="14"/>
        <v>-45.113</v>
      </c>
    </row>
    <row r="306" spans="2:9" x14ac:dyDescent="0.2">
      <c r="B306" s="202">
        <f t="shared" si="12"/>
        <v>45737</v>
      </c>
      <c r="C306" s="92">
        <v>37</v>
      </c>
      <c r="D306" s="92"/>
      <c r="E306" s="92">
        <v>87.400999999999996</v>
      </c>
      <c r="F306" s="92">
        <v>184</v>
      </c>
      <c r="G306" s="22">
        <f t="shared" si="13"/>
        <v>96.599000000000004</v>
      </c>
      <c r="H306" s="22">
        <f>IFERROR(IF(Yearending&gt;B305,'5. Historical demand'!F306-'5. Historical demand'!C306-'5. Historical demand'!D306,""),"")</f>
        <v>147</v>
      </c>
      <c r="I306" s="22">
        <f t="shared" si="14"/>
        <v>-50.400999999999996</v>
      </c>
    </row>
    <row r="307" spans="2:9" x14ac:dyDescent="0.2">
      <c r="B307" s="202">
        <f t="shared" si="12"/>
        <v>45738</v>
      </c>
      <c r="C307" s="92">
        <v>37</v>
      </c>
      <c r="D307" s="92"/>
      <c r="E307" s="92">
        <v>92.533000000000001</v>
      </c>
      <c r="F307" s="92">
        <v>184</v>
      </c>
      <c r="G307" s="22">
        <f t="shared" si="13"/>
        <v>91.466999999999999</v>
      </c>
      <c r="H307" s="22">
        <f>IFERROR(IF(Yearending&gt;B306,'5. Historical demand'!F307-'5. Historical demand'!C307-'5. Historical demand'!D307,""),"")</f>
        <v>147</v>
      </c>
      <c r="I307" s="22">
        <f t="shared" si="14"/>
        <v>-55.533000000000001</v>
      </c>
    </row>
    <row r="308" spans="2:9" x14ac:dyDescent="0.2">
      <c r="B308" s="202">
        <f t="shared" si="12"/>
        <v>45739</v>
      </c>
      <c r="C308" s="92">
        <v>37</v>
      </c>
      <c r="D308" s="92"/>
      <c r="E308" s="92">
        <v>92.195999999999998</v>
      </c>
      <c r="F308" s="92">
        <v>184</v>
      </c>
      <c r="G308" s="22">
        <f t="shared" si="13"/>
        <v>91.804000000000002</v>
      </c>
      <c r="H308" s="22">
        <f>IFERROR(IF(Yearending&gt;B307,'5. Historical demand'!F308-'5. Historical demand'!C308-'5. Historical demand'!D308,""),"")</f>
        <v>147</v>
      </c>
      <c r="I308" s="22">
        <f t="shared" si="14"/>
        <v>-55.195999999999998</v>
      </c>
    </row>
    <row r="309" spans="2:9" x14ac:dyDescent="0.2">
      <c r="B309" s="202">
        <f t="shared" si="12"/>
        <v>45740</v>
      </c>
      <c r="C309" s="92">
        <v>37</v>
      </c>
      <c r="D309" s="92"/>
      <c r="E309" s="92">
        <v>83.807000000000002</v>
      </c>
      <c r="F309" s="92">
        <v>184</v>
      </c>
      <c r="G309" s="22">
        <f t="shared" si="13"/>
        <v>100.193</v>
      </c>
      <c r="H309" s="22">
        <f>IFERROR(IF(Yearending&gt;B308,'5. Historical demand'!F309-'5. Historical demand'!C309-'5. Historical demand'!D309,""),"")</f>
        <v>147</v>
      </c>
      <c r="I309" s="22">
        <f t="shared" si="14"/>
        <v>-46.807000000000002</v>
      </c>
    </row>
    <row r="310" spans="2:9" x14ac:dyDescent="0.2">
      <c r="B310" s="202">
        <f t="shared" si="12"/>
        <v>45741</v>
      </c>
      <c r="C310" s="92">
        <v>37</v>
      </c>
      <c r="D310" s="92"/>
      <c r="E310" s="92">
        <v>80.700999999999993</v>
      </c>
      <c r="F310" s="92">
        <v>184</v>
      </c>
      <c r="G310" s="22">
        <f t="shared" si="13"/>
        <v>103.29900000000001</v>
      </c>
      <c r="H310" s="22">
        <f>IFERROR(IF(Yearending&gt;B309,'5. Historical demand'!F310-'5. Historical demand'!C310-'5. Historical demand'!D310,""),"")</f>
        <v>147</v>
      </c>
      <c r="I310" s="22">
        <f t="shared" si="14"/>
        <v>-43.700999999999993</v>
      </c>
    </row>
    <row r="311" spans="2:9" x14ac:dyDescent="0.2">
      <c r="B311" s="202">
        <f t="shared" si="12"/>
        <v>45742</v>
      </c>
      <c r="C311" s="92">
        <v>37</v>
      </c>
      <c r="D311" s="92"/>
      <c r="E311" s="92">
        <v>83.528999999999996</v>
      </c>
      <c r="F311" s="92">
        <v>184</v>
      </c>
      <c r="G311" s="22">
        <f t="shared" si="13"/>
        <v>100.471</v>
      </c>
      <c r="H311" s="22">
        <f>IFERROR(IF(Yearending&gt;B310,'5. Historical demand'!F311-'5. Historical demand'!C311-'5. Historical demand'!D311,""),"")</f>
        <v>147</v>
      </c>
      <c r="I311" s="22">
        <f t="shared" si="14"/>
        <v>-46.528999999999996</v>
      </c>
    </row>
    <row r="312" spans="2:9" x14ac:dyDescent="0.2">
      <c r="B312" s="202">
        <f t="shared" si="12"/>
        <v>45743</v>
      </c>
      <c r="C312" s="92">
        <v>37</v>
      </c>
      <c r="D312" s="92"/>
      <c r="E312" s="92">
        <v>89.17</v>
      </c>
      <c r="F312" s="92">
        <v>184</v>
      </c>
      <c r="G312" s="22">
        <f t="shared" si="13"/>
        <v>94.83</v>
      </c>
      <c r="H312" s="22">
        <f>IFERROR(IF(Yearending&gt;B311,'5. Historical demand'!F312-'5. Historical demand'!C312-'5. Historical demand'!D312,""),"")</f>
        <v>147</v>
      </c>
      <c r="I312" s="22">
        <f t="shared" si="14"/>
        <v>-52.17</v>
      </c>
    </row>
    <row r="313" spans="2:9" x14ac:dyDescent="0.2">
      <c r="B313" s="202">
        <f t="shared" si="12"/>
        <v>45744</v>
      </c>
      <c r="C313" s="92">
        <v>37</v>
      </c>
      <c r="D313" s="92"/>
      <c r="E313" s="92">
        <v>83.710999999999999</v>
      </c>
      <c r="F313" s="92">
        <v>184</v>
      </c>
      <c r="G313" s="22">
        <f t="shared" si="13"/>
        <v>100.289</v>
      </c>
      <c r="H313" s="22">
        <f>IFERROR(IF(Yearending&gt;B312,'5. Historical demand'!F313-'5. Historical demand'!C313-'5. Historical demand'!D313,""),"")</f>
        <v>147</v>
      </c>
      <c r="I313" s="22">
        <f t="shared" si="14"/>
        <v>-46.710999999999999</v>
      </c>
    </row>
    <row r="314" spans="2:9" x14ac:dyDescent="0.2">
      <c r="B314" s="202">
        <f t="shared" si="12"/>
        <v>45745</v>
      </c>
      <c r="C314" s="92">
        <v>37</v>
      </c>
      <c r="D314" s="92"/>
      <c r="E314" s="92">
        <v>80.924000000000007</v>
      </c>
      <c r="F314" s="92">
        <v>184</v>
      </c>
      <c r="G314" s="22">
        <f t="shared" si="13"/>
        <v>103.07599999999999</v>
      </c>
      <c r="H314" s="22">
        <f>IFERROR(IF(Yearending&gt;B313,'5. Historical demand'!F314-'5. Historical demand'!C314-'5. Historical demand'!D314,""),"")</f>
        <v>147</v>
      </c>
      <c r="I314" s="22">
        <f t="shared" si="14"/>
        <v>-43.924000000000007</v>
      </c>
    </row>
    <row r="315" spans="2:9" x14ac:dyDescent="0.2">
      <c r="B315" s="202">
        <f t="shared" si="12"/>
        <v>45746</v>
      </c>
      <c r="C315" s="92">
        <v>37</v>
      </c>
      <c r="D315" s="92"/>
      <c r="E315" s="92">
        <v>80.399000000000001</v>
      </c>
      <c r="F315" s="92">
        <v>184</v>
      </c>
      <c r="G315" s="22">
        <f t="shared" si="13"/>
        <v>103.601</v>
      </c>
      <c r="H315" s="22">
        <f>IFERROR(IF(Yearending&gt;B314,'5. Historical demand'!F315-'5. Historical demand'!C315-'5. Historical demand'!D315,""),"")</f>
        <v>147</v>
      </c>
      <c r="I315" s="22">
        <f t="shared" si="14"/>
        <v>-43.399000000000001</v>
      </c>
    </row>
    <row r="316" spans="2:9" x14ac:dyDescent="0.2">
      <c r="B316" s="202">
        <f t="shared" si="12"/>
        <v>45747</v>
      </c>
      <c r="C316" s="92">
        <v>37</v>
      </c>
      <c r="D316" s="92"/>
      <c r="E316" s="92">
        <v>78.643000000000001</v>
      </c>
      <c r="F316" s="92">
        <v>184</v>
      </c>
      <c r="G316" s="22">
        <f t="shared" si="13"/>
        <v>105.357</v>
      </c>
      <c r="H316" s="22">
        <f>IFERROR(IF(Yearending&gt;B315,'5. Historical demand'!F316-'5. Historical demand'!C316-'5. Historical demand'!D316,""),"")</f>
        <v>147</v>
      </c>
      <c r="I316" s="22">
        <f t="shared" si="14"/>
        <v>-41.643000000000001</v>
      </c>
    </row>
    <row r="317" spans="2:9" x14ac:dyDescent="0.2">
      <c r="B317" s="202">
        <f t="shared" si="12"/>
        <v>45748</v>
      </c>
      <c r="C317" s="92">
        <v>36.1</v>
      </c>
      <c r="D317" s="92"/>
      <c r="E317" s="92">
        <v>65.238</v>
      </c>
      <c r="F317" s="92">
        <v>184</v>
      </c>
      <c r="G317" s="22">
        <f t="shared" si="13"/>
        <v>118.762</v>
      </c>
      <c r="H317" s="22">
        <f>IFERROR(IF(Yearending&gt;B316,'5. Historical demand'!F317-'5. Historical demand'!C317-'5. Historical demand'!D317,""),"")</f>
        <v>147.9</v>
      </c>
      <c r="I317" s="22">
        <f t="shared" si="14"/>
        <v>-29.137999999999998</v>
      </c>
    </row>
    <row r="318" spans="2:9" x14ac:dyDescent="0.2">
      <c r="B318" s="202">
        <f t="shared" si="12"/>
        <v>45749</v>
      </c>
      <c r="C318" s="92">
        <v>36.1</v>
      </c>
      <c r="D318" s="92"/>
      <c r="E318" s="92">
        <v>85.161000000000001</v>
      </c>
      <c r="F318" s="92">
        <v>184</v>
      </c>
      <c r="G318" s="22">
        <f t="shared" si="13"/>
        <v>98.838999999999999</v>
      </c>
      <c r="H318" s="22">
        <f>IFERROR(IF(Yearending&gt;B317,'5. Historical demand'!F318-'5. Historical demand'!C318-'5. Historical demand'!D318,""),"")</f>
        <v>147.9</v>
      </c>
      <c r="I318" s="22">
        <f t="shared" si="14"/>
        <v>-49.061</v>
      </c>
    </row>
    <row r="319" spans="2:9" x14ac:dyDescent="0.2">
      <c r="B319" s="202">
        <f t="shared" si="12"/>
        <v>45750</v>
      </c>
      <c r="C319" s="92">
        <v>36.1</v>
      </c>
      <c r="D319" s="92"/>
      <c r="E319" s="92">
        <v>81.942999999999998</v>
      </c>
      <c r="F319" s="92">
        <v>184</v>
      </c>
      <c r="G319" s="22">
        <f t="shared" si="13"/>
        <v>102.057</v>
      </c>
      <c r="H319" s="22">
        <f>IFERROR(IF(Yearending&gt;B318,'5. Historical demand'!F319-'5. Historical demand'!C319-'5. Historical demand'!D319,""),"")</f>
        <v>147.9</v>
      </c>
      <c r="I319" s="22">
        <f t="shared" si="14"/>
        <v>-45.842999999999996</v>
      </c>
    </row>
    <row r="320" spans="2:9" x14ac:dyDescent="0.2">
      <c r="B320" s="202">
        <f t="shared" si="12"/>
        <v>45751</v>
      </c>
      <c r="C320" s="92">
        <v>36.1</v>
      </c>
      <c r="D320" s="92"/>
      <c r="E320" s="92">
        <v>87.364000000000004</v>
      </c>
      <c r="F320" s="92">
        <v>184</v>
      </c>
      <c r="G320" s="22">
        <f t="shared" si="13"/>
        <v>96.635999999999996</v>
      </c>
      <c r="H320" s="22">
        <f>IFERROR(IF(Yearending&gt;B319,'5. Historical demand'!F320-'5. Historical demand'!C320-'5. Historical demand'!D320,""),"")</f>
        <v>147.9</v>
      </c>
      <c r="I320" s="22">
        <f t="shared" si="14"/>
        <v>-51.264000000000003</v>
      </c>
    </row>
    <row r="321" spans="2:9" x14ac:dyDescent="0.2">
      <c r="B321" s="202">
        <f t="shared" si="12"/>
        <v>45752</v>
      </c>
      <c r="C321" s="92">
        <v>36.1</v>
      </c>
      <c r="D321" s="92"/>
      <c r="E321" s="92">
        <v>89.262</v>
      </c>
      <c r="F321" s="92">
        <v>184</v>
      </c>
      <c r="G321" s="22">
        <f t="shared" si="13"/>
        <v>94.738</v>
      </c>
      <c r="H321" s="22">
        <f>IFERROR(IF(Yearending&gt;B320,'5. Historical demand'!F321-'5. Historical demand'!C321-'5. Historical demand'!D321,""),"")</f>
        <v>147.9</v>
      </c>
      <c r="I321" s="22">
        <f t="shared" si="14"/>
        <v>-53.161999999999999</v>
      </c>
    </row>
    <row r="322" spans="2:9" x14ac:dyDescent="0.2">
      <c r="B322" s="202">
        <f t="shared" si="12"/>
        <v>45753</v>
      </c>
      <c r="C322" s="92">
        <v>36.1</v>
      </c>
      <c r="D322" s="92"/>
      <c r="E322" s="92">
        <v>85.236000000000004</v>
      </c>
      <c r="F322" s="92">
        <v>184</v>
      </c>
      <c r="G322" s="22">
        <f t="shared" si="13"/>
        <v>98.763999999999996</v>
      </c>
      <c r="H322" s="22">
        <f>IFERROR(IF(Yearending&gt;B321,'5. Historical demand'!F322-'5. Historical demand'!C322-'5. Historical demand'!D322,""),"")</f>
        <v>147.9</v>
      </c>
      <c r="I322" s="22">
        <f t="shared" si="14"/>
        <v>-49.136000000000003</v>
      </c>
    </row>
    <row r="323" spans="2:9" x14ac:dyDescent="0.2">
      <c r="B323" s="202">
        <f t="shared" si="12"/>
        <v>45754</v>
      </c>
      <c r="C323" s="92">
        <v>36.1</v>
      </c>
      <c r="D323" s="92"/>
      <c r="E323" s="92">
        <v>91.290999999999997</v>
      </c>
      <c r="F323" s="92">
        <v>184</v>
      </c>
      <c r="G323" s="22">
        <f t="shared" si="13"/>
        <v>92.709000000000003</v>
      </c>
      <c r="H323" s="22">
        <f>IFERROR(IF(Yearending&gt;B322,'5. Historical demand'!F323-'5. Historical demand'!C323-'5. Historical demand'!D323,""),"")</f>
        <v>147.9</v>
      </c>
      <c r="I323" s="22">
        <f t="shared" si="14"/>
        <v>-55.190999999999995</v>
      </c>
    </row>
    <row r="324" spans="2:9" x14ac:dyDescent="0.2">
      <c r="B324" s="202">
        <f t="shared" si="12"/>
        <v>45755</v>
      </c>
      <c r="C324" s="92">
        <v>36.1</v>
      </c>
      <c r="D324" s="92"/>
      <c r="E324" s="92">
        <v>71.471000000000004</v>
      </c>
      <c r="F324" s="92">
        <v>184</v>
      </c>
      <c r="G324" s="22">
        <f t="shared" si="13"/>
        <v>112.529</v>
      </c>
      <c r="H324" s="22">
        <f>IFERROR(IF(Yearending&gt;B323,'5. Historical demand'!F324-'5. Historical demand'!C324-'5. Historical demand'!D324,""),"")</f>
        <v>147.9</v>
      </c>
      <c r="I324" s="22">
        <f t="shared" si="14"/>
        <v>-35.371000000000002</v>
      </c>
    </row>
    <row r="325" spans="2:9" x14ac:dyDescent="0.2">
      <c r="B325" s="202">
        <f t="shared" si="12"/>
        <v>45756</v>
      </c>
      <c r="C325" s="92">
        <v>36.1</v>
      </c>
      <c r="D325" s="92"/>
      <c r="E325" s="92">
        <v>80.728999999999999</v>
      </c>
      <c r="F325" s="92">
        <v>184</v>
      </c>
      <c r="G325" s="22">
        <f t="shared" si="13"/>
        <v>103.271</v>
      </c>
      <c r="H325" s="22">
        <f>IFERROR(IF(Yearending&gt;B324,'5. Historical demand'!F325-'5. Historical demand'!C325-'5. Historical demand'!D325,""),"")</f>
        <v>147.9</v>
      </c>
      <c r="I325" s="22">
        <f t="shared" si="14"/>
        <v>-44.628999999999998</v>
      </c>
    </row>
    <row r="326" spans="2:9" x14ac:dyDescent="0.2">
      <c r="B326" s="202">
        <f t="shared" si="12"/>
        <v>45757</v>
      </c>
      <c r="C326" s="92">
        <v>36.1</v>
      </c>
      <c r="D326" s="92"/>
      <c r="E326" s="92">
        <v>92.574999999999989</v>
      </c>
      <c r="F326" s="92">
        <v>184</v>
      </c>
      <c r="G326" s="22">
        <f t="shared" si="13"/>
        <v>91.425000000000011</v>
      </c>
      <c r="H326" s="22">
        <f>IFERROR(IF(Yearending&gt;B325,'5. Historical demand'!F326-'5. Historical demand'!C326-'5. Historical demand'!D326,""),"")</f>
        <v>147.9</v>
      </c>
      <c r="I326" s="22">
        <f t="shared" si="14"/>
        <v>-56.474999999999987</v>
      </c>
    </row>
    <row r="327" spans="2:9" x14ac:dyDescent="0.2">
      <c r="B327" s="202">
        <f t="shared" si="12"/>
        <v>45758</v>
      </c>
      <c r="C327" s="92">
        <v>36.1</v>
      </c>
      <c r="D327" s="92"/>
      <c r="E327" s="92">
        <v>77.436999999999998</v>
      </c>
      <c r="F327" s="92">
        <v>184</v>
      </c>
      <c r="G327" s="22">
        <f t="shared" si="13"/>
        <v>106.563</v>
      </c>
      <c r="H327" s="22">
        <f>IFERROR(IF(Yearending&gt;B326,'5. Historical demand'!F327-'5. Historical demand'!C327-'5. Historical demand'!D327,""),"")</f>
        <v>147.9</v>
      </c>
      <c r="I327" s="22">
        <f t="shared" si="14"/>
        <v>-41.336999999999996</v>
      </c>
    </row>
    <row r="328" spans="2:9" x14ac:dyDescent="0.2">
      <c r="B328" s="202">
        <f t="shared" si="12"/>
        <v>45759</v>
      </c>
      <c r="C328" s="92">
        <v>36.1</v>
      </c>
      <c r="D328" s="92"/>
      <c r="E328" s="92">
        <v>78.789999999999992</v>
      </c>
      <c r="F328" s="92">
        <v>184</v>
      </c>
      <c r="G328" s="22">
        <f t="shared" si="13"/>
        <v>105.21000000000001</v>
      </c>
      <c r="H328" s="22">
        <f>IFERROR(IF(Yearending&gt;B327,'5. Historical demand'!F328-'5. Historical demand'!C328-'5. Historical demand'!D328,""),"")</f>
        <v>147.9</v>
      </c>
      <c r="I328" s="22">
        <f t="shared" si="14"/>
        <v>-42.689999999999991</v>
      </c>
    </row>
    <row r="329" spans="2:9" x14ac:dyDescent="0.2">
      <c r="B329" s="202">
        <f t="shared" si="12"/>
        <v>45760</v>
      </c>
      <c r="C329" s="92">
        <v>36.1</v>
      </c>
      <c r="D329" s="92"/>
      <c r="E329" s="92">
        <v>92.843000000000004</v>
      </c>
      <c r="F329" s="92">
        <v>184</v>
      </c>
      <c r="G329" s="22">
        <f t="shared" si="13"/>
        <v>91.156999999999996</v>
      </c>
      <c r="H329" s="22">
        <f>IFERROR(IF(Yearending&gt;B328,'5. Historical demand'!F329-'5. Historical demand'!C329-'5. Historical demand'!D329,""),"")</f>
        <v>147.9</v>
      </c>
      <c r="I329" s="22">
        <f t="shared" si="14"/>
        <v>-56.743000000000002</v>
      </c>
    </row>
    <row r="330" spans="2:9" x14ac:dyDescent="0.2">
      <c r="B330" s="202">
        <f t="shared" si="12"/>
        <v>45761</v>
      </c>
      <c r="C330" s="92">
        <v>36.1</v>
      </c>
      <c r="D330" s="92"/>
      <c r="E330" s="92">
        <v>76.182000000000002</v>
      </c>
      <c r="F330" s="92">
        <v>184</v>
      </c>
      <c r="G330" s="22">
        <f t="shared" si="13"/>
        <v>107.818</v>
      </c>
      <c r="H330" s="22">
        <f>IFERROR(IF(Yearending&gt;B329,'5. Historical demand'!F330-'5. Historical demand'!C330-'5. Historical demand'!D330,""),"")</f>
        <v>147.9</v>
      </c>
      <c r="I330" s="22">
        <f t="shared" si="14"/>
        <v>-40.082000000000001</v>
      </c>
    </row>
    <row r="331" spans="2:9" x14ac:dyDescent="0.2">
      <c r="B331" s="202">
        <f t="shared" si="12"/>
        <v>45762</v>
      </c>
      <c r="C331" s="92">
        <v>36.1</v>
      </c>
      <c r="D331" s="92"/>
      <c r="E331" s="92">
        <v>84.709000000000003</v>
      </c>
      <c r="F331" s="92">
        <v>184</v>
      </c>
      <c r="G331" s="22">
        <f t="shared" si="13"/>
        <v>99.290999999999997</v>
      </c>
      <c r="H331" s="22">
        <f>IFERROR(IF(Yearending&gt;B330,'5. Historical demand'!F331-'5. Historical demand'!C331-'5. Historical demand'!D331,""),"")</f>
        <v>147.9</v>
      </c>
      <c r="I331" s="22">
        <f t="shared" si="14"/>
        <v>-48.609000000000002</v>
      </c>
    </row>
    <row r="332" spans="2:9" x14ac:dyDescent="0.2">
      <c r="B332" s="202">
        <f t="shared" si="12"/>
        <v>45763</v>
      </c>
      <c r="C332" s="92">
        <v>36.1</v>
      </c>
      <c r="D332" s="92"/>
      <c r="E332" s="92">
        <v>76.224999999999994</v>
      </c>
      <c r="F332" s="92">
        <v>184</v>
      </c>
      <c r="G332" s="22">
        <f t="shared" si="13"/>
        <v>107.77500000000001</v>
      </c>
      <c r="H332" s="22">
        <f>IFERROR(IF(Yearending&gt;B331,'5. Historical demand'!F332-'5. Historical demand'!C332-'5. Historical demand'!D332,""),"")</f>
        <v>147.9</v>
      </c>
      <c r="I332" s="22">
        <f t="shared" si="14"/>
        <v>-40.124999999999993</v>
      </c>
    </row>
    <row r="333" spans="2:9" x14ac:dyDescent="0.2">
      <c r="B333" s="202">
        <f t="shared" si="12"/>
        <v>45764</v>
      </c>
      <c r="C333" s="92">
        <v>36.1</v>
      </c>
      <c r="D333" s="92"/>
      <c r="E333" s="92">
        <v>91.733000000000004</v>
      </c>
      <c r="F333" s="92">
        <v>184</v>
      </c>
      <c r="G333" s="22">
        <f t="shared" si="13"/>
        <v>92.266999999999996</v>
      </c>
      <c r="H333" s="22">
        <f>IFERROR(IF(Yearending&gt;B332,'5. Historical demand'!F333-'5. Historical demand'!C333-'5. Historical demand'!D333,""),"")</f>
        <v>147.9</v>
      </c>
      <c r="I333" s="22">
        <f t="shared" si="14"/>
        <v>-55.633000000000003</v>
      </c>
    </row>
    <row r="334" spans="2:9" x14ac:dyDescent="0.2">
      <c r="B334" s="202">
        <f t="shared" si="12"/>
        <v>45765</v>
      </c>
      <c r="C334" s="92">
        <v>36.1</v>
      </c>
      <c r="D334" s="92"/>
      <c r="E334" s="92">
        <v>81.873999999999995</v>
      </c>
      <c r="F334" s="92">
        <v>184</v>
      </c>
      <c r="G334" s="22">
        <f t="shared" si="13"/>
        <v>102.126</v>
      </c>
      <c r="H334" s="22">
        <f>IFERROR(IF(Yearending&gt;B333,'5. Historical demand'!F334-'5. Historical demand'!C334-'5. Historical demand'!D334,""),"")</f>
        <v>147.9</v>
      </c>
      <c r="I334" s="22">
        <f t="shared" si="14"/>
        <v>-45.773999999999994</v>
      </c>
    </row>
    <row r="335" spans="2:9" x14ac:dyDescent="0.2">
      <c r="B335" s="202">
        <f t="shared" si="12"/>
        <v>45766</v>
      </c>
      <c r="C335" s="92">
        <v>36.1</v>
      </c>
      <c r="D335" s="92"/>
      <c r="E335" s="92">
        <v>91.108000000000004</v>
      </c>
      <c r="F335" s="92">
        <v>184</v>
      </c>
      <c r="G335" s="22">
        <f t="shared" si="13"/>
        <v>92.891999999999996</v>
      </c>
      <c r="H335" s="22">
        <f>IFERROR(IF(Yearending&gt;B334,'5. Historical demand'!F335-'5. Historical demand'!C335-'5. Historical demand'!D335,""),"")</f>
        <v>147.9</v>
      </c>
      <c r="I335" s="22">
        <f t="shared" si="14"/>
        <v>-55.008000000000003</v>
      </c>
    </row>
    <row r="336" spans="2:9" x14ac:dyDescent="0.2">
      <c r="B336" s="202">
        <f t="shared" si="12"/>
        <v>45767</v>
      </c>
      <c r="C336" s="92">
        <v>36.1</v>
      </c>
      <c r="D336" s="92"/>
      <c r="E336" s="92">
        <v>72.173000000000002</v>
      </c>
      <c r="F336" s="92">
        <v>184</v>
      </c>
      <c r="G336" s="22">
        <f t="shared" si="13"/>
        <v>111.827</v>
      </c>
      <c r="H336" s="22">
        <f>IFERROR(IF(Yearending&gt;B335,'5. Historical demand'!F336-'5. Historical demand'!C336-'5. Historical demand'!D336,""),"")</f>
        <v>147.9</v>
      </c>
      <c r="I336" s="22">
        <f t="shared" si="14"/>
        <v>-36.073</v>
      </c>
    </row>
    <row r="337" spans="2:9" x14ac:dyDescent="0.2">
      <c r="B337" s="202">
        <f t="shared" si="12"/>
        <v>45768</v>
      </c>
      <c r="C337" s="92">
        <v>36.1</v>
      </c>
      <c r="D337" s="92"/>
      <c r="E337" s="92">
        <v>72.856999999999999</v>
      </c>
      <c r="F337" s="92">
        <v>184</v>
      </c>
      <c r="G337" s="22">
        <f t="shared" si="13"/>
        <v>111.143</v>
      </c>
      <c r="H337" s="22">
        <f>IFERROR(IF(Yearending&gt;B336,'5. Historical demand'!F337-'5. Historical demand'!C337-'5. Historical demand'!D337,""),"")</f>
        <v>147.9</v>
      </c>
      <c r="I337" s="22">
        <f t="shared" si="14"/>
        <v>-36.756999999999998</v>
      </c>
    </row>
    <row r="338" spans="2:9" x14ac:dyDescent="0.2">
      <c r="B338" s="202">
        <f t="shared" si="12"/>
        <v>45769</v>
      </c>
      <c r="C338" s="92">
        <v>36.1</v>
      </c>
      <c r="D338" s="92"/>
      <c r="E338" s="92">
        <v>77.879000000000005</v>
      </c>
      <c r="F338" s="92">
        <v>184</v>
      </c>
      <c r="G338" s="22">
        <f t="shared" si="13"/>
        <v>106.121</v>
      </c>
      <c r="H338" s="22">
        <f>IFERROR(IF(Yearending&gt;B337,'5. Historical demand'!F338-'5. Historical demand'!C338-'5. Historical demand'!D338,""),"")</f>
        <v>147.9</v>
      </c>
      <c r="I338" s="22">
        <f t="shared" si="14"/>
        <v>-41.779000000000003</v>
      </c>
    </row>
    <row r="339" spans="2:9" x14ac:dyDescent="0.2">
      <c r="B339" s="202">
        <f t="shared" si="12"/>
        <v>45770</v>
      </c>
      <c r="C339" s="92">
        <v>36.1</v>
      </c>
      <c r="D339" s="92"/>
      <c r="E339" s="92">
        <v>86.665999999999997</v>
      </c>
      <c r="F339" s="92">
        <v>184</v>
      </c>
      <c r="G339" s="22">
        <f t="shared" si="13"/>
        <v>97.334000000000003</v>
      </c>
      <c r="H339" s="22">
        <f>IFERROR(IF(Yearending&gt;B338,'5. Historical demand'!F339-'5. Historical demand'!C339-'5. Historical demand'!D339,""),"")</f>
        <v>147.9</v>
      </c>
      <c r="I339" s="22">
        <f t="shared" si="14"/>
        <v>-50.565999999999995</v>
      </c>
    </row>
    <row r="340" spans="2:9" x14ac:dyDescent="0.2">
      <c r="B340" s="202">
        <f t="shared" si="12"/>
        <v>45771</v>
      </c>
      <c r="C340" s="92">
        <v>36.1</v>
      </c>
      <c r="D340" s="92"/>
      <c r="E340" s="92">
        <v>81.951999999999998</v>
      </c>
      <c r="F340" s="92">
        <v>184</v>
      </c>
      <c r="G340" s="22">
        <f t="shared" si="13"/>
        <v>102.048</v>
      </c>
      <c r="H340" s="22">
        <f>IFERROR(IF(Yearending&gt;B339,'5. Historical demand'!F340-'5. Historical demand'!C340-'5. Historical demand'!D340,""),"")</f>
        <v>147.9</v>
      </c>
      <c r="I340" s="22">
        <f t="shared" si="14"/>
        <v>-45.851999999999997</v>
      </c>
    </row>
    <row r="341" spans="2:9" x14ac:dyDescent="0.2">
      <c r="B341" s="202">
        <f t="shared" si="12"/>
        <v>45772</v>
      </c>
      <c r="C341" s="92">
        <v>36.1</v>
      </c>
      <c r="D341" s="92"/>
      <c r="E341" s="92">
        <v>92.733000000000004</v>
      </c>
      <c r="F341" s="92">
        <v>184</v>
      </c>
      <c r="G341" s="22">
        <f t="shared" si="13"/>
        <v>91.266999999999996</v>
      </c>
      <c r="H341" s="22">
        <f>IFERROR(IF(Yearending&gt;B340,'5. Historical demand'!F341-'5. Historical demand'!C341-'5. Historical demand'!D341,""),"")</f>
        <v>147.9</v>
      </c>
      <c r="I341" s="22">
        <f t="shared" si="14"/>
        <v>-56.633000000000003</v>
      </c>
    </row>
    <row r="342" spans="2:9" x14ac:dyDescent="0.2">
      <c r="B342" s="202">
        <f t="shared" si="12"/>
        <v>45773</v>
      </c>
      <c r="C342" s="92">
        <v>36.1</v>
      </c>
      <c r="D342" s="92"/>
      <c r="E342" s="92">
        <v>83.182000000000002</v>
      </c>
      <c r="F342" s="92">
        <v>184</v>
      </c>
      <c r="G342" s="22">
        <f t="shared" si="13"/>
        <v>100.818</v>
      </c>
      <c r="H342" s="22">
        <f>IFERROR(IF(Yearending&gt;B341,'5. Historical demand'!F342-'5. Historical demand'!C342-'5. Historical demand'!D342,""),"")</f>
        <v>147.9</v>
      </c>
      <c r="I342" s="22">
        <f t="shared" si="14"/>
        <v>-47.082000000000001</v>
      </c>
    </row>
    <row r="343" spans="2:9" x14ac:dyDescent="0.2">
      <c r="B343" s="202">
        <f t="shared" si="12"/>
        <v>45774</v>
      </c>
      <c r="C343" s="92">
        <v>36.1</v>
      </c>
      <c r="D343" s="92"/>
      <c r="E343" s="92">
        <v>84.623999999999995</v>
      </c>
      <c r="F343" s="92">
        <v>184</v>
      </c>
      <c r="G343" s="22">
        <f t="shared" si="13"/>
        <v>99.376000000000005</v>
      </c>
      <c r="H343" s="22">
        <f>IFERROR(IF(Yearending&gt;B342,'5. Historical demand'!F343-'5. Historical demand'!C343-'5. Historical demand'!D343,""),"")</f>
        <v>147.9</v>
      </c>
      <c r="I343" s="22">
        <f t="shared" si="14"/>
        <v>-48.523999999999994</v>
      </c>
    </row>
    <row r="344" spans="2:9" x14ac:dyDescent="0.2">
      <c r="B344" s="202">
        <f t="shared" si="12"/>
        <v>45775</v>
      </c>
      <c r="C344" s="92">
        <v>36.1</v>
      </c>
      <c r="D344" s="92"/>
      <c r="E344" s="92">
        <v>86.853000000000009</v>
      </c>
      <c r="F344" s="92">
        <v>184</v>
      </c>
      <c r="G344" s="22">
        <f t="shared" si="13"/>
        <v>97.146999999999991</v>
      </c>
      <c r="H344" s="22">
        <f>IFERROR(IF(Yearending&gt;B343,'5. Historical demand'!F344-'5. Historical demand'!C344-'5. Historical demand'!D344,""),"")</f>
        <v>147.9</v>
      </c>
      <c r="I344" s="22">
        <f t="shared" si="14"/>
        <v>-50.753000000000007</v>
      </c>
    </row>
    <row r="345" spans="2:9" x14ac:dyDescent="0.2">
      <c r="B345" s="202">
        <f t="shared" si="12"/>
        <v>45776</v>
      </c>
      <c r="C345" s="92">
        <v>36.1</v>
      </c>
      <c r="D345" s="92"/>
      <c r="E345" s="92">
        <v>93.936000000000007</v>
      </c>
      <c r="F345" s="92">
        <v>184</v>
      </c>
      <c r="G345" s="22">
        <f t="shared" si="13"/>
        <v>90.063999999999993</v>
      </c>
      <c r="H345" s="22">
        <f>IFERROR(IF(Yearending&gt;B344,'5. Historical demand'!F345-'5. Historical demand'!C345-'5. Historical demand'!D345,""),"")</f>
        <v>147.9</v>
      </c>
      <c r="I345" s="22">
        <f t="shared" si="14"/>
        <v>-57.836000000000006</v>
      </c>
    </row>
    <row r="346" spans="2:9" x14ac:dyDescent="0.2">
      <c r="B346" s="202">
        <f t="shared" si="12"/>
        <v>45777</v>
      </c>
      <c r="C346" s="92">
        <v>36.1</v>
      </c>
      <c r="D346" s="92"/>
      <c r="E346" s="92">
        <v>88.311999999999998</v>
      </c>
      <c r="F346" s="92">
        <v>184</v>
      </c>
      <c r="G346" s="22">
        <f t="shared" si="13"/>
        <v>95.688000000000002</v>
      </c>
      <c r="H346" s="22">
        <f>IFERROR(IF(Yearending&gt;B345,'5. Historical demand'!F346-'5. Historical demand'!C346-'5. Historical demand'!D346,""),"")</f>
        <v>147.9</v>
      </c>
      <c r="I346" s="22">
        <f t="shared" si="14"/>
        <v>-52.211999999999996</v>
      </c>
    </row>
    <row r="347" spans="2:9" x14ac:dyDescent="0.2">
      <c r="B347" s="202">
        <f t="shared" si="12"/>
        <v>45778</v>
      </c>
      <c r="C347" s="92">
        <v>35</v>
      </c>
      <c r="D347" s="92"/>
      <c r="E347" s="92">
        <v>76.406000000000006</v>
      </c>
      <c r="F347" s="92">
        <v>184</v>
      </c>
      <c r="G347" s="22">
        <f t="shared" si="13"/>
        <v>107.59399999999999</v>
      </c>
      <c r="H347" s="22">
        <f>IFERROR(IF(Yearending&gt;B346,'5. Historical demand'!F347-'5. Historical demand'!C347-'5. Historical demand'!D347,""),"")</f>
        <v>149</v>
      </c>
      <c r="I347" s="22">
        <f t="shared" si="14"/>
        <v>-41.406000000000006</v>
      </c>
    </row>
    <row r="348" spans="2:9" x14ac:dyDescent="0.2">
      <c r="B348" s="202">
        <f t="shared" si="12"/>
        <v>45779</v>
      </c>
      <c r="C348" s="92">
        <v>35</v>
      </c>
      <c r="D348" s="92"/>
      <c r="E348" s="92">
        <v>81.998000000000005</v>
      </c>
      <c r="F348" s="92">
        <v>184</v>
      </c>
      <c r="G348" s="22">
        <f t="shared" si="13"/>
        <v>102.002</v>
      </c>
      <c r="H348" s="22">
        <f>IFERROR(IF(Yearending&gt;B347,'5. Historical demand'!F348-'5. Historical demand'!C348-'5. Historical demand'!D348,""),"")</f>
        <v>149</v>
      </c>
      <c r="I348" s="22">
        <f t="shared" si="14"/>
        <v>-46.998000000000005</v>
      </c>
    </row>
    <row r="349" spans="2:9" x14ac:dyDescent="0.2">
      <c r="B349" s="202">
        <f t="shared" si="12"/>
        <v>45780</v>
      </c>
      <c r="C349" s="92">
        <v>35</v>
      </c>
      <c r="D349" s="92"/>
      <c r="E349" s="92">
        <v>85.775999999999996</v>
      </c>
      <c r="F349" s="92">
        <v>184</v>
      </c>
      <c r="G349" s="22">
        <f t="shared" si="13"/>
        <v>98.224000000000004</v>
      </c>
      <c r="H349" s="22">
        <f>IFERROR(IF(Yearending&gt;B348,'5. Historical demand'!F349-'5. Historical demand'!C349-'5. Historical demand'!D349,""),"")</f>
        <v>149</v>
      </c>
      <c r="I349" s="22">
        <f t="shared" si="14"/>
        <v>-50.775999999999996</v>
      </c>
    </row>
    <row r="350" spans="2:9" x14ac:dyDescent="0.2">
      <c r="B350" s="202">
        <f t="shared" si="12"/>
        <v>45781</v>
      </c>
      <c r="C350" s="92">
        <v>35</v>
      </c>
      <c r="D350" s="92"/>
      <c r="E350" s="92">
        <v>93.584999999999994</v>
      </c>
      <c r="F350" s="92">
        <v>184</v>
      </c>
      <c r="G350" s="22">
        <f t="shared" si="13"/>
        <v>90.415000000000006</v>
      </c>
      <c r="H350" s="22">
        <f>IFERROR(IF(Yearending&gt;B349,'5. Historical demand'!F350-'5. Historical demand'!C350-'5. Historical demand'!D350,""),"")</f>
        <v>149</v>
      </c>
      <c r="I350" s="22">
        <f t="shared" si="14"/>
        <v>-58.584999999999994</v>
      </c>
    </row>
    <row r="351" spans="2:9" x14ac:dyDescent="0.2">
      <c r="B351" s="202">
        <f t="shared" si="12"/>
        <v>45782</v>
      </c>
      <c r="C351" s="92">
        <v>35</v>
      </c>
      <c r="D351" s="92"/>
      <c r="E351" s="92">
        <v>76.426000000000002</v>
      </c>
      <c r="F351" s="92">
        <v>184</v>
      </c>
      <c r="G351" s="22">
        <f t="shared" si="13"/>
        <v>107.574</v>
      </c>
      <c r="H351" s="22">
        <f>IFERROR(IF(Yearending&gt;B350,'5. Historical demand'!F351-'5. Historical demand'!C351-'5. Historical demand'!D351,""),"")</f>
        <v>149</v>
      </c>
      <c r="I351" s="22">
        <f t="shared" si="14"/>
        <v>-41.426000000000002</v>
      </c>
    </row>
    <row r="352" spans="2:9" x14ac:dyDescent="0.2">
      <c r="B352" s="202">
        <f t="shared" si="12"/>
        <v>45783</v>
      </c>
      <c r="C352" s="92">
        <v>35</v>
      </c>
      <c r="D352" s="92"/>
      <c r="E352" s="92">
        <v>81.028000000000006</v>
      </c>
      <c r="F352" s="92">
        <v>184</v>
      </c>
      <c r="G352" s="22">
        <f t="shared" si="13"/>
        <v>102.97199999999999</v>
      </c>
      <c r="H352" s="22">
        <f>IFERROR(IF(Yearending&gt;B351,'5. Historical demand'!F352-'5. Historical demand'!C352-'5. Historical demand'!D352,""),"")</f>
        <v>149</v>
      </c>
      <c r="I352" s="22">
        <f t="shared" si="14"/>
        <v>-46.028000000000006</v>
      </c>
    </row>
    <row r="353" spans="2:9" x14ac:dyDescent="0.2">
      <c r="B353" s="202">
        <f t="shared" si="12"/>
        <v>45784</v>
      </c>
      <c r="C353" s="92">
        <v>35</v>
      </c>
      <c r="D353" s="92"/>
      <c r="E353" s="92">
        <v>77.644999999999996</v>
      </c>
      <c r="F353" s="92">
        <v>184</v>
      </c>
      <c r="G353" s="22">
        <f t="shared" si="13"/>
        <v>106.355</v>
      </c>
      <c r="H353" s="22">
        <f>IFERROR(IF(Yearending&gt;B352,'5. Historical demand'!F353-'5. Historical demand'!C353-'5. Historical demand'!D353,""),"")</f>
        <v>149</v>
      </c>
      <c r="I353" s="22">
        <f t="shared" si="14"/>
        <v>-42.644999999999996</v>
      </c>
    </row>
    <row r="354" spans="2:9" x14ac:dyDescent="0.2">
      <c r="B354" s="202">
        <f t="shared" si="12"/>
        <v>45785</v>
      </c>
      <c r="C354" s="92">
        <v>35</v>
      </c>
      <c r="D354" s="92"/>
      <c r="E354" s="92">
        <v>68.521000000000001</v>
      </c>
      <c r="F354" s="92">
        <v>184</v>
      </c>
      <c r="G354" s="22">
        <f t="shared" si="13"/>
        <v>115.479</v>
      </c>
      <c r="H354" s="22">
        <f>IFERROR(IF(Yearending&gt;B353,'5. Historical demand'!F354-'5. Historical demand'!C354-'5. Historical demand'!D354,""),"")</f>
        <v>149</v>
      </c>
      <c r="I354" s="22">
        <f t="shared" si="14"/>
        <v>-33.521000000000001</v>
      </c>
    </row>
    <row r="355" spans="2:9" x14ac:dyDescent="0.2">
      <c r="B355" s="202">
        <f t="shared" si="12"/>
        <v>45786</v>
      </c>
      <c r="C355" s="92">
        <v>35</v>
      </c>
      <c r="D355" s="92"/>
      <c r="E355" s="92">
        <v>72.876000000000005</v>
      </c>
      <c r="F355" s="92">
        <v>184</v>
      </c>
      <c r="G355" s="22">
        <f t="shared" si="13"/>
        <v>111.124</v>
      </c>
      <c r="H355" s="22">
        <f>IFERROR(IF(Yearending&gt;B354,'5. Historical demand'!F355-'5. Historical demand'!C355-'5. Historical demand'!D355,""),"")</f>
        <v>149</v>
      </c>
      <c r="I355" s="22">
        <f t="shared" si="14"/>
        <v>-37.876000000000005</v>
      </c>
    </row>
    <row r="356" spans="2:9" x14ac:dyDescent="0.2">
      <c r="B356" s="202">
        <f t="shared" si="12"/>
        <v>45787</v>
      </c>
      <c r="C356" s="92">
        <v>35</v>
      </c>
      <c r="D356" s="92"/>
      <c r="E356" s="92">
        <v>68.709999999999994</v>
      </c>
      <c r="F356" s="92">
        <v>184</v>
      </c>
      <c r="G356" s="22">
        <f t="shared" si="13"/>
        <v>115.29</v>
      </c>
      <c r="H356" s="22">
        <f>IFERROR(IF(Yearending&gt;B355,'5. Historical demand'!F356-'5. Historical demand'!C356-'5. Historical demand'!D356,""),"")</f>
        <v>149</v>
      </c>
      <c r="I356" s="22">
        <f t="shared" si="14"/>
        <v>-33.709999999999994</v>
      </c>
    </row>
    <row r="357" spans="2:9" x14ac:dyDescent="0.2">
      <c r="B357" s="202">
        <f t="shared" si="12"/>
        <v>45788</v>
      </c>
      <c r="C357" s="92">
        <v>35</v>
      </c>
      <c r="D357" s="92"/>
      <c r="E357" s="92">
        <v>77.364999999999995</v>
      </c>
      <c r="F357" s="92">
        <v>184</v>
      </c>
      <c r="G357" s="22">
        <f t="shared" si="13"/>
        <v>106.63500000000001</v>
      </c>
      <c r="H357" s="22">
        <f>IFERROR(IF(Yearending&gt;B356,'5. Historical demand'!F357-'5. Historical demand'!C357-'5. Historical demand'!D357,""),"")</f>
        <v>149</v>
      </c>
      <c r="I357" s="22">
        <f t="shared" si="14"/>
        <v>-42.364999999999995</v>
      </c>
    </row>
    <row r="358" spans="2:9" x14ac:dyDescent="0.2">
      <c r="B358" s="202">
        <f t="shared" si="12"/>
        <v>45789</v>
      </c>
      <c r="C358" s="92">
        <v>35</v>
      </c>
      <c r="D358" s="92"/>
      <c r="E358" s="92">
        <v>77.158000000000001</v>
      </c>
      <c r="F358" s="92">
        <v>184</v>
      </c>
      <c r="G358" s="22">
        <f t="shared" si="13"/>
        <v>106.842</v>
      </c>
      <c r="H358" s="22">
        <f>IFERROR(IF(Yearending&gt;B357,'5. Historical demand'!F358-'5. Historical demand'!C358-'5. Historical demand'!D358,""),"")</f>
        <v>149</v>
      </c>
      <c r="I358" s="22">
        <f t="shared" si="14"/>
        <v>-42.158000000000001</v>
      </c>
    </row>
    <row r="359" spans="2:9" x14ac:dyDescent="0.2">
      <c r="B359" s="202">
        <f t="shared" si="12"/>
        <v>45790</v>
      </c>
      <c r="C359" s="92">
        <v>35</v>
      </c>
      <c r="D359" s="92"/>
      <c r="E359" s="92">
        <v>80.989000000000004</v>
      </c>
      <c r="F359" s="92">
        <v>184</v>
      </c>
      <c r="G359" s="22">
        <f t="shared" si="13"/>
        <v>103.011</v>
      </c>
      <c r="H359" s="22">
        <f>IFERROR(IF(Yearending&gt;B358,'5. Historical demand'!F359-'5. Historical demand'!C359-'5. Historical demand'!D359,""),"")</f>
        <v>149</v>
      </c>
      <c r="I359" s="22">
        <f t="shared" si="14"/>
        <v>-45.989000000000004</v>
      </c>
    </row>
    <row r="360" spans="2:9" x14ac:dyDescent="0.2">
      <c r="B360" s="202">
        <f t="shared" si="12"/>
        <v>45791</v>
      </c>
      <c r="C360" s="92">
        <v>35</v>
      </c>
      <c r="D360" s="92"/>
      <c r="E360" s="92">
        <v>72.343000000000004</v>
      </c>
      <c r="F360" s="92">
        <v>184</v>
      </c>
      <c r="G360" s="22">
        <f t="shared" si="13"/>
        <v>111.657</v>
      </c>
      <c r="H360" s="22">
        <f>IFERROR(IF(Yearending&gt;B359,'5. Historical demand'!F360-'5. Historical demand'!C360-'5. Historical demand'!D360,""),"")</f>
        <v>149</v>
      </c>
      <c r="I360" s="22">
        <f t="shared" si="14"/>
        <v>-37.343000000000004</v>
      </c>
    </row>
    <row r="361" spans="2:9" x14ac:dyDescent="0.2">
      <c r="B361" s="202">
        <f t="shared" si="12"/>
        <v>45792</v>
      </c>
      <c r="C361" s="92">
        <v>35</v>
      </c>
      <c r="D361" s="92"/>
      <c r="E361" s="92">
        <v>77.650999999999996</v>
      </c>
      <c r="F361" s="92">
        <v>184</v>
      </c>
      <c r="G361" s="22">
        <f t="shared" si="13"/>
        <v>106.349</v>
      </c>
      <c r="H361" s="22">
        <f>IFERROR(IF(Yearending&gt;B360,'5. Historical demand'!F361-'5. Historical demand'!C361-'5. Historical demand'!D361,""),"")</f>
        <v>149</v>
      </c>
      <c r="I361" s="22">
        <f t="shared" si="14"/>
        <v>-42.650999999999996</v>
      </c>
    </row>
    <row r="362" spans="2:9" x14ac:dyDescent="0.2">
      <c r="B362" s="202">
        <f t="shared" si="12"/>
        <v>45793</v>
      </c>
      <c r="C362" s="92">
        <v>35</v>
      </c>
      <c r="D362" s="92"/>
      <c r="E362" s="92">
        <v>79.283000000000001</v>
      </c>
      <c r="F362" s="92">
        <v>184</v>
      </c>
      <c r="G362" s="22">
        <f t="shared" si="13"/>
        <v>104.717</v>
      </c>
      <c r="H362" s="22">
        <f>IFERROR(IF(Yearending&gt;B361,'5. Historical demand'!F362-'5. Historical demand'!C362-'5. Historical demand'!D362,""),"")</f>
        <v>149</v>
      </c>
      <c r="I362" s="22">
        <f t="shared" si="14"/>
        <v>-44.283000000000001</v>
      </c>
    </row>
    <row r="363" spans="2:9" x14ac:dyDescent="0.2">
      <c r="B363" s="202">
        <f t="shared" si="12"/>
        <v>45794</v>
      </c>
      <c r="C363" s="92">
        <v>35</v>
      </c>
      <c r="D363" s="92"/>
      <c r="E363" s="92">
        <v>71.936999999999998</v>
      </c>
      <c r="F363" s="92">
        <v>184</v>
      </c>
      <c r="G363" s="22">
        <f t="shared" si="13"/>
        <v>112.063</v>
      </c>
      <c r="H363" s="22">
        <f>IFERROR(IF(Yearending&gt;B362,'5. Historical demand'!F363-'5. Historical demand'!C363-'5. Historical demand'!D363,""),"")</f>
        <v>149</v>
      </c>
      <c r="I363" s="22">
        <f t="shared" si="14"/>
        <v>-36.936999999999998</v>
      </c>
    </row>
    <row r="364" spans="2:9" x14ac:dyDescent="0.2">
      <c r="B364" s="202">
        <f t="shared" ref="B364:B408" si="15">IFERROR(IF(Yearending&gt;B363, B363+1, ""),"")</f>
        <v>45795</v>
      </c>
      <c r="C364" s="92">
        <v>35</v>
      </c>
      <c r="D364" s="92"/>
      <c r="E364" s="92">
        <v>81.75</v>
      </c>
      <c r="F364" s="92">
        <v>184</v>
      </c>
      <c r="G364" s="22">
        <f t="shared" ref="G364:G408" si="16">IFERROR(IF(Yearending&gt;B363,F364-E364,""),"")</f>
        <v>102.25</v>
      </c>
      <c r="H364" s="22">
        <f>IFERROR(IF(Yearending&gt;B363,'5. Historical demand'!F364-'5. Historical demand'!C364-'5. Historical demand'!D364,""),"")</f>
        <v>149</v>
      </c>
      <c r="I364" s="22">
        <f t="shared" ref="I364:I408" si="17">IFERROR(IF(Yearending&gt;B363,C364+D364-E364,""),"")</f>
        <v>-46.75</v>
      </c>
    </row>
    <row r="365" spans="2:9" x14ac:dyDescent="0.2">
      <c r="B365" s="202">
        <f t="shared" si="15"/>
        <v>45796</v>
      </c>
      <c r="C365" s="92">
        <v>35</v>
      </c>
      <c r="D365" s="92"/>
      <c r="E365" s="92">
        <v>87.41</v>
      </c>
      <c r="F365" s="92">
        <v>184</v>
      </c>
      <c r="G365" s="22">
        <f t="shared" si="16"/>
        <v>96.59</v>
      </c>
      <c r="H365" s="22">
        <f>IFERROR(IF(Yearending&gt;B364,'5. Historical demand'!F365-'5. Historical demand'!C365-'5. Historical demand'!D365,""),"")</f>
        <v>149</v>
      </c>
      <c r="I365" s="22">
        <f t="shared" si="17"/>
        <v>-52.41</v>
      </c>
    </row>
    <row r="366" spans="2:9" x14ac:dyDescent="0.2">
      <c r="B366" s="202">
        <f t="shared" si="15"/>
        <v>45797</v>
      </c>
      <c r="C366" s="92">
        <v>35</v>
      </c>
      <c r="D366" s="92"/>
      <c r="E366" s="92">
        <v>73.757000000000005</v>
      </c>
      <c r="F366" s="92">
        <v>184</v>
      </c>
      <c r="G366" s="22">
        <f t="shared" si="16"/>
        <v>110.24299999999999</v>
      </c>
      <c r="H366" s="22">
        <f>IFERROR(IF(Yearending&gt;B365,'5. Historical demand'!F366-'5. Historical demand'!C366-'5. Historical demand'!D366,""),"")</f>
        <v>149</v>
      </c>
      <c r="I366" s="22">
        <f t="shared" si="17"/>
        <v>-38.757000000000005</v>
      </c>
    </row>
    <row r="367" spans="2:9" x14ac:dyDescent="0.2">
      <c r="B367" s="202">
        <f t="shared" si="15"/>
        <v>45798</v>
      </c>
      <c r="C367" s="92">
        <v>35</v>
      </c>
      <c r="D367" s="92"/>
      <c r="E367" s="92">
        <v>79.501000000000005</v>
      </c>
      <c r="F367" s="92">
        <v>184</v>
      </c>
      <c r="G367" s="22">
        <f t="shared" si="16"/>
        <v>104.499</v>
      </c>
      <c r="H367" s="22">
        <f>IFERROR(IF(Yearending&gt;B366,'5. Historical demand'!F367-'5. Historical demand'!C367-'5. Historical demand'!D367,""),"")</f>
        <v>149</v>
      </c>
      <c r="I367" s="22">
        <f t="shared" si="17"/>
        <v>-44.501000000000005</v>
      </c>
    </row>
    <row r="368" spans="2:9" x14ac:dyDescent="0.2">
      <c r="B368" s="202">
        <f t="shared" si="15"/>
        <v>45799</v>
      </c>
      <c r="C368" s="92">
        <v>35</v>
      </c>
      <c r="D368" s="92"/>
      <c r="E368" s="92">
        <v>93.143999999999991</v>
      </c>
      <c r="F368" s="92">
        <v>184</v>
      </c>
      <c r="G368" s="22">
        <f t="shared" si="16"/>
        <v>90.856000000000009</v>
      </c>
      <c r="H368" s="22">
        <f>IFERROR(IF(Yearending&gt;B367,'5. Historical demand'!F368-'5. Historical demand'!C368-'5. Historical demand'!D368,""),"")</f>
        <v>149</v>
      </c>
      <c r="I368" s="22">
        <f t="shared" si="17"/>
        <v>-58.143999999999991</v>
      </c>
    </row>
    <row r="369" spans="2:9" x14ac:dyDescent="0.2">
      <c r="B369" s="202">
        <f t="shared" si="15"/>
        <v>45800</v>
      </c>
      <c r="C369" s="92">
        <v>35</v>
      </c>
      <c r="D369" s="92"/>
      <c r="E369" s="92">
        <v>82.08</v>
      </c>
      <c r="F369" s="92">
        <v>184</v>
      </c>
      <c r="G369" s="22">
        <f t="shared" si="16"/>
        <v>101.92</v>
      </c>
      <c r="H369" s="22">
        <f>IFERROR(IF(Yearending&gt;B368,'5. Historical demand'!F369-'5. Historical demand'!C369-'5. Historical demand'!D369,""),"")</f>
        <v>149</v>
      </c>
      <c r="I369" s="22">
        <f t="shared" si="17"/>
        <v>-47.08</v>
      </c>
    </row>
    <row r="370" spans="2:9" x14ac:dyDescent="0.2">
      <c r="B370" s="202">
        <f t="shared" si="15"/>
        <v>45801</v>
      </c>
      <c r="C370" s="92">
        <v>35</v>
      </c>
      <c r="D370" s="92"/>
      <c r="E370" s="92">
        <v>93.25</v>
      </c>
      <c r="F370" s="92">
        <v>184</v>
      </c>
      <c r="G370" s="22">
        <f t="shared" si="16"/>
        <v>90.75</v>
      </c>
      <c r="H370" s="22">
        <f>IFERROR(IF(Yearending&gt;B369,'5. Historical demand'!F370-'5. Historical demand'!C370-'5. Historical demand'!D370,""),"")</f>
        <v>149</v>
      </c>
      <c r="I370" s="22">
        <f t="shared" si="17"/>
        <v>-58.25</v>
      </c>
    </row>
    <row r="371" spans="2:9" x14ac:dyDescent="0.2">
      <c r="B371" s="202">
        <f t="shared" si="15"/>
        <v>45802</v>
      </c>
      <c r="C371" s="92">
        <v>35</v>
      </c>
      <c r="D371" s="92"/>
      <c r="E371" s="92">
        <v>91.038000000000011</v>
      </c>
      <c r="F371" s="92">
        <v>184</v>
      </c>
      <c r="G371" s="22">
        <f t="shared" si="16"/>
        <v>92.961999999999989</v>
      </c>
      <c r="H371" s="22">
        <f>IFERROR(IF(Yearending&gt;B370,'5. Historical demand'!F371-'5. Historical demand'!C371-'5. Historical demand'!D371,""),"")</f>
        <v>149</v>
      </c>
      <c r="I371" s="22">
        <f t="shared" si="17"/>
        <v>-56.038000000000011</v>
      </c>
    </row>
    <row r="372" spans="2:9" x14ac:dyDescent="0.2">
      <c r="B372" s="202">
        <f t="shared" si="15"/>
        <v>45803</v>
      </c>
      <c r="C372" s="92">
        <v>35</v>
      </c>
      <c r="D372" s="92"/>
      <c r="E372" s="92">
        <v>77.318999999999988</v>
      </c>
      <c r="F372" s="92">
        <v>184</v>
      </c>
      <c r="G372" s="22">
        <f t="shared" si="16"/>
        <v>106.68100000000001</v>
      </c>
      <c r="H372" s="22">
        <f>IFERROR(IF(Yearending&gt;B371,'5. Historical demand'!F372-'5. Historical demand'!C372-'5. Historical demand'!D372,""),"")</f>
        <v>149</v>
      </c>
      <c r="I372" s="22">
        <f t="shared" si="17"/>
        <v>-42.318999999999988</v>
      </c>
    </row>
    <row r="373" spans="2:9" x14ac:dyDescent="0.2">
      <c r="B373" s="202">
        <f t="shared" si="15"/>
        <v>45804</v>
      </c>
      <c r="C373" s="92">
        <v>35</v>
      </c>
      <c r="D373" s="92"/>
      <c r="E373" s="92">
        <v>84.836999999999989</v>
      </c>
      <c r="F373" s="92">
        <v>184</v>
      </c>
      <c r="G373" s="22">
        <f t="shared" si="16"/>
        <v>99.163000000000011</v>
      </c>
      <c r="H373" s="22">
        <f>IFERROR(IF(Yearending&gt;B372,'5. Historical demand'!F373-'5. Historical demand'!C373-'5. Historical demand'!D373,""),"")</f>
        <v>149</v>
      </c>
      <c r="I373" s="22">
        <f t="shared" si="17"/>
        <v>-49.836999999999989</v>
      </c>
    </row>
    <row r="374" spans="2:9" x14ac:dyDescent="0.2">
      <c r="B374" s="202">
        <f t="shared" si="15"/>
        <v>45805</v>
      </c>
      <c r="C374" s="92">
        <v>35</v>
      </c>
      <c r="D374" s="92"/>
      <c r="E374" s="92">
        <v>84.175000000000011</v>
      </c>
      <c r="F374" s="92">
        <v>184</v>
      </c>
      <c r="G374" s="22">
        <f t="shared" si="16"/>
        <v>99.824999999999989</v>
      </c>
      <c r="H374" s="22">
        <f>IFERROR(IF(Yearending&gt;B373,'5. Historical demand'!F374-'5. Historical demand'!C374-'5. Historical demand'!D374,""),"")</f>
        <v>149</v>
      </c>
      <c r="I374" s="22">
        <f t="shared" si="17"/>
        <v>-49.175000000000011</v>
      </c>
    </row>
    <row r="375" spans="2:9" x14ac:dyDescent="0.2">
      <c r="B375" s="202">
        <f t="shared" si="15"/>
        <v>45806</v>
      </c>
      <c r="C375" s="92">
        <v>35</v>
      </c>
      <c r="D375" s="92"/>
      <c r="E375" s="92">
        <v>82.918000000000006</v>
      </c>
      <c r="F375" s="92">
        <v>184</v>
      </c>
      <c r="G375" s="22">
        <f t="shared" si="16"/>
        <v>101.08199999999999</v>
      </c>
      <c r="H375" s="22">
        <f>IFERROR(IF(Yearending&gt;B374,'5. Historical demand'!F375-'5. Historical demand'!C375-'5. Historical demand'!D375,""),"")</f>
        <v>149</v>
      </c>
      <c r="I375" s="22">
        <f t="shared" si="17"/>
        <v>-47.918000000000006</v>
      </c>
    </row>
    <row r="376" spans="2:9" x14ac:dyDescent="0.2">
      <c r="B376" s="202">
        <f t="shared" si="15"/>
        <v>45807</v>
      </c>
      <c r="C376" s="92">
        <v>35</v>
      </c>
      <c r="D376" s="92"/>
      <c r="E376" s="92">
        <v>87.47999999999999</v>
      </c>
      <c r="F376" s="92">
        <v>184</v>
      </c>
      <c r="G376" s="22">
        <f t="shared" si="16"/>
        <v>96.52000000000001</v>
      </c>
      <c r="H376" s="22">
        <f>IFERROR(IF(Yearending&gt;B375,'5. Historical demand'!F376-'5. Historical demand'!C376-'5. Historical demand'!D376,""),"")</f>
        <v>149</v>
      </c>
      <c r="I376" s="22">
        <f t="shared" si="17"/>
        <v>-52.47999999999999</v>
      </c>
    </row>
    <row r="377" spans="2:9" x14ac:dyDescent="0.2">
      <c r="B377" s="202">
        <f t="shared" si="15"/>
        <v>45808</v>
      </c>
      <c r="C377" s="92">
        <v>35</v>
      </c>
      <c r="D377" s="92"/>
      <c r="E377" s="92">
        <v>64.961999999999989</v>
      </c>
      <c r="F377" s="92">
        <v>184</v>
      </c>
      <c r="G377" s="22">
        <f t="shared" si="16"/>
        <v>119.03800000000001</v>
      </c>
      <c r="H377" s="22">
        <f>IFERROR(IF(Yearending&gt;B376,'5. Historical demand'!F377-'5. Historical demand'!C377-'5. Historical demand'!D377,""),"")</f>
        <v>149</v>
      </c>
      <c r="I377" s="22">
        <f t="shared" si="17"/>
        <v>-29.961999999999989</v>
      </c>
    </row>
    <row r="378" spans="2:9" x14ac:dyDescent="0.2">
      <c r="B378" s="202">
        <f t="shared" si="15"/>
        <v>45809</v>
      </c>
      <c r="C378" s="92">
        <v>34</v>
      </c>
      <c r="D378" s="92"/>
      <c r="E378" s="92">
        <v>76.161000000000001</v>
      </c>
      <c r="F378" s="92">
        <v>184</v>
      </c>
      <c r="G378" s="22">
        <f t="shared" si="16"/>
        <v>107.839</v>
      </c>
      <c r="H378" s="22">
        <f>IFERROR(IF(Yearending&gt;B377,'5. Historical demand'!F378-'5. Historical demand'!C378-'5. Historical demand'!D378,""),"")</f>
        <v>150</v>
      </c>
      <c r="I378" s="22">
        <f t="shared" si="17"/>
        <v>-42.161000000000001</v>
      </c>
    </row>
    <row r="379" spans="2:9" x14ac:dyDescent="0.2">
      <c r="B379" s="202">
        <f t="shared" si="15"/>
        <v>45810</v>
      </c>
      <c r="C379" s="92">
        <v>34</v>
      </c>
      <c r="D379" s="92"/>
      <c r="E379" s="92">
        <v>88.688000000000002</v>
      </c>
      <c r="F379" s="92">
        <v>184</v>
      </c>
      <c r="G379" s="22">
        <f t="shared" si="16"/>
        <v>95.311999999999998</v>
      </c>
      <c r="H379" s="22">
        <f>IFERROR(IF(Yearending&gt;B378,'5. Historical demand'!F379-'5. Historical demand'!C379-'5. Historical demand'!D379,""),"")</f>
        <v>150</v>
      </c>
      <c r="I379" s="22">
        <f t="shared" si="17"/>
        <v>-54.688000000000002</v>
      </c>
    </row>
    <row r="380" spans="2:9" x14ac:dyDescent="0.2">
      <c r="B380" s="202">
        <f t="shared" si="15"/>
        <v>45811</v>
      </c>
      <c r="C380" s="92">
        <v>34</v>
      </c>
      <c r="D380" s="92"/>
      <c r="E380" s="92">
        <v>88.36699999999999</v>
      </c>
      <c r="F380" s="92">
        <v>184</v>
      </c>
      <c r="G380" s="22">
        <f t="shared" si="16"/>
        <v>95.63300000000001</v>
      </c>
      <c r="H380" s="22">
        <f>IFERROR(IF(Yearending&gt;B379,'5. Historical demand'!F380-'5. Historical demand'!C380-'5. Historical demand'!D380,""),"")</f>
        <v>150</v>
      </c>
      <c r="I380" s="22">
        <f t="shared" si="17"/>
        <v>-54.36699999999999</v>
      </c>
    </row>
    <row r="381" spans="2:9" x14ac:dyDescent="0.2">
      <c r="B381" s="202">
        <f t="shared" si="15"/>
        <v>45812</v>
      </c>
      <c r="C381" s="92">
        <v>34</v>
      </c>
      <c r="D381" s="92"/>
      <c r="E381" s="92">
        <v>80.10499999999999</v>
      </c>
      <c r="F381" s="92">
        <v>184</v>
      </c>
      <c r="G381" s="22">
        <f t="shared" si="16"/>
        <v>103.89500000000001</v>
      </c>
      <c r="H381" s="22">
        <f>IFERROR(IF(Yearending&gt;B380,'5. Historical demand'!F381-'5. Historical demand'!C381-'5. Historical demand'!D381,""),"")</f>
        <v>150</v>
      </c>
      <c r="I381" s="22">
        <f t="shared" si="17"/>
        <v>-46.10499999999999</v>
      </c>
    </row>
    <row r="382" spans="2:9" x14ac:dyDescent="0.2">
      <c r="B382" s="202">
        <f t="shared" si="15"/>
        <v>45813</v>
      </c>
      <c r="C382" s="92">
        <v>34</v>
      </c>
      <c r="D382" s="92"/>
      <c r="E382" s="92">
        <v>89.646000000000001</v>
      </c>
      <c r="F382" s="92">
        <v>184</v>
      </c>
      <c r="G382" s="22">
        <f t="shared" si="16"/>
        <v>94.353999999999999</v>
      </c>
      <c r="H382" s="22">
        <f>IFERROR(IF(Yearending&gt;B381,'5. Historical demand'!F382-'5. Historical demand'!C382-'5. Historical demand'!D382,""),"")</f>
        <v>150</v>
      </c>
      <c r="I382" s="22">
        <f t="shared" si="17"/>
        <v>-55.646000000000001</v>
      </c>
    </row>
    <row r="383" spans="2:9" x14ac:dyDescent="0.2">
      <c r="B383" s="202">
        <f t="shared" si="15"/>
        <v>45814</v>
      </c>
      <c r="C383" s="92">
        <v>34</v>
      </c>
      <c r="D383" s="92"/>
      <c r="E383" s="92">
        <v>86.141999999999996</v>
      </c>
      <c r="F383" s="92">
        <v>184</v>
      </c>
      <c r="G383" s="22">
        <f t="shared" si="16"/>
        <v>97.858000000000004</v>
      </c>
      <c r="H383" s="22">
        <f>IFERROR(IF(Yearending&gt;B382,'5. Historical demand'!F383-'5. Historical demand'!C383-'5. Historical demand'!D383,""),"")</f>
        <v>150</v>
      </c>
      <c r="I383" s="22">
        <f t="shared" si="17"/>
        <v>-52.141999999999996</v>
      </c>
    </row>
    <row r="384" spans="2:9" x14ac:dyDescent="0.2">
      <c r="B384" s="202">
        <f t="shared" si="15"/>
        <v>45815</v>
      </c>
      <c r="C384" s="92">
        <v>34</v>
      </c>
      <c r="D384" s="92"/>
      <c r="E384" s="92">
        <v>77.046999999999997</v>
      </c>
      <c r="F384" s="92">
        <v>184</v>
      </c>
      <c r="G384" s="22">
        <f t="shared" si="16"/>
        <v>106.953</v>
      </c>
      <c r="H384" s="22">
        <f>IFERROR(IF(Yearending&gt;B383,'5. Historical demand'!F384-'5. Historical demand'!C384-'5. Historical demand'!D384,""),"")</f>
        <v>150</v>
      </c>
      <c r="I384" s="22">
        <f t="shared" si="17"/>
        <v>-43.046999999999997</v>
      </c>
    </row>
    <row r="385" spans="2:9" x14ac:dyDescent="0.2">
      <c r="B385" s="202">
        <f t="shared" si="15"/>
        <v>45816</v>
      </c>
      <c r="C385" s="92">
        <v>34</v>
      </c>
      <c r="D385" s="92"/>
      <c r="E385" s="92">
        <v>86.171999999999997</v>
      </c>
      <c r="F385" s="92">
        <v>184</v>
      </c>
      <c r="G385" s="22">
        <f t="shared" si="16"/>
        <v>97.828000000000003</v>
      </c>
      <c r="H385" s="22">
        <f>IFERROR(IF(Yearending&gt;B384,'5. Historical demand'!F385-'5. Historical demand'!C385-'5. Historical demand'!D385,""),"")</f>
        <v>150</v>
      </c>
      <c r="I385" s="22">
        <f t="shared" si="17"/>
        <v>-52.171999999999997</v>
      </c>
    </row>
    <row r="386" spans="2:9" x14ac:dyDescent="0.2">
      <c r="B386" s="202">
        <f t="shared" si="15"/>
        <v>45817</v>
      </c>
      <c r="C386" s="92">
        <v>34</v>
      </c>
      <c r="D386" s="92"/>
      <c r="E386" s="92">
        <v>93.616</v>
      </c>
      <c r="F386" s="92">
        <v>184</v>
      </c>
      <c r="G386" s="22">
        <f t="shared" si="16"/>
        <v>90.384</v>
      </c>
      <c r="H386" s="22">
        <f>IFERROR(IF(Yearending&gt;B385,'5. Historical demand'!F386-'5. Historical demand'!C386-'5. Historical demand'!D386,""),"")</f>
        <v>150</v>
      </c>
      <c r="I386" s="22">
        <f t="shared" si="17"/>
        <v>-59.616</v>
      </c>
    </row>
    <row r="387" spans="2:9" x14ac:dyDescent="0.2">
      <c r="B387" s="202">
        <f t="shared" si="15"/>
        <v>45818</v>
      </c>
      <c r="C387" s="92">
        <v>34</v>
      </c>
      <c r="D387" s="92"/>
      <c r="E387" s="92">
        <v>65.013999999999996</v>
      </c>
      <c r="F387" s="92">
        <v>184</v>
      </c>
      <c r="G387" s="22">
        <f t="shared" si="16"/>
        <v>118.986</v>
      </c>
      <c r="H387" s="22">
        <f>IFERROR(IF(Yearending&gt;B386,'5. Historical demand'!F387-'5. Historical demand'!C387-'5. Historical demand'!D387,""),"")</f>
        <v>150</v>
      </c>
      <c r="I387" s="22">
        <f t="shared" si="17"/>
        <v>-31.013999999999996</v>
      </c>
    </row>
    <row r="388" spans="2:9" x14ac:dyDescent="0.2">
      <c r="B388" s="202">
        <f t="shared" si="15"/>
        <v>45819</v>
      </c>
      <c r="C388" s="92">
        <v>34</v>
      </c>
      <c r="D388" s="92"/>
      <c r="E388" s="92">
        <v>88.543999999999997</v>
      </c>
      <c r="F388" s="92">
        <v>184</v>
      </c>
      <c r="G388" s="22">
        <f t="shared" si="16"/>
        <v>95.456000000000003</v>
      </c>
      <c r="H388" s="22">
        <f>IFERROR(IF(Yearending&gt;B387,'5. Historical demand'!F388-'5. Historical demand'!C388-'5. Historical demand'!D388,""),"")</f>
        <v>150</v>
      </c>
      <c r="I388" s="22">
        <f t="shared" si="17"/>
        <v>-54.543999999999997</v>
      </c>
    </row>
    <row r="389" spans="2:9" x14ac:dyDescent="0.2">
      <c r="B389" s="202">
        <f t="shared" si="15"/>
        <v>45820</v>
      </c>
      <c r="C389" s="92">
        <v>34</v>
      </c>
      <c r="D389" s="92"/>
      <c r="E389" s="92">
        <v>83.192999999999998</v>
      </c>
      <c r="F389" s="92">
        <v>184</v>
      </c>
      <c r="G389" s="22">
        <f t="shared" si="16"/>
        <v>100.807</v>
      </c>
      <c r="H389" s="22">
        <f>IFERROR(IF(Yearending&gt;B388,'5. Historical demand'!F389-'5. Historical demand'!C389-'5. Historical demand'!D389,""),"")</f>
        <v>150</v>
      </c>
      <c r="I389" s="22">
        <f t="shared" si="17"/>
        <v>-49.192999999999998</v>
      </c>
    </row>
    <row r="390" spans="2:9" x14ac:dyDescent="0.2">
      <c r="B390" s="202">
        <f t="shared" si="15"/>
        <v>45821</v>
      </c>
      <c r="C390" s="92">
        <v>34</v>
      </c>
      <c r="D390" s="92"/>
      <c r="E390" s="92">
        <v>84.046999999999997</v>
      </c>
      <c r="F390" s="92">
        <v>184</v>
      </c>
      <c r="G390" s="22">
        <f t="shared" si="16"/>
        <v>99.953000000000003</v>
      </c>
      <c r="H390" s="22">
        <f>IFERROR(IF(Yearending&gt;B389,'5. Historical demand'!F390-'5. Historical demand'!C390-'5. Historical demand'!D390,""),"")</f>
        <v>150</v>
      </c>
      <c r="I390" s="22">
        <f t="shared" si="17"/>
        <v>-50.046999999999997</v>
      </c>
    </row>
    <row r="391" spans="2:9" x14ac:dyDescent="0.2">
      <c r="B391" s="202">
        <f t="shared" si="15"/>
        <v>45822</v>
      </c>
      <c r="C391" s="92">
        <v>34</v>
      </c>
      <c r="D391" s="92"/>
      <c r="E391" s="92">
        <v>83.816000000000003</v>
      </c>
      <c r="F391" s="92">
        <v>184</v>
      </c>
      <c r="G391" s="22">
        <f t="shared" si="16"/>
        <v>100.184</v>
      </c>
      <c r="H391" s="22">
        <f>IFERROR(IF(Yearending&gt;B390,'5. Historical demand'!F391-'5. Historical demand'!C391-'5. Historical demand'!D391,""),"")</f>
        <v>150</v>
      </c>
      <c r="I391" s="22">
        <f t="shared" si="17"/>
        <v>-49.816000000000003</v>
      </c>
    </row>
    <row r="392" spans="2:9" x14ac:dyDescent="0.2">
      <c r="B392" s="202">
        <f t="shared" si="15"/>
        <v>45823</v>
      </c>
      <c r="C392" s="92">
        <v>34</v>
      </c>
      <c r="D392" s="92"/>
      <c r="E392" s="92">
        <v>79.819999999999993</v>
      </c>
      <c r="F392" s="92">
        <v>184</v>
      </c>
      <c r="G392" s="22">
        <f t="shared" si="16"/>
        <v>104.18</v>
      </c>
      <c r="H392" s="22">
        <f>IFERROR(IF(Yearending&gt;B391,'5. Historical demand'!F392-'5. Historical demand'!C392-'5. Historical demand'!D392,""),"")</f>
        <v>150</v>
      </c>
      <c r="I392" s="22">
        <f t="shared" si="17"/>
        <v>-45.819999999999993</v>
      </c>
    </row>
    <row r="393" spans="2:9" x14ac:dyDescent="0.2">
      <c r="B393" s="202">
        <f t="shared" si="15"/>
        <v>45824</v>
      </c>
      <c r="C393" s="92">
        <v>34</v>
      </c>
      <c r="D393" s="92"/>
      <c r="E393" s="92">
        <v>88.298000000000002</v>
      </c>
      <c r="F393" s="92">
        <v>184</v>
      </c>
      <c r="G393" s="22">
        <f t="shared" si="16"/>
        <v>95.701999999999998</v>
      </c>
      <c r="H393" s="22">
        <f>IFERROR(IF(Yearending&gt;B392,'5. Historical demand'!F393-'5. Historical demand'!C393-'5. Historical demand'!D393,""),"")</f>
        <v>150</v>
      </c>
      <c r="I393" s="22">
        <f t="shared" si="17"/>
        <v>-54.298000000000002</v>
      </c>
    </row>
    <row r="394" spans="2:9" x14ac:dyDescent="0.2">
      <c r="B394" s="202">
        <f t="shared" si="15"/>
        <v>45825</v>
      </c>
      <c r="C394" s="92">
        <v>34</v>
      </c>
      <c r="D394" s="92"/>
      <c r="E394" s="92">
        <v>90.914999999999992</v>
      </c>
      <c r="F394" s="92">
        <v>184</v>
      </c>
      <c r="G394" s="22">
        <f t="shared" si="16"/>
        <v>93.085000000000008</v>
      </c>
      <c r="H394" s="22">
        <f>IFERROR(IF(Yearending&gt;B393,'5. Historical demand'!F394-'5. Historical demand'!C394-'5. Historical demand'!D394,""),"")</f>
        <v>150</v>
      </c>
      <c r="I394" s="22">
        <f t="shared" si="17"/>
        <v>-56.914999999999992</v>
      </c>
    </row>
    <row r="395" spans="2:9" x14ac:dyDescent="0.2">
      <c r="B395" s="202">
        <f t="shared" si="15"/>
        <v>45826</v>
      </c>
      <c r="C395" s="92">
        <v>34</v>
      </c>
      <c r="D395" s="92"/>
      <c r="E395" s="92">
        <v>79.991</v>
      </c>
      <c r="F395" s="92">
        <v>184</v>
      </c>
      <c r="G395" s="22">
        <f t="shared" si="16"/>
        <v>104.009</v>
      </c>
      <c r="H395" s="22">
        <f>IFERROR(IF(Yearending&gt;B394,'5. Historical demand'!F395-'5. Historical demand'!C395-'5. Historical demand'!D395,""),"")</f>
        <v>150</v>
      </c>
      <c r="I395" s="22">
        <f t="shared" si="17"/>
        <v>-45.991</v>
      </c>
    </row>
    <row r="396" spans="2:9" x14ac:dyDescent="0.2">
      <c r="B396" s="202">
        <f t="shared" si="15"/>
        <v>45827</v>
      </c>
      <c r="C396" s="92">
        <v>34</v>
      </c>
      <c r="D396" s="92"/>
      <c r="E396" s="92">
        <v>92.054000000000002</v>
      </c>
      <c r="F396" s="92">
        <v>184</v>
      </c>
      <c r="G396" s="22">
        <f t="shared" si="16"/>
        <v>91.945999999999998</v>
      </c>
      <c r="H396" s="22">
        <f>IFERROR(IF(Yearending&gt;B395,'5. Historical demand'!F396-'5. Historical demand'!C396-'5. Historical demand'!D396,""),"")</f>
        <v>150</v>
      </c>
      <c r="I396" s="22">
        <f t="shared" si="17"/>
        <v>-58.054000000000002</v>
      </c>
    </row>
    <row r="397" spans="2:9" x14ac:dyDescent="0.2">
      <c r="B397" s="202">
        <f t="shared" si="15"/>
        <v>45828</v>
      </c>
      <c r="C397" s="92">
        <v>34</v>
      </c>
      <c r="D397" s="92"/>
      <c r="E397" s="92">
        <v>82.138999999999996</v>
      </c>
      <c r="F397" s="92">
        <v>184</v>
      </c>
      <c r="G397" s="22">
        <f t="shared" si="16"/>
        <v>101.861</v>
      </c>
      <c r="H397" s="22">
        <f>IFERROR(IF(Yearending&gt;B396,'5. Historical demand'!F397-'5. Historical demand'!C397-'5. Historical demand'!D397,""),"")</f>
        <v>150</v>
      </c>
      <c r="I397" s="22">
        <f t="shared" si="17"/>
        <v>-48.138999999999996</v>
      </c>
    </row>
    <row r="398" spans="2:9" x14ac:dyDescent="0.2">
      <c r="B398" s="202">
        <f t="shared" si="15"/>
        <v>45829</v>
      </c>
      <c r="C398" s="92">
        <v>34</v>
      </c>
      <c r="D398" s="92"/>
      <c r="E398" s="92">
        <v>83.509</v>
      </c>
      <c r="F398" s="92">
        <v>184</v>
      </c>
      <c r="G398" s="22">
        <f t="shared" si="16"/>
        <v>100.491</v>
      </c>
      <c r="H398" s="22">
        <f>IFERROR(IF(Yearending&gt;B397,'5. Historical demand'!F398-'5. Historical demand'!C398-'5. Historical demand'!D398,""),"")</f>
        <v>150</v>
      </c>
      <c r="I398" s="22">
        <f t="shared" si="17"/>
        <v>-49.509</v>
      </c>
    </row>
    <row r="399" spans="2:9" x14ac:dyDescent="0.2">
      <c r="B399" s="202">
        <f t="shared" si="15"/>
        <v>45830</v>
      </c>
      <c r="C399" s="92">
        <v>34</v>
      </c>
      <c r="D399" s="92"/>
      <c r="E399" s="92">
        <v>88.950999999999993</v>
      </c>
      <c r="F399" s="92">
        <v>184</v>
      </c>
      <c r="G399" s="22">
        <f t="shared" si="16"/>
        <v>95.049000000000007</v>
      </c>
      <c r="H399" s="22">
        <f>IFERROR(IF(Yearending&gt;B398,'5. Historical demand'!F399-'5. Historical demand'!C399-'5. Historical demand'!D399,""),"")</f>
        <v>150</v>
      </c>
      <c r="I399" s="22">
        <f t="shared" si="17"/>
        <v>-54.950999999999993</v>
      </c>
    </row>
    <row r="400" spans="2:9" x14ac:dyDescent="0.2">
      <c r="B400" s="202">
        <f t="shared" si="15"/>
        <v>45831</v>
      </c>
      <c r="C400" s="92">
        <v>34</v>
      </c>
      <c r="D400" s="92"/>
      <c r="E400" s="92">
        <v>80.954999999999998</v>
      </c>
      <c r="F400" s="92">
        <v>184</v>
      </c>
      <c r="G400" s="22">
        <f t="shared" si="16"/>
        <v>103.045</v>
      </c>
      <c r="H400" s="22">
        <f>IFERROR(IF(Yearending&gt;B399,'5. Historical demand'!F400-'5. Historical demand'!C400-'5. Historical demand'!D400,""),"")</f>
        <v>150</v>
      </c>
      <c r="I400" s="22">
        <f t="shared" si="17"/>
        <v>-46.954999999999998</v>
      </c>
    </row>
    <row r="401" spans="2:9" x14ac:dyDescent="0.2">
      <c r="B401" s="202">
        <f t="shared" si="15"/>
        <v>45832</v>
      </c>
      <c r="C401" s="92">
        <v>34</v>
      </c>
      <c r="D401" s="92"/>
      <c r="E401" s="92">
        <v>80.97999999999999</v>
      </c>
      <c r="F401" s="92">
        <v>184</v>
      </c>
      <c r="G401" s="22">
        <f t="shared" si="16"/>
        <v>103.02000000000001</v>
      </c>
      <c r="H401" s="22">
        <f>IFERROR(IF(Yearending&gt;B400,'5. Historical demand'!F401-'5. Historical demand'!C401-'5. Historical demand'!D401,""),"")</f>
        <v>150</v>
      </c>
      <c r="I401" s="22">
        <f t="shared" si="17"/>
        <v>-46.97999999999999</v>
      </c>
    </row>
    <row r="402" spans="2:9" x14ac:dyDescent="0.2">
      <c r="B402" s="202">
        <f t="shared" si="15"/>
        <v>45833</v>
      </c>
      <c r="C402" s="92">
        <v>34</v>
      </c>
      <c r="D402" s="92"/>
      <c r="E402" s="92">
        <v>76.134</v>
      </c>
      <c r="F402" s="92">
        <v>184</v>
      </c>
      <c r="G402" s="22">
        <f t="shared" si="16"/>
        <v>107.866</v>
      </c>
      <c r="H402" s="22">
        <f>IFERROR(IF(Yearending&gt;B401,'5. Historical demand'!F402-'5. Historical demand'!C402-'5. Historical demand'!D402,""),"")</f>
        <v>150</v>
      </c>
      <c r="I402" s="22">
        <f t="shared" si="17"/>
        <v>-42.134</v>
      </c>
    </row>
    <row r="403" spans="2:9" x14ac:dyDescent="0.2">
      <c r="B403" s="202">
        <f t="shared" si="15"/>
        <v>45834</v>
      </c>
      <c r="C403" s="92">
        <v>34</v>
      </c>
      <c r="D403" s="92"/>
      <c r="E403" s="92">
        <v>79.576999999999998</v>
      </c>
      <c r="F403" s="92">
        <v>184</v>
      </c>
      <c r="G403" s="22">
        <f t="shared" si="16"/>
        <v>104.423</v>
      </c>
      <c r="H403" s="22">
        <f>IFERROR(IF(Yearending&gt;B402,'5. Historical demand'!F403-'5. Historical demand'!C403-'5. Historical demand'!D403,""),"")</f>
        <v>150</v>
      </c>
      <c r="I403" s="22">
        <f t="shared" si="17"/>
        <v>-45.576999999999998</v>
      </c>
    </row>
    <row r="404" spans="2:9" x14ac:dyDescent="0.2">
      <c r="B404" s="202">
        <f t="shared" si="15"/>
        <v>45835</v>
      </c>
      <c r="C404" s="92">
        <v>34</v>
      </c>
      <c r="D404" s="92"/>
      <c r="E404" s="92">
        <v>73.828999999999994</v>
      </c>
      <c r="F404" s="92">
        <v>184</v>
      </c>
      <c r="G404" s="22">
        <f t="shared" si="16"/>
        <v>110.17100000000001</v>
      </c>
      <c r="H404" s="22">
        <f>IFERROR(IF(Yearending&gt;B403,'5. Historical demand'!F404-'5. Historical demand'!C404-'5. Historical demand'!D404,""),"")</f>
        <v>150</v>
      </c>
      <c r="I404" s="22">
        <f t="shared" si="17"/>
        <v>-39.828999999999994</v>
      </c>
    </row>
    <row r="405" spans="2:9" x14ac:dyDescent="0.2">
      <c r="B405" s="202">
        <f t="shared" si="15"/>
        <v>45836</v>
      </c>
      <c r="C405" s="92">
        <v>34</v>
      </c>
      <c r="D405" s="92"/>
      <c r="E405" s="92">
        <v>81.903999999999996</v>
      </c>
      <c r="F405" s="92">
        <v>184</v>
      </c>
      <c r="G405" s="22">
        <f t="shared" si="16"/>
        <v>102.096</v>
      </c>
      <c r="H405" s="22">
        <f>IFERROR(IF(Yearending&gt;B404,'5. Historical demand'!F405-'5. Historical demand'!C405-'5. Historical demand'!D405,""),"")</f>
        <v>150</v>
      </c>
      <c r="I405" s="22">
        <f t="shared" si="17"/>
        <v>-47.903999999999996</v>
      </c>
    </row>
    <row r="406" spans="2:9" x14ac:dyDescent="0.2">
      <c r="B406" s="202">
        <f t="shared" si="15"/>
        <v>45837</v>
      </c>
      <c r="C406" s="92">
        <v>34</v>
      </c>
      <c r="D406" s="92"/>
      <c r="E406" s="92">
        <v>75.147000000000006</v>
      </c>
      <c r="F406" s="92">
        <v>184</v>
      </c>
      <c r="G406" s="22">
        <f t="shared" si="16"/>
        <v>108.85299999999999</v>
      </c>
      <c r="H406" s="22">
        <f>IFERROR(IF(Yearending&gt;B405,'5. Historical demand'!F406-'5. Historical demand'!C406-'5. Historical demand'!D406,""),"")</f>
        <v>150</v>
      </c>
      <c r="I406" s="22">
        <f t="shared" si="17"/>
        <v>-41.147000000000006</v>
      </c>
    </row>
    <row r="407" spans="2:9" x14ac:dyDescent="0.2">
      <c r="B407" s="202">
        <f t="shared" si="15"/>
        <v>45838</v>
      </c>
      <c r="C407" s="92">
        <v>34</v>
      </c>
      <c r="D407" s="92"/>
      <c r="E407" s="92">
        <v>72.093000000000004</v>
      </c>
      <c r="F407" s="92">
        <v>184</v>
      </c>
      <c r="G407" s="22">
        <f t="shared" si="16"/>
        <v>111.907</v>
      </c>
      <c r="H407" s="22">
        <f>IFERROR(IF(Yearending&gt;B406,'5. Historical demand'!F407-'5. Historical demand'!C407-'5. Historical demand'!D407,""),"")</f>
        <v>150</v>
      </c>
      <c r="I407" s="22">
        <f t="shared" si="17"/>
        <v>-38.093000000000004</v>
      </c>
    </row>
    <row r="408" spans="2:9" x14ac:dyDescent="0.2">
      <c r="B408" s="202" t="str">
        <f t="shared" si="15"/>
        <v/>
      </c>
      <c r="C408" s="92"/>
      <c r="D408" s="92"/>
      <c r="E408" s="92"/>
      <c r="F408" s="92"/>
      <c r="G408" s="22" t="str">
        <f t="shared" si="16"/>
        <v/>
      </c>
      <c r="H408" s="22" t="str">
        <f>IFERROR(IF(Yearending&gt;B407,'5. Historical demand'!F408-'5. Historical demand'!C408-'5. Historical demand'!D408,""),"")</f>
        <v/>
      </c>
      <c r="I408" s="22" t="str">
        <f t="shared" si="17"/>
        <v/>
      </c>
    </row>
  </sheetData>
  <sheetProtection sheet="1" insertRows="0"/>
  <mergeCells count="1">
    <mergeCell ref="B6:D9"/>
  </mergeCells>
  <conditionalFormatting sqref="B43:B408">
    <cfRule type="containsErrors" dxfId="2" priority="1" stopIfTrue="1">
      <formula>ISERROR(B43)</formula>
    </cfRule>
  </conditionalFormatting>
  <pageMargins left="0.75" right="0.75" top="1" bottom="1" header="0.5" footer="0.5"/>
  <pageSetup paperSize="9" scale="30"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D2232-9DB9-4282-86BB-FDBB0773C5E2}">
  <sheetPr>
    <tabColor theme="5" tint="0.79998168889431442"/>
  </sheetPr>
  <dimension ref="A1"/>
  <sheetViews>
    <sheetView workbookViewId="0"/>
  </sheetViews>
  <sheetFormatPr defaultColWidth="9.28515625" defaultRowHeight="12.75" x14ac:dyDescent="0.2"/>
  <cols>
    <col min="1" max="16384" width="9.28515625" style="367"/>
  </cols>
  <sheetData>
    <row r="1" spans="1:1" x14ac:dyDescent="0.2">
      <c r="A1" s="314" t="s">
        <v>910</v>
      </c>
    </row>
  </sheetData>
  <pageMargins left="0.7" right="0.7" top="0.75" bottom="0.75" header="0.3" footer="0.3"/>
  <headerFooter>
    <oddFooter>&amp;C_x000D_&amp;1#&amp;"Aptos"&amp;10&amp;K008000 APA-INTERNAL</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EEF30-4106-476A-AFC7-DCFE32E019CA}">
  <sheetPr codeName="Sheet31">
    <tabColor rgb="FF17415D"/>
  </sheetPr>
  <dimension ref="A1:K195"/>
  <sheetViews>
    <sheetView showGridLines="0" zoomScale="107" zoomScaleNormal="100" workbookViewId="0">
      <pane xSplit="1" ySplit="13" topLeftCell="B14" activePane="bottomRight" state="frozen"/>
      <selection activeCell="G47" sqref="G47"/>
      <selection pane="topRight" activeCell="G47" sqref="G47"/>
      <selection pane="bottomLeft" activeCell="G47" sqref="G47"/>
      <selection pane="bottomRight"/>
    </sheetView>
  </sheetViews>
  <sheetFormatPr defaultColWidth="9.140625" defaultRowHeight="12.75" x14ac:dyDescent="0.2"/>
  <cols>
    <col min="1" max="1" width="11.85546875" style="200" customWidth="1"/>
    <col min="2" max="2" width="57.7109375" style="200" customWidth="1"/>
    <col min="3" max="3" width="44.7109375" style="200" customWidth="1"/>
    <col min="4" max="11" width="39" style="200" customWidth="1"/>
    <col min="12" max="16384" width="9.140625" style="200"/>
  </cols>
  <sheetData>
    <row r="1" spans="1:4" ht="20.25" x14ac:dyDescent="0.2">
      <c r="A1" s="201"/>
      <c r="B1" s="146" t="s">
        <v>52</v>
      </c>
      <c r="C1" s="146"/>
    </row>
    <row r="2" spans="1:4" ht="20.25" x14ac:dyDescent="0.2">
      <c r="A2" s="201"/>
      <c r="B2" s="146" t="str">
        <f>IF(Tradingname=0," ",Tradingname)</f>
        <v>APT Pipelines (QLD) Pty Limited</v>
      </c>
      <c r="C2" s="146"/>
    </row>
    <row r="3" spans="1:4" ht="20.25" x14ac:dyDescent="0.3">
      <c r="B3" s="146" t="s">
        <v>29</v>
      </c>
      <c r="C3" s="110">
        <f>IF(Yearending=0, "0/01/2000", Yearending)</f>
        <v>45838</v>
      </c>
    </row>
    <row r="4" spans="1:4" ht="20.25" x14ac:dyDescent="0.2">
      <c r="B4" s="102" t="s">
        <v>401</v>
      </c>
      <c r="C4" s="102"/>
    </row>
    <row r="5" spans="1:4" x14ac:dyDescent="0.2">
      <c r="B5" s="200" t="s">
        <v>402</v>
      </c>
    </row>
    <row r="6" spans="1:4" ht="15.75" x14ac:dyDescent="0.25">
      <c r="B6" s="199"/>
    </row>
    <row r="7" spans="1:4" ht="12.75" customHeight="1" x14ac:dyDescent="0.2">
      <c r="B7" s="446" t="s">
        <v>403</v>
      </c>
      <c r="C7" s="446"/>
      <c r="D7" s="446"/>
    </row>
    <row r="8" spans="1:4" ht="12.75" customHeight="1" x14ac:dyDescent="0.2">
      <c r="B8" s="446"/>
      <c r="C8" s="446"/>
      <c r="D8" s="446"/>
    </row>
    <row r="9" spans="1:4" ht="12.75" customHeight="1" x14ac:dyDescent="0.2">
      <c r="B9" s="446"/>
      <c r="C9" s="446"/>
      <c r="D9" s="446"/>
    </row>
    <row r="10" spans="1:4" ht="12.75" customHeight="1" x14ac:dyDescent="0.2">
      <c r="B10" s="446"/>
      <c r="C10" s="446"/>
      <c r="D10" s="446"/>
    </row>
    <row r="11" spans="1:4" ht="12.75" customHeight="1" x14ac:dyDescent="0.2">
      <c r="B11" s="446"/>
      <c r="C11" s="446"/>
      <c r="D11" s="446"/>
    </row>
    <row r="12" spans="1:4" ht="12.75" customHeight="1" x14ac:dyDescent="0.2">
      <c r="B12" s="446"/>
      <c r="C12" s="446"/>
      <c r="D12" s="446"/>
    </row>
    <row r="13" spans="1:4" ht="12.75" customHeight="1" x14ac:dyDescent="0.2">
      <c r="B13" s="446"/>
      <c r="C13" s="446"/>
      <c r="D13" s="446"/>
    </row>
    <row r="16" spans="1:4" ht="12.75" customHeight="1" x14ac:dyDescent="0.25">
      <c r="B16" s="199" t="s">
        <v>404</v>
      </c>
    </row>
    <row r="17" spans="2:5" ht="12.75" customHeight="1" x14ac:dyDescent="0.25">
      <c r="B17" s="199"/>
    </row>
    <row r="18" spans="2:5" x14ac:dyDescent="0.2">
      <c r="B18" s="441" t="s">
        <v>405</v>
      </c>
      <c r="C18" s="443"/>
      <c r="D18" s="441" t="s">
        <v>406</v>
      </c>
      <c r="E18" s="443"/>
    </row>
    <row r="19" spans="2:5" x14ac:dyDescent="0.2">
      <c r="B19" s="481" t="s">
        <v>113</v>
      </c>
      <c r="C19" s="311" t="s">
        <v>407</v>
      </c>
      <c r="D19" s="485" t="s">
        <v>113</v>
      </c>
      <c r="E19" s="483" t="s">
        <v>163</v>
      </c>
    </row>
    <row r="20" spans="2:5" x14ac:dyDescent="0.2">
      <c r="B20" s="482"/>
      <c r="C20" s="122" t="s">
        <v>163</v>
      </c>
      <c r="D20" s="486"/>
      <c r="E20" s="484"/>
    </row>
    <row r="21" spans="2:5" x14ac:dyDescent="0.2">
      <c r="B21" s="123" t="s">
        <v>77</v>
      </c>
      <c r="C21" s="209">
        <v>0.46694477074015556</v>
      </c>
      <c r="D21" s="198" t="s">
        <v>408</v>
      </c>
      <c r="E21" s="209">
        <v>5.8299999999999998E-2</v>
      </c>
    </row>
    <row r="22" spans="2:5" x14ac:dyDescent="0.2">
      <c r="B22" s="123" t="s">
        <v>79</v>
      </c>
      <c r="C22" s="209">
        <v>0</v>
      </c>
      <c r="D22" s="198" t="s">
        <v>409</v>
      </c>
      <c r="E22" s="208">
        <v>0.6</v>
      </c>
    </row>
    <row r="23" spans="2:5" x14ac:dyDescent="0.2">
      <c r="B23" s="123" t="s">
        <v>80</v>
      </c>
      <c r="C23" s="209">
        <v>0.30068026477701537</v>
      </c>
      <c r="D23" s="198" t="s">
        <v>410</v>
      </c>
      <c r="E23" s="208">
        <v>0.3</v>
      </c>
    </row>
    <row r="24" spans="2:5" x14ac:dyDescent="0.2">
      <c r="B24" s="123" t="s">
        <v>81</v>
      </c>
      <c r="C24" s="209">
        <v>0</v>
      </c>
      <c r="D24" s="198" t="s">
        <v>411</v>
      </c>
      <c r="E24" s="208">
        <v>0.56999999999999995</v>
      </c>
    </row>
    <row r="25" spans="2:5" x14ac:dyDescent="0.2">
      <c r="B25" s="204" t="s">
        <v>82</v>
      </c>
      <c r="C25" s="209">
        <v>0</v>
      </c>
      <c r="D25" s="197" t="s">
        <v>412</v>
      </c>
      <c r="E25" s="209">
        <v>6.6600000000000006E-2</v>
      </c>
    </row>
    <row r="26" spans="2:5" x14ac:dyDescent="0.2">
      <c r="B26" s="123" t="s">
        <v>83</v>
      </c>
      <c r="C26" s="209">
        <v>0</v>
      </c>
      <c r="D26" s="25"/>
      <c r="E26" s="25"/>
    </row>
    <row r="27" spans="2:5" x14ac:dyDescent="0.2">
      <c r="B27" s="123" t="s">
        <v>84</v>
      </c>
      <c r="C27" s="209">
        <v>7.7998423636860305E-3</v>
      </c>
      <c r="D27" s="25"/>
      <c r="E27" s="25"/>
    </row>
    <row r="28" spans="2:5" x14ac:dyDescent="0.2">
      <c r="B28" s="123" t="s">
        <v>85</v>
      </c>
      <c r="C28" s="209">
        <v>1.0311164075360157E-3</v>
      </c>
      <c r="D28" s="25"/>
      <c r="E28" s="25"/>
    </row>
    <row r="29" spans="2:5" x14ac:dyDescent="0.2">
      <c r="B29" s="123" t="s">
        <v>87</v>
      </c>
      <c r="C29" s="209">
        <v>1.1805321652850324E-3</v>
      </c>
      <c r="D29" s="25"/>
      <c r="E29" s="25"/>
    </row>
    <row r="30" spans="2:5" x14ac:dyDescent="0.2">
      <c r="B30" s="123" t="s">
        <v>89</v>
      </c>
      <c r="C30" s="209">
        <v>0.22236347354632191</v>
      </c>
      <c r="D30" s="25"/>
      <c r="E30" s="25"/>
    </row>
    <row r="31" spans="2:5" x14ac:dyDescent="0.2">
      <c r="B31" s="196" t="s">
        <v>55</v>
      </c>
      <c r="C31" s="129">
        <f>SUM(C21:C30)</f>
        <v>1</v>
      </c>
      <c r="D31" s="25"/>
      <c r="E31" s="25"/>
    </row>
    <row r="34" spans="2:8" ht="15.75" x14ac:dyDescent="0.25">
      <c r="B34" s="199" t="s">
        <v>413</v>
      </c>
      <c r="C34" s="199"/>
    </row>
    <row r="36" spans="2:8" x14ac:dyDescent="0.2">
      <c r="B36" s="195"/>
      <c r="C36" s="195"/>
      <c r="D36" s="195" t="s">
        <v>414</v>
      </c>
      <c r="E36" s="195" t="s">
        <v>415</v>
      </c>
      <c r="F36" s="195" t="s">
        <v>416</v>
      </c>
      <c r="G36" s="195" t="s">
        <v>73</v>
      </c>
      <c r="H36" s="195" t="s">
        <v>74</v>
      </c>
    </row>
    <row r="37" spans="2:8" x14ac:dyDescent="0.2">
      <c r="B37" s="468" t="s">
        <v>77</v>
      </c>
      <c r="C37" s="195" t="s">
        <v>75</v>
      </c>
      <c r="D37" s="194">
        <f>MIN(C64:D64)</f>
        <v>0.46072289980466274</v>
      </c>
      <c r="E37" s="194">
        <f>MIN(E64:G64)</f>
        <v>0</v>
      </c>
      <c r="F37" s="194">
        <f>MIN(H64,J64)+MIN(I64,K64)</f>
        <v>8.641841557578793E-2</v>
      </c>
      <c r="G37" s="194">
        <f t="shared" ref="G37:G56" si="0">SUM(D37:F37)</f>
        <v>0.54714131538045063</v>
      </c>
      <c r="H37" s="480" t="s">
        <v>78</v>
      </c>
    </row>
    <row r="38" spans="2:8" x14ac:dyDescent="0.2">
      <c r="B38" s="469"/>
      <c r="C38" s="195" t="s">
        <v>76</v>
      </c>
      <c r="D38" s="194">
        <f>MAX(C64:D64)</f>
        <v>0.63272870803208647</v>
      </c>
      <c r="E38" s="194">
        <f>MAX(E64:G64)</f>
        <v>0.18314255944919799</v>
      </c>
      <c r="F38" s="194">
        <f>MAX(H64,J64)+MAX(I64,K64)</f>
        <v>8.641841557578793E-2</v>
      </c>
      <c r="G38" s="194">
        <f t="shared" si="0"/>
        <v>0.90228968305707236</v>
      </c>
      <c r="H38" s="480"/>
    </row>
    <row r="39" spans="2:8" x14ac:dyDescent="0.2">
      <c r="B39" s="468" t="s">
        <v>79</v>
      </c>
      <c r="C39" s="195" t="s">
        <v>75</v>
      </c>
      <c r="D39" s="194">
        <f>MIN(C65:D65)</f>
        <v>0</v>
      </c>
      <c r="E39" s="194">
        <f>MIN(E65:G65)</f>
        <v>0</v>
      </c>
      <c r="F39" s="194">
        <f>MIN(H65,J65)+MIN(I65,K65)</f>
        <v>0</v>
      </c>
      <c r="G39" s="194">
        <f t="shared" si="0"/>
        <v>0</v>
      </c>
      <c r="H39" s="480" t="s">
        <v>78</v>
      </c>
    </row>
    <row r="40" spans="2:8" x14ac:dyDescent="0.2">
      <c r="B40" s="469"/>
      <c r="C40" s="195" t="s">
        <v>76</v>
      </c>
      <c r="D40" s="194">
        <f>MAX(C65:D65)</f>
        <v>0</v>
      </c>
      <c r="E40" s="194">
        <f>MAX(E65:G65)</f>
        <v>0</v>
      </c>
      <c r="F40" s="194">
        <f>MAX(H65,J65)+MAX(I65,K65)</f>
        <v>0</v>
      </c>
      <c r="G40" s="194">
        <f t="shared" si="0"/>
        <v>0</v>
      </c>
      <c r="H40" s="480"/>
    </row>
    <row r="41" spans="2:8" x14ac:dyDescent="0.2">
      <c r="B41" s="468" t="s">
        <v>80</v>
      </c>
      <c r="C41" s="195" t="s">
        <v>75</v>
      </c>
      <c r="D41" s="194">
        <f>MIN(C66:D66)</f>
        <v>0</v>
      </c>
      <c r="E41" s="194">
        <f>MIN(E66:G66)</f>
        <v>0</v>
      </c>
      <c r="F41" s="194">
        <f>MIN(H66,J66)+MIN(I66,K66)</f>
        <v>0</v>
      </c>
      <c r="G41" s="194">
        <f t="shared" si="0"/>
        <v>0</v>
      </c>
      <c r="H41" s="480" t="s">
        <v>78</v>
      </c>
    </row>
    <row r="42" spans="2:8" x14ac:dyDescent="0.2">
      <c r="B42" s="469"/>
      <c r="C42" s="195" t="s">
        <v>76</v>
      </c>
      <c r="D42" s="194">
        <f>MAX(C66:D66)</f>
        <v>0</v>
      </c>
      <c r="E42" s="194">
        <f>MAX(E66:G66)</f>
        <v>0</v>
      </c>
      <c r="F42" s="194">
        <f>MAX(H66,J66)+MAX(I66,K66)</f>
        <v>0</v>
      </c>
      <c r="G42" s="194">
        <f t="shared" si="0"/>
        <v>0</v>
      </c>
      <c r="H42" s="480"/>
    </row>
    <row r="43" spans="2:8" x14ac:dyDescent="0.2">
      <c r="B43" s="468" t="s">
        <v>81</v>
      </c>
      <c r="C43" s="195" t="s">
        <v>75</v>
      </c>
      <c r="D43" s="194">
        <f>MIN(C67:D67)</f>
        <v>0</v>
      </c>
      <c r="E43" s="194">
        <f>MIN(E67:G67)</f>
        <v>0</v>
      </c>
      <c r="F43" s="194">
        <f>MIN(H67,J67)+MIN(I67,K67)</f>
        <v>0</v>
      </c>
      <c r="G43" s="194">
        <f t="shared" si="0"/>
        <v>0</v>
      </c>
      <c r="H43" s="480" t="s">
        <v>78</v>
      </c>
    </row>
    <row r="44" spans="2:8" x14ac:dyDescent="0.2">
      <c r="B44" s="469"/>
      <c r="C44" s="195" t="s">
        <v>76</v>
      </c>
      <c r="D44" s="194">
        <f>MAX(C67:D67)</f>
        <v>0</v>
      </c>
      <c r="E44" s="194">
        <f>MAX(E67:G67)</f>
        <v>0</v>
      </c>
      <c r="F44" s="194">
        <f>MAX(H67,J67)+MAX(I67,K67)</f>
        <v>0</v>
      </c>
      <c r="G44" s="194">
        <f t="shared" si="0"/>
        <v>0</v>
      </c>
      <c r="H44" s="480"/>
    </row>
    <row r="45" spans="2:8" x14ac:dyDescent="0.2">
      <c r="B45" s="468" t="s">
        <v>82</v>
      </c>
      <c r="C45" s="195" t="s">
        <v>75</v>
      </c>
      <c r="D45" s="194">
        <f>MIN(C68:D68)</f>
        <v>0</v>
      </c>
      <c r="E45" s="194">
        <f>MIN(E68:G68)</f>
        <v>0</v>
      </c>
      <c r="F45" s="194">
        <f>MIN(H68,J68)+MIN(I68,K68)</f>
        <v>0</v>
      </c>
      <c r="G45" s="194">
        <f t="shared" si="0"/>
        <v>0</v>
      </c>
      <c r="H45" s="480" t="s">
        <v>78</v>
      </c>
    </row>
    <row r="46" spans="2:8" x14ac:dyDescent="0.2">
      <c r="B46" s="469"/>
      <c r="C46" s="195" t="s">
        <v>76</v>
      </c>
      <c r="D46" s="194">
        <f>MAX(C68:D68)</f>
        <v>0</v>
      </c>
      <c r="E46" s="194">
        <f>MAX(E68:G68)</f>
        <v>0</v>
      </c>
      <c r="F46" s="194">
        <f>MAX(H68,J68)+MAX(I68,K68)</f>
        <v>0</v>
      </c>
      <c r="G46" s="194">
        <f t="shared" si="0"/>
        <v>0</v>
      </c>
      <c r="H46" s="480"/>
    </row>
    <row r="47" spans="2:8" x14ac:dyDescent="0.2">
      <c r="B47" s="468" t="s">
        <v>83</v>
      </c>
      <c r="C47" s="195" t="s">
        <v>75</v>
      </c>
      <c r="D47" s="194">
        <f>MIN(C69:D69)</f>
        <v>0</v>
      </c>
      <c r="E47" s="194">
        <f>MIN(E69:G69)</f>
        <v>0</v>
      </c>
      <c r="F47" s="194">
        <f>MIN(H69,J69)+MIN(I69,K69)</f>
        <v>0</v>
      </c>
      <c r="G47" s="194">
        <f t="shared" si="0"/>
        <v>0</v>
      </c>
      <c r="H47" s="480" t="s">
        <v>78</v>
      </c>
    </row>
    <row r="48" spans="2:8" x14ac:dyDescent="0.2">
      <c r="B48" s="469"/>
      <c r="C48" s="195" t="s">
        <v>76</v>
      </c>
      <c r="D48" s="194">
        <f>MAX(C69:D69)</f>
        <v>0</v>
      </c>
      <c r="E48" s="194">
        <f>MAX(E69:G69)</f>
        <v>0</v>
      </c>
      <c r="F48" s="194">
        <f>MAX(H69,J69)+MAX(I69,K69)</f>
        <v>0</v>
      </c>
      <c r="G48" s="194">
        <f t="shared" si="0"/>
        <v>0</v>
      </c>
      <c r="H48" s="480"/>
    </row>
    <row r="49" spans="2:11" x14ac:dyDescent="0.2">
      <c r="B49" s="468" t="s">
        <v>84</v>
      </c>
      <c r="C49" s="195" t="s">
        <v>75</v>
      </c>
      <c r="D49" s="194">
        <f>MIN(C70:D70)</f>
        <v>0</v>
      </c>
      <c r="E49" s="194">
        <f>MIN(E70:G70)</f>
        <v>0</v>
      </c>
      <c r="F49" s="194">
        <f>MIN(H70,J70)+MIN(I70,K70)</f>
        <v>0</v>
      </c>
      <c r="G49" s="194">
        <f t="shared" si="0"/>
        <v>0</v>
      </c>
      <c r="H49" s="480" t="s">
        <v>78</v>
      </c>
    </row>
    <row r="50" spans="2:11" x14ac:dyDescent="0.2">
      <c r="B50" s="469"/>
      <c r="C50" s="195" t="s">
        <v>76</v>
      </c>
      <c r="D50" s="194">
        <f>MAX(C70:D70)</f>
        <v>0</v>
      </c>
      <c r="E50" s="194">
        <f>MAX(E70:G70)</f>
        <v>0</v>
      </c>
      <c r="F50" s="194">
        <f>MAX(H70,J70)+MAX(I70,K70)</f>
        <v>0</v>
      </c>
      <c r="G50" s="194">
        <f t="shared" si="0"/>
        <v>0</v>
      </c>
      <c r="H50" s="480"/>
    </row>
    <row r="51" spans="2:11" x14ac:dyDescent="0.2">
      <c r="B51" s="468" t="s">
        <v>85</v>
      </c>
      <c r="C51" s="195" t="s">
        <v>75</v>
      </c>
      <c r="D51" s="194">
        <f>MIN(C71:D71)</f>
        <v>0</v>
      </c>
      <c r="E51" s="194">
        <f>MIN(E71:G71)</f>
        <v>0</v>
      </c>
      <c r="F51" s="194">
        <f>MIN(H71,J71)+MIN(I71,K71)</f>
        <v>0</v>
      </c>
      <c r="G51" s="194">
        <f t="shared" si="0"/>
        <v>0</v>
      </c>
      <c r="H51" s="480" t="s">
        <v>86</v>
      </c>
    </row>
    <row r="52" spans="2:11" x14ac:dyDescent="0.2">
      <c r="B52" s="469"/>
      <c r="C52" s="195" t="s">
        <v>76</v>
      </c>
      <c r="D52" s="194">
        <f>MAX(C71:D71)</f>
        <v>0</v>
      </c>
      <c r="E52" s="194">
        <f>MAX(E71:G71)</f>
        <v>0</v>
      </c>
      <c r="F52" s="194">
        <f>MAX(H71,J71)+MAX(I71,K71)</f>
        <v>0</v>
      </c>
      <c r="G52" s="194">
        <f t="shared" si="0"/>
        <v>0</v>
      </c>
      <c r="H52" s="480"/>
    </row>
    <row r="53" spans="2:11" x14ac:dyDescent="0.2">
      <c r="B53" s="468" t="s">
        <v>87</v>
      </c>
      <c r="C53" s="195" t="s">
        <v>75</v>
      </c>
      <c r="D53" s="194">
        <f>MIN(C72:D72)</f>
        <v>0</v>
      </c>
      <c r="E53" s="194">
        <f>MIN(E72:G72)</f>
        <v>0</v>
      </c>
      <c r="F53" s="194">
        <f>MIN(H72,J72)+MIN(I72,K72)</f>
        <v>0</v>
      </c>
      <c r="G53" s="194">
        <f t="shared" si="0"/>
        <v>0</v>
      </c>
      <c r="H53" s="480" t="s">
        <v>88</v>
      </c>
    </row>
    <row r="54" spans="2:11" x14ac:dyDescent="0.2">
      <c r="B54" s="469"/>
      <c r="C54" s="195" t="s">
        <v>76</v>
      </c>
      <c r="D54" s="194">
        <f>MAX(C72:D72)</f>
        <v>0</v>
      </c>
      <c r="E54" s="194">
        <f>MAX(E72:G72)</f>
        <v>0</v>
      </c>
      <c r="F54" s="194">
        <f>MAX(H72,J72)+MAX(I72,K72)</f>
        <v>0</v>
      </c>
      <c r="G54" s="194">
        <f t="shared" si="0"/>
        <v>0</v>
      </c>
      <c r="H54" s="480"/>
    </row>
    <row r="55" spans="2:11" x14ac:dyDescent="0.2">
      <c r="B55" s="468" t="s">
        <v>89</v>
      </c>
      <c r="C55" s="195" t="s">
        <v>75</v>
      </c>
      <c r="D55" s="194">
        <f>MIN(C73:D73)</f>
        <v>0.3485385644315025</v>
      </c>
      <c r="E55" s="194">
        <f>MIN(E73:G73)</f>
        <v>0</v>
      </c>
      <c r="F55" s="194">
        <f>MIN(H73,J73)+MIN(I73,K73)</f>
        <v>6.5375848515453555E-2</v>
      </c>
      <c r="G55" s="194">
        <f t="shared" si="0"/>
        <v>0.41391441294695608</v>
      </c>
      <c r="H55" s="480"/>
    </row>
    <row r="56" spans="2:11" x14ac:dyDescent="0.2">
      <c r="B56" s="469"/>
      <c r="C56" s="195" t="s">
        <v>76</v>
      </c>
      <c r="D56" s="194">
        <f>MAX(C73:D73)</f>
        <v>0.47866158957065758</v>
      </c>
      <c r="E56" s="194">
        <f>MAX(E73:G73)</f>
        <v>0.13854801830731264</v>
      </c>
      <c r="F56" s="194">
        <f>MAX(H73,J73)+MAX(I73,K73)</f>
        <v>6.5375848515453555E-2</v>
      </c>
      <c r="G56" s="194">
        <f t="shared" si="0"/>
        <v>0.68258545639342372</v>
      </c>
      <c r="H56" s="480"/>
    </row>
    <row r="59" spans="2:11" ht="15.75" x14ac:dyDescent="0.25">
      <c r="B59" s="199" t="s">
        <v>417</v>
      </c>
    </row>
    <row r="60" spans="2:11" ht="16.5" thickBot="1" x14ac:dyDescent="0.3">
      <c r="B60" s="193" t="s">
        <v>418</v>
      </c>
    </row>
    <row r="61" spans="2:11" s="191" customFormat="1" ht="13.5" thickBot="1" x14ac:dyDescent="0.25">
      <c r="B61" s="192"/>
      <c r="C61" s="470" t="s">
        <v>419</v>
      </c>
      <c r="D61" s="471"/>
      <c r="E61" s="470" t="s">
        <v>420</v>
      </c>
      <c r="F61" s="477"/>
      <c r="G61" s="471"/>
      <c r="H61" s="474" t="s">
        <v>421</v>
      </c>
      <c r="I61" s="475"/>
      <c r="J61" s="475"/>
      <c r="K61" s="476"/>
    </row>
    <row r="62" spans="2:11" s="191" customFormat="1" x14ac:dyDescent="0.2">
      <c r="B62" s="192"/>
      <c r="C62" s="464" t="s">
        <v>422</v>
      </c>
      <c r="D62" s="466" t="s">
        <v>423</v>
      </c>
      <c r="E62" s="464" t="s">
        <v>424</v>
      </c>
      <c r="F62" s="478" t="s">
        <v>425</v>
      </c>
      <c r="G62" s="466" t="s">
        <v>426</v>
      </c>
      <c r="H62" s="470" t="s">
        <v>427</v>
      </c>
      <c r="I62" s="471"/>
      <c r="J62" s="472" t="s">
        <v>428</v>
      </c>
      <c r="K62" s="473"/>
    </row>
    <row r="63" spans="2:11" s="191" customFormat="1" x14ac:dyDescent="0.2">
      <c r="B63" s="192"/>
      <c r="C63" s="465"/>
      <c r="D63" s="467"/>
      <c r="E63" s="465"/>
      <c r="F63" s="479"/>
      <c r="G63" s="467"/>
      <c r="H63" s="190" t="s">
        <v>429</v>
      </c>
      <c r="I63" s="229" t="s">
        <v>430</v>
      </c>
      <c r="J63" s="190" t="s">
        <v>429</v>
      </c>
      <c r="K63" s="229" t="s">
        <v>430</v>
      </c>
    </row>
    <row r="64" spans="2:11" x14ac:dyDescent="0.2">
      <c r="B64" s="123" t="s">
        <v>77</v>
      </c>
      <c r="C64" s="189">
        <f>INDEX($F$79:$G$88,MATCH($B64,$B$79:$B$88,0),MATCH(C$62,$F$78:$G$78,0))</f>
        <v>0.63272870803208647</v>
      </c>
      <c r="D64" s="188">
        <f>INDEX($F$79:$G$88,MATCH($B64,$B$79:$B$88,0),MATCH(D$62,$F$78:$G$78,0))</f>
        <v>0.46072289980466274</v>
      </c>
      <c r="E64" s="189">
        <f t="shared" ref="E64:F73" si="1">F104</f>
        <v>0.18314255944919799</v>
      </c>
      <c r="F64" s="187">
        <f t="shared" si="1"/>
        <v>0.13677415009451602</v>
      </c>
      <c r="G64" s="188">
        <f t="shared" ref="G64:G73" si="2">G116</f>
        <v>0</v>
      </c>
      <c r="H64" s="189" t="str">
        <f>I137</f>
        <v xml:space="preserve"> - </v>
      </c>
      <c r="I64" s="188" t="str">
        <f>J137</f>
        <v xml:space="preserve"> - </v>
      </c>
      <c r="J64" s="189">
        <f>I149</f>
        <v>8.0740967867803048E-2</v>
      </c>
      <c r="K64" s="188">
        <f>J149</f>
        <v>5.6774477079848751E-3</v>
      </c>
    </row>
    <row r="65" spans="2:11" x14ac:dyDescent="0.2">
      <c r="B65" s="123" t="s">
        <v>79</v>
      </c>
      <c r="C65" s="189" t="str">
        <f t="shared" ref="C65:D73" si="3">INDEX($F$79:$G$88,MATCH($B65,$B$79:$B$88,0),MATCH(C$62,$F$78:$G$78,0))</f>
        <v xml:space="preserve"> -</v>
      </c>
      <c r="D65" s="188" t="str">
        <f t="shared" si="3"/>
        <v xml:space="preserve"> -</v>
      </c>
      <c r="E65" s="189" t="str">
        <f t="shared" si="1"/>
        <v xml:space="preserve"> - </v>
      </c>
      <c r="F65" s="187" t="str">
        <f t="shared" si="1"/>
        <v xml:space="preserve"> - </v>
      </c>
      <c r="G65" s="188" t="str">
        <f t="shared" si="2"/>
        <v xml:space="preserve"> - </v>
      </c>
      <c r="H65" s="189" t="str">
        <f t="shared" ref="H65:I73" si="4">I138</f>
        <v xml:space="preserve"> - </v>
      </c>
      <c r="I65" s="188" t="str">
        <f t="shared" si="4"/>
        <v xml:space="preserve"> - </v>
      </c>
      <c r="J65" s="189" t="str">
        <f t="shared" ref="J65:K73" si="5">I150</f>
        <v xml:space="preserve"> - </v>
      </c>
      <c r="K65" s="188" t="str">
        <f t="shared" si="5"/>
        <v xml:space="preserve"> - </v>
      </c>
    </row>
    <row r="66" spans="2:11" x14ac:dyDescent="0.2">
      <c r="B66" s="123" t="s">
        <v>80</v>
      </c>
      <c r="C66" s="189" t="str">
        <f t="shared" si="3"/>
        <v xml:space="preserve"> -</v>
      </c>
      <c r="D66" s="188" t="str">
        <f t="shared" si="3"/>
        <v xml:space="preserve"> -</v>
      </c>
      <c r="E66" s="189" t="str">
        <f t="shared" si="1"/>
        <v xml:space="preserve"> - </v>
      </c>
      <c r="F66" s="187" t="str">
        <f t="shared" si="1"/>
        <v xml:space="preserve"> - </v>
      </c>
      <c r="G66" s="188" t="str">
        <f t="shared" si="2"/>
        <v xml:space="preserve"> - </v>
      </c>
      <c r="H66" s="189" t="str">
        <f t="shared" si="4"/>
        <v xml:space="preserve"> - </v>
      </c>
      <c r="I66" s="188" t="str">
        <f t="shared" si="4"/>
        <v xml:space="preserve"> - </v>
      </c>
      <c r="J66" s="189" t="str">
        <f>I151</f>
        <v xml:space="preserve"> - </v>
      </c>
      <c r="K66" s="188" t="str">
        <f t="shared" si="5"/>
        <v xml:space="preserve"> - </v>
      </c>
    </row>
    <row r="67" spans="2:11" x14ac:dyDescent="0.2">
      <c r="B67" s="123" t="s">
        <v>81</v>
      </c>
      <c r="C67" s="189" t="str">
        <f t="shared" si="3"/>
        <v xml:space="preserve"> -</v>
      </c>
      <c r="D67" s="188" t="str">
        <f t="shared" si="3"/>
        <v xml:space="preserve"> -</v>
      </c>
      <c r="E67" s="189" t="str">
        <f t="shared" si="1"/>
        <v xml:space="preserve"> - </v>
      </c>
      <c r="F67" s="187" t="str">
        <f t="shared" si="1"/>
        <v xml:space="preserve"> - </v>
      </c>
      <c r="G67" s="188" t="str">
        <f t="shared" si="2"/>
        <v xml:space="preserve"> - </v>
      </c>
      <c r="H67" s="189" t="str">
        <f t="shared" si="4"/>
        <v xml:space="preserve"> - </v>
      </c>
      <c r="I67" s="188" t="str">
        <f t="shared" si="4"/>
        <v xml:space="preserve"> - </v>
      </c>
      <c r="J67" s="189" t="str">
        <f t="shared" si="5"/>
        <v xml:space="preserve"> - </v>
      </c>
      <c r="K67" s="188" t="str">
        <f t="shared" si="5"/>
        <v xml:space="preserve"> - </v>
      </c>
    </row>
    <row r="68" spans="2:11" x14ac:dyDescent="0.2">
      <c r="B68" s="204" t="s">
        <v>82</v>
      </c>
      <c r="C68" s="189" t="str">
        <f t="shared" si="3"/>
        <v xml:space="preserve"> -</v>
      </c>
      <c r="D68" s="188" t="str">
        <f t="shared" si="3"/>
        <v xml:space="preserve"> -</v>
      </c>
      <c r="E68" s="189" t="str">
        <f t="shared" si="1"/>
        <v xml:space="preserve"> - </v>
      </c>
      <c r="F68" s="187" t="str">
        <f t="shared" si="1"/>
        <v xml:space="preserve"> - </v>
      </c>
      <c r="G68" s="188" t="str">
        <f t="shared" si="2"/>
        <v xml:space="preserve"> - </v>
      </c>
      <c r="H68" s="189" t="str">
        <f t="shared" si="4"/>
        <v xml:space="preserve"> - </v>
      </c>
      <c r="I68" s="188" t="str">
        <f t="shared" si="4"/>
        <v xml:space="preserve"> - </v>
      </c>
      <c r="J68" s="189" t="str">
        <f t="shared" si="5"/>
        <v xml:space="preserve"> - </v>
      </c>
      <c r="K68" s="188" t="str">
        <f t="shared" si="5"/>
        <v xml:space="preserve"> - </v>
      </c>
    </row>
    <row r="69" spans="2:11" x14ac:dyDescent="0.2">
      <c r="B69" s="123" t="s">
        <v>83</v>
      </c>
      <c r="C69" s="189">
        <f t="shared" si="3"/>
        <v>0</v>
      </c>
      <c r="D69" s="188">
        <f t="shared" si="3"/>
        <v>0</v>
      </c>
      <c r="E69" s="189">
        <f t="shared" si="1"/>
        <v>0</v>
      </c>
      <c r="F69" s="187">
        <f t="shared" si="1"/>
        <v>0</v>
      </c>
      <c r="G69" s="188" t="str">
        <f t="shared" si="2"/>
        <v xml:space="preserve"> - </v>
      </c>
      <c r="H69" s="189" t="str">
        <f t="shared" si="4"/>
        <v xml:space="preserve"> - </v>
      </c>
      <c r="I69" s="188" t="str">
        <f>J142</f>
        <v xml:space="preserve"> - </v>
      </c>
      <c r="J69" s="189">
        <f t="shared" si="5"/>
        <v>0</v>
      </c>
      <c r="K69" s="188">
        <f t="shared" si="5"/>
        <v>0</v>
      </c>
    </row>
    <row r="70" spans="2:11" x14ac:dyDescent="0.2">
      <c r="B70" s="123" t="s">
        <v>84</v>
      </c>
      <c r="C70" s="189" t="str">
        <f t="shared" si="3"/>
        <v xml:space="preserve"> -</v>
      </c>
      <c r="D70" s="188" t="str">
        <f t="shared" si="3"/>
        <v xml:space="preserve"> -</v>
      </c>
      <c r="E70" s="189" t="str">
        <f t="shared" si="1"/>
        <v xml:space="preserve"> - </v>
      </c>
      <c r="F70" s="187" t="str">
        <f t="shared" si="1"/>
        <v xml:space="preserve"> - </v>
      </c>
      <c r="G70" s="188" t="str">
        <f t="shared" si="2"/>
        <v xml:space="preserve"> - </v>
      </c>
      <c r="H70" s="189" t="str">
        <f t="shared" si="4"/>
        <v xml:space="preserve"> - </v>
      </c>
      <c r="I70" s="188" t="str">
        <f t="shared" si="4"/>
        <v xml:space="preserve"> - </v>
      </c>
      <c r="J70" s="189" t="str">
        <f t="shared" si="5"/>
        <v xml:space="preserve"> - </v>
      </c>
      <c r="K70" s="188" t="str">
        <f>J155</f>
        <v xml:space="preserve"> - </v>
      </c>
    </row>
    <row r="71" spans="2:11" x14ac:dyDescent="0.2">
      <c r="B71" s="123" t="s">
        <v>85</v>
      </c>
      <c r="C71" s="189" t="str">
        <f t="shared" si="3"/>
        <v xml:space="preserve"> -</v>
      </c>
      <c r="D71" s="188" t="str">
        <f t="shared" si="3"/>
        <v xml:space="preserve"> -</v>
      </c>
      <c r="E71" s="189" t="str">
        <f t="shared" si="1"/>
        <v xml:space="preserve"> - </v>
      </c>
      <c r="F71" s="187" t="str">
        <f t="shared" si="1"/>
        <v xml:space="preserve"> - </v>
      </c>
      <c r="G71" s="188" t="str">
        <f t="shared" si="2"/>
        <v xml:space="preserve"> - </v>
      </c>
      <c r="H71" s="189" t="str">
        <f>I144</f>
        <v xml:space="preserve"> - </v>
      </c>
      <c r="I71" s="188" t="str">
        <f t="shared" si="4"/>
        <v xml:space="preserve"> - </v>
      </c>
      <c r="J71" s="189" t="str">
        <f t="shared" si="5"/>
        <v xml:space="preserve"> - </v>
      </c>
      <c r="K71" s="188" t="str">
        <f t="shared" si="5"/>
        <v xml:space="preserve"> - </v>
      </c>
    </row>
    <row r="72" spans="2:11" x14ac:dyDescent="0.2">
      <c r="B72" s="123" t="s">
        <v>87</v>
      </c>
      <c r="C72" s="189" t="str">
        <f t="shared" si="3"/>
        <v xml:space="preserve"> -</v>
      </c>
      <c r="D72" s="188" t="str">
        <f t="shared" si="3"/>
        <v xml:space="preserve"> -</v>
      </c>
      <c r="E72" s="189" t="str">
        <f t="shared" si="1"/>
        <v xml:space="preserve"> - </v>
      </c>
      <c r="F72" s="187" t="str">
        <f t="shared" si="1"/>
        <v xml:space="preserve"> - </v>
      </c>
      <c r="G72" s="188" t="str">
        <f t="shared" si="2"/>
        <v xml:space="preserve"> - </v>
      </c>
      <c r="H72" s="189" t="str">
        <f t="shared" si="4"/>
        <v xml:space="preserve"> - </v>
      </c>
      <c r="I72" s="188" t="str">
        <f t="shared" si="4"/>
        <v xml:space="preserve"> - </v>
      </c>
      <c r="J72" s="189" t="str">
        <f t="shared" si="5"/>
        <v xml:space="preserve"> - </v>
      </c>
      <c r="K72" s="188" t="str">
        <f t="shared" si="5"/>
        <v xml:space="preserve"> - </v>
      </c>
    </row>
    <row r="73" spans="2:11" ht="13.5" thickBot="1" x14ac:dyDescent="0.25">
      <c r="B73" s="123" t="s">
        <v>89</v>
      </c>
      <c r="C73" s="186">
        <f t="shared" si="3"/>
        <v>0.47866158957065758</v>
      </c>
      <c r="D73" s="185">
        <f t="shared" si="3"/>
        <v>0.3485385644315025</v>
      </c>
      <c r="E73" s="186">
        <f t="shared" si="1"/>
        <v>0.13854801830731264</v>
      </c>
      <c r="F73" s="184">
        <f t="shared" si="1"/>
        <v>0.10347014647088967</v>
      </c>
      <c r="G73" s="185">
        <f t="shared" si="2"/>
        <v>0</v>
      </c>
      <c r="H73" s="186" t="str">
        <f t="shared" si="4"/>
        <v xml:space="preserve"> - </v>
      </c>
      <c r="I73" s="185" t="str">
        <f t="shared" si="4"/>
        <v xml:space="preserve"> - </v>
      </c>
      <c r="J73" s="186">
        <f t="shared" si="5"/>
        <v>6.1080838489655079E-2</v>
      </c>
      <c r="K73" s="185">
        <f t="shared" si="5"/>
        <v>4.2950100257984755E-3</v>
      </c>
    </row>
    <row r="76" spans="2:11" ht="15.75" x14ac:dyDescent="0.25">
      <c r="B76" s="199" t="s">
        <v>431</v>
      </c>
    </row>
    <row r="77" spans="2:11" ht="15.75" x14ac:dyDescent="0.25">
      <c r="B77" s="193" t="s">
        <v>432</v>
      </c>
    </row>
    <row r="78" spans="2:11" s="181" customFormat="1" ht="24.75" customHeight="1" x14ac:dyDescent="0.2">
      <c r="B78" s="183" t="s">
        <v>433</v>
      </c>
      <c r="C78" s="182" t="s">
        <v>434</v>
      </c>
      <c r="D78" s="182" t="s">
        <v>435</v>
      </c>
      <c r="E78" s="182" t="s">
        <v>436</v>
      </c>
      <c r="F78" s="183" t="s">
        <v>422</v>
      </c>
      <c r="G78" s="183" t="s">
        <v>423</v>
      </c>
    </row>
    <row r="79" spans="2:11" x14ac:dyDescent="0.2">
      <c r="B79" s="123" t="s">
        <v>77</v>
      </c>
      <c r="C79" s="180">
        <f>ABS('2.1 Profit &amp; Loss by component'!$F$32*INDEX('2.2 Allocation to services'!$D$56:$D$65,MATCH('6. Pricing template'!B79,'2.2 Allocation to services'!$C$56:$C$65,0),1))+ABS('2.1 Profit &amp; Loss by component'!$F$43*INDEX('2.2 Allocation to services'!$D$80:$D$89,MATCH('6. Pricing template'!B79,'2.2 Allocation to services'!$C$80:$C$89,0),1))-ABS('2.1 Profit &amp; Loss by component'!$F$37+'2.1 Profit &amp; Loss by component'!$F$26)*INDEX('2.2 Allocation to services'!$D$68:$D$77,MATCH('6. Pricing template'!B79,'2.2 Allocation to services'!$C$68:$C$77,0),1)</f>
        <v>11451868.870986566</v>
      </c>
      <c r="D79" s="180">
        <f>ABS('2.1 Profit &amp; Loss by component'!$F$32*INDEX('2.2 Allocation to services'!$D$56:$D$65,MATCH('6. Pricing template'!B79,'2.2 Allocation to services'!$C$56:$C$65,0),1))-ABS('2.1 Profit &amp; Loss by component'!$F$26)*INDEX('2.2 Allocation to services'!$D$68:$D$77,MATCH('6. Pricing template'!B79,'2.2 Allocation to services'!$C$68:$C$77,0),1)</f>
        <v>8338705.3052066043</v>
      </c>
      <c r="E79" s="179">
        <f>INDEX('5. Historical demand'!$C$26:$C$35,MATCH('6. Pricing template'!B79,'5. Historical demand'!$B$26:$B$35,0),1)*(Yearending-Yearstart)</f>
        <v>18099.176986301416</v>
      </c>
      <c r="F79" s="178">
        <f>IFERROR(C79/(E79*1000)," -")</f>
        <v>0.63272870803208647</v>
      </c>
      <c r="G79" s="178">
        <f>IFERROR(D79/(E79*1000)," -")</f>
        <v>0.46072289980466274</v>
      </c>
    </row>
    <row r="80" spans="2:11" x14ac:dyDescent="0.2">
      <c r="B80" s="123" t="s">
        <v>79</v>
      </c>
      <c r="C80" s="180">
        <f>ABS('2.1 Profit &amp; Loss by component'!$F$32*INDEX('2.2 Allocation to services'!$D$56:$D$65,MATCH('6. Pricing template'!B80,'2.2 Allocation to services'!$C$56:$C$65,0),1))+ABS('2.1 Profit &amp; Loss by component'!$F$43*INDEX('2.2 Allocation to services'!$D$80:$D$89,MATCH('6. Pricing template'!B80,'2.2 Allocation to services'!$C$80:$C$89,0),1))-ABS('2.1 Profit &amp; Loss by component'!$F$37+'2.1 Profit &amp; Loss by component'!$F$26)*INDEX('2.2 Allocation to services'!$D$68:$D$77,MATCH('6. Pricing template'!B80,'2.2 Allocation to services'!$C$68:$C$77,0),1)</f>
        <v>0</v>
      </c>
      <c r="D80" s="180">
        <f>ABS('2.1 Profit &amp; Loss by component'!$F$32*INDEX('2.2 Allocation to services'!$D$56:$D$65,MATCH('6. Pricing template'!B80,'2.2 Allocation to services'!$C$56:$C$65,0),1))-ABS('2.1 Profit &amp; Loss by component'!$F$26)*INDEX('2.2 Allocation to services'!$D$68:$D$77,MATCH('6. Pricing template'!B80,'2.2 Allocation to services'!$C$68:$C$77,0),1)</f>
        <v>0</v>
      </c>
      <c r="E80" s="179">
        <f>INDEX('5. Historical demand'!$C$26:$C$35,MATCH('6. Pricing template'!B80,'5. Historical demand'!$B$26:$B$35,0),1)*(Yearending-Yearstart)</f>
        <v>0</v>
      </c>
      <c r="F80" s="178" t="str">
        <f t="shared" ref="F80:F88" si="6">IFERROR(C80/(E80*1000)," -")</f>
        <v xml:space="preserve"> -</v>
      </c>
      <c r="G80" s="178" t="str">
        <f t="shared" ref="G80:G88" si="7">IFERROR(D80/(E80*1000)," -")</f>
        <v xml:space="preserve"> -</v>
      </c>
    </row>
    <row r="81" spans="2:7" x14ac:dyDescent="0.2">
      <c r="B81" s="123" t="s">
        <v>80</v>
      </c>
      <c r="C81" s="180">
        <f>ABS('2.1 Profit &amp; Loss by component'!$F$32*INDEX('2.2 Allocation to services'!$D$56:$D$65,MATCH('6. Pricing template'!B81,'2.2 Allocation to services'!$C$56:$C$65,0),1))+ABS('2.1 Profit &amp; Loss by component'!$F$43*INDEX('2.2 Allocation to services'!$D$80:$D$89,MATCH('6. Pricing template'!B81,'2.2 Allocation to services'!$C$80:$C$89,0),1))-ABS('2.1 Profit &amp; Loss by component'!$F$37+'2.1 Profit &amp; Loss by component'!$F$26)*INDEX('2.2 Allocation to services'!$D$68:$D$77,MATCH('6. Pricing template'!B81,'2.2 Allocation to services'!$C$68:$C$77,0),1)</f>
        <v>7374214.6396924742</v>
      </c>
      <c r="D81" s="180">
        <f>ABS('2.1 Profit &amp; Loss by component'!$F$32*INDEX('2.2 Allocation to services'!$D$56:$D$65,MATCH('6. Pricing template'!B81,'2.2 Allocation to services'!$C$56:$C$65,0),1))-ABS('2.1 Profit &amp; Loss by component'!$F$26)*INDEX('2.2 Allocation to services'!$D$68:$D$77,MATCH('6. Pricing template'!B81,'2.2 Allocation to services'!$C$68:$C$77,0),1)</f>
        <v>5369551.7675307104</v>
      </c>
      <c r="E81" s="179">
        <f>INDEX('5. Historical demand'!$C$26:$C$35,MATCH('6. Pricing template'!B81,'5. Historical demand'!$B$26:$B$35,0),1)*(Yearending-Yearstart)</f>
        <v>0</v>
      </c>
      <c r="F81" s="178" t="str">
        <f t="shared" si="6"/>
        <v xml:space="preserve"> -</v>
      </c>
      <c r="G81" s="178" t="str">
        <f t="shared" si="7"/>
        <v xml:space="preserve"> -</v>
      </c>
    </row>
    <row r="82" spans="2:7" x14ac:dyDescent="0.2">
      <c r="B82" s="123" t="s">
        <v>81</v>
      </c>
      <c r="C82" s="180">
        <f>ABS('2.1 Profit &amp; Loss by component'!$F$32*INDEX('2.2 Allocation to services'!$D$56:$D$65,MATCH('6. Pricing template'!B82,'2.2 Allocation to services'!$C$56:$C$65,0),1))+ABS('2.1 Profit &amp; Loss by component'!$F$43*INDEX('2.2 Allocation to services'!$D$80:$D$89,MATCH('6. Pricing template'!B82,'2.2 Allocation to services'!$C$80:$C$89,0),1))-ABS('2.1 Profit &amp; Loss by component'!$F$37+'2.1 Profit &amp; Loss by component'!$F$26)*INDEX('2.2 Allocation to services'!$D$68:$D$77,MATCH('6. Pricing template'!B82,'2.2 Allocation to services'!$C$68:$C$77,0),1)</f>
        <v>0</v>
      </c>
      <c r="D82" s="180">
        <f>ABS('2.1 Profit &amp; Loss by component'!$F$32*INDEX('2.2 Allocation to services'!$D$56:$D$65,MATCH('6. Pricing template'!B82,'2.2 Allocation to services'!$C$56:$C$65,0),1))-ABS('2.1 Profit &amp; Loss by component'!$F$26)*INDEX('2.2 Allocation to services'!$D$68:$D$77,MATCH('6. Pricing template'!B82,'2.2 Allocation to services'!$C$68:$C$77,0),1)</f>
        <v>0</v>
      </c>
      <c r="E82" s="179">
        <f>INDEX('5. Historical demand'!$C$26:$C$35,MATCH('6. Pricing template'!B82,'5. Historical demand'!$B$26:$B$35,0),1)*(Yearending-Yearstart)</f>
        <v>0</v>
      </c>
      <c r="F82" s="178" t="str">
        <f t="shared" si="6"/>
        <v xml:space="preserve"> -</v>
      </c>
      <c r="G82" s="178" t="str">
        <f t="shared" si="7"/>
        <v xml:space="preserve"> -</v>
      </c>
    </row>
    <row r="83" spans="2:7" x14ac:dyDescent="0.2">
      <c r="B83" s="204" t="s">
        <v>82</v>
      </c>
      <c r="C83" s="180">
        <f>ABS('2.1 Profit &amp; Loss by component'!$F$32*INDEX('2.2 Allocation to services'!$D$56:$D$65,MATCH('6. Pricing template'!B83,'2.2 Allocation to services'!$C$56:$C$65,0),1))+ABS('2.1 Profit &amp; Loss by component'!$F$43*INDEX('2.2 Allocation to services'!$D$80:$D$89,MATCH('6. Pricing template'!B83,'2.2 Allocation to services'!$C$80:$C$89,0),1))-ABS('2.1 Profit &amp; Loss by component'!$F$37+'2.1 Profit &amp; Loss by component'!$F$26)*INDEX('2.2 Allocation to services'!$D$68:$D$77,MATCH('6. Pricing template'!B83,'2.2 Allocation to services'!$C$68:$C$77,0),1)</f>
        <v>0</v>
      </c>
      <c r="D83" s="180">
        <f>ABS('2.1 Profit &amp; Loss by component'!$F$32*INDEX('2.2 Allocation to services'!$D$56:$D$65,MATCH('6. Pricing template'!B83,'2.2 Allocation to services'!$C$56:$C$65,0),1))-ABS('2.1 Profit &amp; Loss by component'!$F$26)*INDEX('2.2 Allocation to services'!$D$68:$D$77,MATCH('6. Pricing template'!B83,'2.2 Allocation to services'!$C$68:$C$77,0),1)</f>
        <v>0</v>
      </c>
      <c r="E83" s="179">
        <f>INDEX('5. Historical demand'!$C$26:$C$35,MATCH('6. Pricing template'!B83,'5. Historical demand'!$B$26:$B$35,0),1)*(Yearending-Yearstart)</f>
        <v>0</v>
      </c>
      <c r="F83" s="178" t="str">
        <f t="shared" si="6"/>
        <v xml:space="preserve"> -</v>
      </c>
      <c r="G83" s="178" t="str">
        <f t="shared" si="7"/>
        <v xml:space="preserve"> -</v>
      </c>
    </row>
    <row r="84" spans="2:7" x14ac:dyDescent="0.2">
      <c r="B84" s="123" t="s">
        <v>83</v>
      </c>
      <c r="C84" s="180">
        <f>ABS('2.1 Profit &amp; Loss by component'!$F$32*INDEX('2.2 Allocation to services'!$D$56:$D$65,MATCH('6. Pricing template'!B84,'2.2 Allocation to services'!$C$56:$C$65,0),1))+ABS('2.1 Profit &amp; Loss by component'!$F$43*INDEX('2.2 Allocation to services'!$D$80:$D$89,MATCH('6. Pricing template'!B84,'2.2 Allocation to services'!$C$80:$C$89,0),1))-ABS('2.1 Profit &amp; Loss by component'!$F$37+'2.1 Profit &amp; Loss by component'!$F$26)*INDEX('2.2 Allocation to services'!$D$68:$D$77,MATCH('6. Pricing template'!B84,'2.2 Allocation to services'!$C$68:$C$77,0),1)</f>
        <v>0</v>
      </c>
      <c r="D84" s="180">
        <f>ABS('2.1 Profit &amp; Loss by component'!$F$32*INDEX('2.2 Allocation to services'!$D$56:$D$65,MATCH('6. Pricing template'!B84,'2.2 Allocation to services'!$C$56:$C$65,0),1))-ABS('2.1 Profit &amp; Loss by component'!$F$26)*INDEX('2.2 Allocation to services'!$D$68:$D$77,MATCH('6. Pricing template'!B84,'2.2 Allocation to services'!$C$68:$C$77,0),1)</f>
        <v>0</v>
      </c>
      <c r="E84" s="179">
        <f>INDEX('5. Historical demand'!$C$26:$C$35,MATCH('6. Pricing template'!B84,'5. Historical demand'!$B$26:$B$35,0),1)*(Yearending-Yearstart)</f>
        <v>1092</v>
      </c>
      <c r="F84" s="178">
        <f t="shared" si="6"/>
        <v>0</v>
      </c>
      <c r="G84" s="178">
        <f t="shared" si="7"/>
        <v>0</v>
      </c>
    </row>
    <row r="85" spans="2:7" x14ac:dyDescent="0.2">
      <c r="B85" s="123" t="s">
        <v>84</v>
      </c>
      <c r="C85" s="180">
        <f>ABS('2.1 Profit &amp; Loss by component'!$F$32*INDEX('2.2 Allocation to services'!$D$56:$D$65,MATCH('6. Pricing template'!B85,'2.2 Allocation to services'!$C$56:$C$65,0),1))+ABS('2.1 Profit &amp; Loss by component'!$F$43*INDEX('2.2 Allocation to services'!$D$80:$D$89,MATCH('6. Pricing template'!B85,'2.2 Allocation to services'!$C$80:$C$89,0),1))-ABS('2.1 Profit &amp; Loss by component'!$F$37+'2.1 Profit &amp; Loss by component'!$F$26)*INDEX('2.2 Allocation to services'!$D$68:$D$77,MATCH('6. Pricing template'!B85,'2.2 Allocation to services'!$C$68:$C$77,0),1)</f>
        <v>191291.94191791146</v>
      </c>
      <c r="D85" s="180">
        <f>ABS('2.1 Profit &amp; Loss by component'!$F$32*INDEX('2.2 Allocation to services'!$D$56:$D$65,MATCH('6. Pricing template'!B85,'2.2 Allocation to services'!$C$56:$C$65,0),1))-ABS('2.1 Profit &amp; Loss by component'!$F$26)*INDEX('2.2 Allocation to services'!$D$68:$D$77,MATCH('6. Pricing template'!B85,'2.2 Allocation to services'!$C$68:$C$77,0),1)</f>
        <v>139289.67829481821</v>
      </c>
      <c r="E85" s="179">
        <f>INDEX('5. Historical demand'!$C$26:$C$35,MATCH('6. Pricing template'!B85,'5. Historical demand'!$B$26:$B$35,0),1)*(Yearending-Yearstart)</f>
        <v>0</v>
      </c>
      <c r="F85" s="178" t="str">
        <f t="shared" si="6"/>
        <v xml:space="preserve"> -</v>
      </c>
      <c r="G85" s="178" t="str">
        <f t="shared" si="7"/>
        <v xml:space="preserve"> -</v>
      </c>
    </row>
    <row r="86" spans="2:7" x14ac:dyDescent="0.2">
      <c r="B86" s="123" t="s">
        <v>85</v>
      </c>
      <c r="C86" s="180">
        <f>ABS('2.1 Profit &amp; Loss by component'!$F$32*INDEX('2.2 Allocation to services'!$D$56:$D$65,MATCH('6. Pricing template'!B86,'2.2 Allocation to services'!$C$56:$C$65,0),1))+ABS('2.1 Profit &amp; Loss by component'!$F$43*INDEX('2.2 Allocation to services'!$D$80:$D$89,MATCH('6. Pricing template'!B86,'2.2 Allocation to services'!$C$80:$C$89,0),1))-ABS('2.1 Profit &amp; Loss by component'!$F$37+'2.1 Profit &amp; Loss by component'!$F$26)*INDEX('2.2 Allocation to services'!$D$68:$D$77,MATCH('6. Pricing template'!B86,'2.2 Allocation to services'!$C$68:$C$77,0),1)</f>
        <v>25288.236703257149</v>
      </c>
      <c r="D86" s="180">
        <f>ABS('2.1 Profit &amp; Loss by component'!$F$32*INDEX('2.2 Allocation to services'!$D$56:$D$65,MATCH('6. Pricing template'!B86,'2.2 Allocation to services'!$C$56:$C$65,0),1))-ABS('2.1 Profit &amp; Loss by component'!$F$26)*INDEX('2.2 Allocation to services'!$D$68:$D$77,MATCH('6. Pricing template'!B86,'2.2 Allocation to services'!$C$68:$C$77,0),1)</f>
        <v>18413.689148241567</v>
      </c>
      <c r="E86" s="179">
        <f>INDEX('5. Historical demand'!$C$26:$C$35,MATCH('6. Pricing template'!B86,'5. Historical demand'!$B$26:$B$35,0),1)*(Yearending-Yearstart)</f>
        <v>0</v>
      </c>
      <c r="F86" s="178" t="str">
        <f t="shared" si="6"/>
        <v xml:space="preserve"> -</v>
      </c>
      <c r="G86" s="178" t="str">
        <f t="shared" si="7"/>
        <v xml:space="preserve"> -</v>
      </c>
    </row>
    <row r="87" spans="2:7" x14ac:dyDescent="0.2">
      <c r="B87" s="123" t="s">
        <v>87</v>
      </c>
      <c r="C87" s="180">
        <f>ABS('2.1 Profit &amp; Loss by component'!$F$32*INDEX('2.2 Allocation to services'!$D$56:$D$65,MATCH('6. Pricing template'!B87,'2.2 Allocation to services'!$C$56:$C$65,0),1))+ABS('2.1 Profit &amp; Loss by component'!$F$43*INDEX('2.2 Allocation to services'!$D$80:$D$89,MATCH('6. Pricing template'!B87,'2.2 Allocation to services'!$C$80:$C$89,0),1))-ABS('2.1 Profit &amp; Loss by component'!$F$37+'2.1 Profit &amp; Loss by component'!$F$26)*INDEX('2.2 Allocation to services'!$D$68:$D$77,MATCH('6. Pricing template'!B87,'2.2 Allocation to services'!$C$68:$C$77,0),1)</f>
        <v>28952.673639318295</v>
      </c>
      <c r="D87" s="180">
        <f>ABS('2.1 Profit &amp; Loss by component'!$F$32*INDEX('2.2 Allocation to services'!$D$56:$D$65,MATCH('6. Pricing template'!B87,'2.2 Allocation to services'!$C$56:$C$65,0),1))-ABS('2.1 Profit &amp; Loss by component'!$F$26)*INDEX('2.2 Allocation to services'!$D$68:$D$77,MATCH('6. Pricing template'!B87,'2.2 Allocation to services'!$C$68:$C$77,0),1)</f>
        <v>21081.957538630126</v>
      </c>
      <c r="E87" s="179">
        <f>INDEX('5. Historical demand'!$C$26:$C$35,MATCH('6. Pricing template'!B87,'5. Historical demand'!$B$26:$B$35,0),1)*(Yearending-Yearstart)</f>
        <v>0</v>
      </c>
      <c r="F87" s="178" t="str">
        <f t="shared" si="6"/>
        <v xml:space="preserve"> -</v>
      </c>
      <c r="G87" s="178" t="str">
        <f t="shared" si="7"/>
        <v xml:space="preserve"> -</v>
      </c>
    </row>
    <row r="88" spans="2:7" x14ac:dyDescent="0.2">
      <c r="B88" s="123" t="s">
        <v>89</v>
      </c>
      <c r="C88" s="180">
        <f>ABS('2.1 Profit &amp; Loss by component'!$F$32*INDEX('2.2 Allocation to services'!$D$56:$D$65,MATCH('6. Pricing template'!B88,'2.2 Allocation to services'!$C$56:$C$65,0),1))+ABS('2.1 Profit &amp; Loss by component'!$F$43*INDEX('2.2 Allocation to services'!$D$80:$D$89,MATCH('6. Pricing template'!B88,'2.2 Allocation to services'!$C$80:$C$89,0),1))-ABS('2.1 Profit &amp; Loss by component'!$F$37+'2.1 Profit &amp; Loss by component'!$F$26)*INDEX('2.2 Allocation to services'!$D$68:$D$77,MATCH('6. Pricing template'!B88,'2.2 Allocation to services'!$C$68:$C$77,0),1)</f>
        <v>5453487.2222964168</v>
      </c>
      <c r="D88" s="180">
        <f>ABS('2.1 Profit &amp; Loss by component'!$F$32*INDEX('2.2 Allocation to services'!$D$56:$D$65,MATCH('6. Pricing template'!B88,'2.2 Allocation to services'!$C$56:$C$65,0),1))-ABS('2.1 Profit &amp; Loss by component'!$F$26)*INDEX('2.2 Allocation to services'!$D$68:$D$77,MATCH('6. Pricing template'!B88,'2.2 Allocation to services'!$C$68:$C$77,0),1)</f>
        <v>3970969.5722809946</v>
      </c>
      <c r="E88" s="179">
        <f>INDEX('5. Historical demand'!$C$26:$C$35,MATCH('6. Pricing template'!B88,'5. Historical demand'!$B$26:$B$35,0),1)*(Yearending-Yearstart)</f>
        <v>11393.200000000003</v>
      </c>
      <c r="F88" s="178">
        <f t="shared" si="6"/>
        <v>0.47866158957065758</v>
      </c>
      <c r="G88" s="178">
        <f t="shared" si="7"/>
        <v>0.3485385644315025</v>
      </c>
    </row>
    <row r="90" spans="2:7" ht="15.75" x14ac:dyDescent="0.25">
      <c r="B90" s="193" t="s">
        <v>359</v>
      </c>
    </row>
    <row r="91" spans="2:7" x14ac:dyDescent="0.2">
      <c r="B91" s="177" t="s">
        <v>437</v>
      </c>
      <c r="C91" s="198" t="s">
        <v>438</v>
      </c>
      <c r="D91" s="198" t="s">
        <v>439</v>
      </c>
      <c r="E91" s="198" t="s">
        <v>440</v>
      </c>
    </row>
    <row r="92" spans="2:7" x14ac:dyDescent="0.2">
      <c r="B92" s="123" t="s">
        <v>77</v>
      </c>
      <c r="C92" s="180">
        <f>IF(Cover!$C$23="Scheme pipeline",( '3.2 Regulatory Asset Base'!$H$95-'3.2 Regulatory Asset Base'!$H$94)*C21,('3.1 Depreciated Book Value'!$D$25+'3.1 Depreciated Book Value'!$D$33+'3.1 Depreciated Book Value'!$D$41+'3.1 Depreciated Book Value'!$D$49+'3.1 Depreciated Book Value'!$D$57+'3.1 Depreciated Book Value'!$D$65+'3.1 Depreciated Book Value'!$D$73+'3.1 Depreciated Book Value'!$D$88+'3.1 Depreciated Book Value'!$D$96)*C21)</f>
        <v>21926925.148394465</v>
      </c>
      <c r="D92" s="180">
        <f>ABS('2.1 Profit &amp; Loss by component'!$F$26)*INDEX('2.2 Allocation to services'!$D$68:$D$77,MATCH('6. Pricing template'!B79,'2.2 Allocation to services'!$C$68:$C$77,0),1)/(Yearending-Yearstart)*365</f>
        <v>2482300.3726503681</v>
      </c>
      <c r="E92" s="176">
        <f t="shared" ref="E92:E101" si="8">IFERROR(C92/D92," - ")</f>
        <v>8.8333085673201364</v>
      </c>
    </row>
    <row r="93" spans="2:7" x14ac:dyDescent="0.2">
      <c r="B93" s="123" t="s">
        <v>79</v>
      </c>
      <c r="C93" s="180">
        <f>IF(Cover!$C$23="Scheme pipeline",( '3.2 Regulatory Asset Base'!$H$95-'3.2 Regulatory Asset Base'!$H$94)*C22,('3.1 Depreciated Book Value'!$D$25+'3.1 Depreciated Book Value'!$D$33+'3.1 Depreciated Book Value'!$D$41+'3.1 Depreciated Book Value'!$D$49+'3.1 Depreciated Book Value'!$D$57+'3.1 Depreciated Book Value'!$D$65+'3.1 Depreciated Book Value'!$D$73+'3.1 Depreciated Book Value'!$D$88+'3.1 Depreciated Book Value'!$D$96)*C22)</f>
        <v>0</v>
      </c>
      <c r="D93" s="180">
        <f>ABS('2.1 Profit &amp; Loss by component'!$F$26)*INDEX('2.2 Allocation to services'!$D$68:$D$77,MATCH('6. Pricing template'!B80,'2.2 Allocation to services'!$C$68:$C$77,0),1)/(Yearending-Yearstart)*365</f>
        <v>0</v>
      </c>
      <c r="E93" s="176" t="str">
        <f t="shared" si="8"/>
        <v xml:space="preserve"> - </v>
      </c>
      <c r="G93" s="175"/>
    </row>
    <row r="94" spans="2:7" x14ac:dyDescent="0.2">
      <c r="B94" s="123" t="s">
        <v>80</v>
      </c>
      <c r="C94" s="180">
        <f>IF(Cover!$C$23="Scheme pipeline",( '3.2 Regulatory Asset Base'!$H$95-'3.2 Regulatory Asset Base'!$H$94)*C23,('3.1 Depreciated Book Value'!$D$25+'3.1 Depreciated Book Value'!$D$33+'3.1 Depreciated Book Value'!$D$41+'3.1 Depreciated Book Value'!$D$49+'3.1 Depreciated Book Value'!$D$57+'3.1 Depreciated Book Value'!$D$65+'3.1 Depreciated Book Value'!$D$73+'3.1 Depreciated Book Value'!$D$88+'3.1 Depreciated Book Value'!$D$96)*C23)</f>
        <v>14119429.261226056</v>
      </c>
      <c r="D94" s="180">
        <f>ABS('2.1 Profit &amp; Loss by component'!$F$26)*INDEX('2.2 Allocation to services'!$D$68:$D$77,MATCH('6. Pricing template'!B81,'2.2 Allocation to services'!$C$68:$C$77,0),1)/(Yearending-Yearstart)*365</f>
        <v>1598430.4356198472</v>
      </c>
      <c r="E94" s="176">
        <f t="shared" si="8"/>
        <v>8.8333085673201381</v>
      </c>
    </row>
    <row r="95" spans="2:7" x14ac:dyDescent="0.2">
      <c r="B95" s="123" t="s">
        <v>81</v>
      </c>
      <c r="C95" s="180">
        <f>IF(Cover!$C$23="Scheme pipeline",( '3.2 Regulatory Asset Base'!$H$95-'3.2 Regulatory Asset Base'!$H$94)*C24,('3.1 Depreciated Book Value'!$D$25+'3.1 Depreciated Book Value'!$D$33+'3.1 Depreciated Book Value'!$D$41+'3.1 Depreciated Book Value'!$D$49+'3.1 Depreciated Book Value'!$D$57+'3.1 Depreciated Book Value'!$D$65+'3.1 Depreciated Book Value'!$D$73+'3.1 Depreciated Book Value'!$D$88+'3.1 Depreciated Book Value'!$D$96)*C24)</f>
        <v>0</v>
      </c>
      <c r="D95" s="180">
        <f>ABS('2.1 Profit &amp; Loss by component'!$F$26)*INDEX('2.2 Allocation to services'!$D$68:$D$77,MATCH('6. Pricing template'!B82,'2.2 Allocation to services'!$C$68:$C$77,0),1)/(Yearending-Yearstart)*365</f>
        <v>0</v>
      </c>
      <c r="E95" s="176" t="str">
        <f t="shared" si="8"/>
        <v xml:space="preserve"> - </v>
      </c>
    </row>
    <row r="96" spans="2:7" x14ac:dyDescent="0.2">
      <c r="B96" s="204" t="s">
        <v>82</v>
      </c>
      <c r="C96" s="180">
        <f>IF(Cover!$C$23="Scheme pipeline",( '3.2 Regulatory Asset Base'!$H$95-'3.2 Regulatory Asset Base'!$H$94)*C25,('3.1 Depreciated Book Value'!$D$25+'3.1 Depreciated Book Value'!$D$33+'3.1 Depreciated Book Value'!$D$41+'3.1 Depreciated Book Value'!$D$49+'3.1 Depreciated Book Value'!$D$57+'3.1 Depreciated Book Value'!$D$65+'3.1 Depreciated Book Value'!$D$73+'3.1 Depreciated Book Value'!$D$88+'3.1 Depreciated Book Value'!$D$96)*C25)</f>
        <v>0</v>
      </c>
      <c r="D96" s="180">
        <f>ABS('2.1 Profit &amp; Loss by component'!$F$26)*INDEX('2.2 Allocation to services'!$D$68:$D$77,MATCH('6. Pricing template'!B83,'2.2 Allocation to services'!$C$68:$C$77,0),1)/(Yearending-Yearstart)*365</f>
        <v>0</v>
      </c>
      <c r="E96" s="176" t="str">
        <f t="shared" si="8"/>
        <v xml:space="preserve"> - </v>
      </c>
    </row>
    <row r="97" spans="2:7" x14ac:dyDescent="0.2">
      <c r="B97" s="123" t="s">
        <v>83</v>
      </c>
      <c r="C97" s="180">
        <f>IF(Cover!$C$23="Scheme pipeline",( '3.2 Regulatory Asset Base'!$H$95-'3.2 Regulatory Asset Base'!$H$94)*C26,('3.1 Depreciated Book Value'!$D$25+'3.1 Depreciated Book Value'!$D$33+'3.1 Depreciated Book Value'!$D$41+'3.1 Depreciated Book Value'!$D$49+'3.1 Depreciated Book Value'!$D$57+'3.1 Depreciated Book Value'!$D$65+'3.1 Depreciated Book Value'!$D$73+'3.1 Depreciated Book Value'!$D$88+'3.1 Depreciated Book Value'!$D$96)*C26)</f>
        <v>0</v>
      </c>
      <c r="D97" s="180">
        <f>ABS('2.1 Profit &amp; Loss by component'!$F$26)*INDEX('2.2 Allocation to services'!$D$68:$D$77,MATCH('6. Pricing template'!B84,'2.2 Allocation to services'!$C$68:$C$77,0),1)/(Yearending-Yearstart)*365</f>
        <v>0</v>
      </c>
      <c r="E97" s="176" t="str">
        <f t="shared" si="8"/>
        <v xml:space="preserve"> - </v>
      </c>
    </row>
    <row r="98" spans="2:7" x14ac:dyDescent="0.2">
      <c r="B98" s="123" t="s">
        <v>84</v>
      </c>
      <c r="C98" s="180">
        <f>IF(Cover!$C$23="Scheme pipeline",( '3.2 Regulatory Asset Base'!$H$95-'3.2 Regulatory Asset Base'!$H$94)*C27,('3.1 Depreciated Book Value'!$D$25+'3.1 Depreciated Book Value'!$D$33+'3.1 Depreciated Book Value'!$D$41+'3.1 Depreciated Book Value'!$D$49+'3.1 Depreciated Book Value'!$D$57+'3.1 Depreciated Book Value'!$D$65+'3.1 Depreciated Book Value'!$D$73+'3.1 Depreciated Book Value'!$D$88+'3.1 Depreciated Book Value'!$D$96)*C27)</f>
        <v>366267.21272994456</v>
      </c>
      <c r="D98" s="180">
        <f>ABS('2.1 Profit &amp; Loss by component'!$F$26)*INDEX('2.2 Allocation to services'!$D$68:$D$77,MATCH('6. Pricing template'!B85,'2.2 Allocation to services'!$C$68:$C$77,0),1)/(Yearending-Yearstart)*365</f>
        <v>41464.329015403491</v>
      </c>
      <c r="E98" s="176">
        <f t="shared" si="8"/>
        <v>8.8333085673201364</v>
      </c>
    </row>
    <row r="99" spans="2:7" x14ac:dyDescent="0.2">
      <c r="B99" s="123" t="s">
        <v>85</v>
      </c>
      <c r="C99" s="180">
        <f>IF(Cover!$C$23="Scheme pipeline",( '3.2 Regulatory Asset Base'!$H$95-'3.2 Regulatory Asset Base'!$H$94)*C28,('3.1 Depreciated Book Value'!$D$25+'3.1 Depreciated Book Value'!$D$33+'3.1 Depreciated Book Value'!$D$41+'3.1 Depreciated Book Value'!$D$49+'3.1 Depreciated Book Value'!$D$57+'3.1 Depreciated Book Value'!$D$65+'3.1 Depreciated Book Value'!$D$73+'3.1 Depreciated Book Value'!$D$88+'3.1 Depreciated Book Value'!$D$96)*C28)</f>
        <v>48419.457083726811</v>
      </c>
      <c r="D99" s="180">
        <f>ABS('2.1 Profit &amp; Loss by component'!$F$26)*INDEX('2.2 Allocation to services'!$D$68:$D$77,MATCH('6. Pricing template'!B86,'2.2 Allocation to services'!$C$68:$C$77,0),1)/(Yearending-Yearstart)*365</f>
        <v>5481.4633401192714</v>
      </c>
      <c r="E99" s="176">
        <f t="shared" si="8"/>
        <v>8.8333085673201364</v>
      </c>
    </row>
    <row r="100" spans="2:7" x14ac:dyDescent="0.2">
      <c r="B100" s="123" t="s">
        <v>87</v>
      </c>
      <c r="C100" s="180">
        <f>IF(Cover!$C$23="Scheme pipeline",( '3.2 Regulatory Asset Base'!$H$95-'3.2 Regulatory Asset Base'!$H$94)*C29,('3.1 Depreciated Book Value'!$D$25+'3.1 Depreciated Book Value'!$D$33+'3.1 Depreciated Book Value'!$D$41+'3.1 Depreciated Book Value'!$D$49+'3.1 Depreciated Book Value'!$D$57+'3.1 Depreciated Book Value'!$D$65+'3.1 Depreciated Book Value'!$D$73+'3.1 Depreciated Book Value'!$D$88+'3.1 Depreciated Book Value'!$D$96)*C29)</f>
        <v>55435.764667512733</v>
      </c>
      <c r="D100" s="180">
        <f>ABS('2.1 Profit &amp; Loss by component'!$F$26)*INDEX('2.2 Allocation to services'!$D$68:$D$77,MATCH('6. Pricing template'!B87,'2.2 Allocation to services'!$C$68:$C$77,0),1)/(Yearending-Yearstart)*365</f>
        <v>6275.7645388505789</v>
      </c>
      <c r="E100" s="176">
        <f t="shared" si="8"/>
        <v>8.8333085673201381</v>
      </c>
    </row>
    <row r="101" spans="2:7" x14ac:dyDescent="0.2">
      <c r="B101" s="123" t="s">
        <v>89</v>
      </c>
      <c r="C101" s="180">
        <f>IF(Cover!$C$23="Scheme pipeline",( '3.2 Regulatory Asset Base'!$H$95-'3.2 Regulatory Asset Base'!$H$94)*C30,('3.1 Depreciated Book Value'!$D$25+'3.1 Depreciated Book Value'!$D$33+'3.1 Depreciated Book Value'!$D$41+'3.1 Depreciated Book Value'!$D$49+'3.1 Depreciated Book Value'!$D$57+'3.1 Depreciated Book Value'!$D$65+'3.1 Depreciated Book Value'!$D$73+'3.1 Depreciated Book Value'!$D$88+'3.1 Depreciated Book Value'!$D$96)*C30)</f>
        <v>10441807.138044681</v>
      </c>
      <c r="D101" s="180">
        <f>ABS('2.1 Profit &amp; Loss by component'!$F$26)*INDEX('2.2 Allocation to services'!$D$68:$D$77,MATCH('6. Pricing template'!B88,'2.2 Allocation to services'!$C$68:$C$77,0),1)/(Yearending-Yearstart)*365</f>
        <v>1182094.6883566792</v>
      </c>
      <c r="E101" s="176">
        <f t="shared" si="8"/>
        <v>8.8333085673201364</v>
      </c>
    </row>
    <row r="103" spans="2:7" s="181" customFormat="1" ht="27" customHeight="1" x14ac:dyDescent="0.2">
      <c r="B103" s="174" t="s">
        <v>441</v>
      </c>
      <c r="C103" s="182" t="s">
        <v>442</v>
      </c>
      <c r="D103" s="182" t="s">
        <v>443</v>
      </c>
      <c r="E103" s="182" t="s">
        <v>436</v>
      </c>
      <c r="F103" s="183" t="s">
        <v>424</v>
      </c>
      <c r="G103" s="210" t="s">
        <v>425</v>
      </c>
    </row>
    <row r="104" spans="2:7" x14ac:dyDescent="0.2">
      <c r="B104" s="123" t="s">
        <v>77</v>
      </c>
      <c r="C104" s="180">
        <f>ABS('2.1 Profit &amp; Loss by component'!$F$26+'2.1 Profit &amp; Loss by component'!$F$37)*INDEX('2.2 Allocation to services'!$D$68:$D$77,MATCH(B104,'2.2 Allocation to services'!$C$68:$C$77,0),1)</f>
        <v>3314729.597195263</v>
      </c>
      <c r="D104" s="180">
        <f>ABS('2.1 Profit &amp; Loss by component'!$F$26*INDEX('2.2 Allocation to services'!$D$68:$D$77,MATCH(B104,'2.2 Allocation to services'!$C$68:$C$77,0),1))</f>
        <v>2475499.5497115999</v>
      </c>
      <c r="E104" s="179">
        <f>INDEX('5. Historical demand'!$C$26:$C$35,MATCH(B104,'5. Historical demand'!$B$26:$B$35,0),1)*(Yearending-Yearstart)</f>
        <v>18099.176986301416</v>
      </c>
      <c r="F104" s="211">
        <f>IFERROR(C104/(E104*1000)," - ")</f>
        <v>0.18314255944919799</v>
      </c>
      <c r="G104" s="211">
        <f>IFERROR(D104/(E104*1000)," - ")</f>
        <v>0.13677415009451602</v>
      </c>
    </row>
    <row r="105" spans="2:7" x14ac:dyDescent="0.2">
      <c r="B105" s="123" t="s">
        <v>79</v>
      </c>
      <c r="C105" s="180">
        <f>ABS('2.1 Profit &amp; Loss by component'!$F$26+'2.1 Profit &amp; Loss by component'!$F$37)*INDEX('2.2 Allocation to services'!$D$68:$D$77,MATCH(B105,'2.2 Allocation to services'!$C$68:$C$77,0),1)</f>
        <v>0</v>
      </c>
      <c r="D105" s="180">
        <f>ABS('2.1 Profit &amp; Loss by component'!$F$26*INDEX('2.2 Allocation to services'!$D$68:$D$77,MATCH(B105,'2.2 Allocation to services'!$C$68:$C$77,0),1))</f>
        <v>0</v>
      </c>
      <c r="E105" s="179">
        <f>INDEX('5. Historical demand'!$C$26:$C$35,MATCH(B105,'5. Historical demand'!$B$26:$B$35,0),1)*(Yearending-Yearstart)</f>
        <v>0</v>
      </c>
      <c r="F105" s="211" t="str">
        <f t="shared" ref="F105:F113" si="9">IFERROR(C105/(E105*1000)," - ")</f>
        <v xml:space="preserve"> - </v>
      </c>
      <c r="G105" s="211" t="str">
        <f t="shared" ref="G105:G113" si="10">IFERROR(D105/(E105*1000)," - ")</f>
        <v xml:space="preserve"> - </v>
      </c>
    </row>
    <row r="106" spans="2:7" x14ac:dyDescent="0.2">
      <c r="B106" s="123" t="s">
        <v>80</v>
      </c>
      <c r="C106" s="180">
        <f>ABS('2.1 Profit &amp; Loss by component'!$F$26+'2.1 Profit &amp; Loss by component'!$F$37)*INDEX('2.2 Allocation to services'!$D$68:$D$77,MATCH(B106,'2.2 Allocation to services'!$C$68:$C$77,0),1)</f>
        <v>2134457.5106153362</v>
      </c>
      <c r="D106" s="180">
        <f>ABS('2.1 Profit &amp; Loss by component'!$F$26*INDEX('2.2 Allocation to services'!$D$68:$D$77,MATCH(B106,'2.2 Allocation to services'!$C$68:$C$77,0),1))</f>
        <v>1594051.1741523957</v>
      </c>
      <c r="E106" s="179">
        <f>INDEX('5. Historical demand'!$C$26:$C$35,MATCH(B106,'5. Historical demand'!$B$26:$B$35,0),1)*(Yearending-Yearstart)</f>
        <v>0</v>
      </c>
      <c r="F106" s="211" t="str">
        <f t="shared" si="9"/>
        <v xml:space="preserve"> - </v>
      </c>
      <c r="G106" s="211" t="str">
        <f t="shared" si="10"/>
        <v xml:space="preserve"> - </v>
      </c>
    </row>
    <row r="107" spans="2:7" x14ac:dyDescent="0.2">
      <c r="B107" s="123" t="s">
        <v>81</v>
      </c>
      <c r="C107" s="180">
        <f>ABS('2.1 Profit &amp; Loss by component'!$F$26+'2.1 Profit &amp; Loss by component'!$F$37)*INDEX('2.2 Allocation to services'!$D$68:$D$77,MATCH(B107,'2.2 Allocation to services'!$C$68:$C$77,0),1)</f>
        <v>0</v>
      </c>
      <c r="D107" s="180">
        <f>ABS('2.1 Profit &amp; Loss by component'!$F$26*INDEX('2.2 Allocation to services'!$D$68:$D$77,MATCH(B107,'2.2 Allocation to services'!$C$68:$C$77,0),1))</f>
        <v>0</v>
      </c>
      <c r="E107" s="179">
        <f>INDEX('5. Historical demand'!$C$26:$C$35,MATCH(B107,'5. Historical demand'!$B$26:$B$35,0),1)*(Yearending-Yearstart)</f>
        <v>0</v>
      </c>
      <c r="F107" s="211" t="str">
        <f t="shared" si="9"/>
        <v xml:space="preserve"> - </v>
      </c>
      <c r="G107" s="211" t="str">
        <f t="shared" si="10"/>
        <v xml:space="preserve"> - </v>
      </c>
    </row>
    <row r="108" spans="2:7" x14ac:dyDescent="0.2">
      <c r="B108" s="204" t="s">
        <v>82</v>
      </c>
      <c r="C108" s="180">
        <f>ABS('2.1 Profit &amp; Loss by component'!$F$26+'2.1 Profit &amp; Loss by component'!$F$37)*INDEX('2.2 Allocation to services'!$D$68:$D$77,MATCH(B108,'2.2 Allocation to services'!$C$68:$C$77,0),1)</f>
        <v>0</v>
      </c>
      <c r="D108" s="180">
        <f>ABS('2.1 Profit &amp; Loss by component'!$F$26*INDEX('2.2 Allocation to services'!$D$68:$D$77,MATCH(B108,'2.2 Allocation to services'!$C$68:$C$77,0),1))</f>
        <v>0</v>
      </c>
      <c r="E108" s="179">
        <f>INDEX('5. Historical demand'!$C$26:$C$35,MATCH(B108,'5. Historical demand'!$B$26:$B$35,0),1)*(Yearending-Yearstart)</f>
        <v>0</v>
      </c>
      <c r="F108" s="211" t="str">
        <f t="shared" si="9"/>
        <v xml:space="preserve"> - </v>
      </c>
      <c r="G108" s="211" t="str">
        <f t="shared" si="10"/>
        <v xml:space="preserve"> - </v>
      </c>
    </row>
    <row r="109" spans="2:7" x14ac:dyDescent="0.2">
      <c r="B109" s="123" t="s">
        <v>83</v>
      </c>
      <c r="C109" s="180">
        <f>ABS('2.1 Profit &amp; Loss by component'!$F$26+'2.1 Profit &amp; Loss by component'!$F$37)*INDEX('2.2 Allocation to services'!$D$68:$D$77,MATCH(B109,'2.2 Allocation to services'!$C$68:$C$77,0),1)</f>
        <v>0</v>
      </c>
      <c r="D109" s="180">
        <f>ABS('2.1 Profit &amp; Loss by component'!$F$26*INDEX('2.2 Allocation to services'!$D$68:$D$77,MATCH(B109,'2.2 Allocation to services'!$C$68:$C$77,0),1))</f>
        <v>0</v>
      </c>
      <c r="E109" s="179">
        <f>INDEX('5. Historical demand'!$C$26:$C$35,MATCH(B109,'5. Historical demand'!$B$26:$B$35,0),1)*(Yearending-Yearstart)</f>
        <v>1092</v>
      </c>
      <c r="F109" s="211">
        <f t="shared" si="9"/>
        <v>0</v>
      </c>
      <c r="G109" s="211">
        <f t="shared" si="10"/>
        <v>0</v>
      </c>
    </row>
    <row r="110" spans="2:7" x14ac:dyDescent="0.2">
      <c r="B110" s="123" t="s">
        <v>84</v>
      </c>
      <c r="C110" s="180">
        <f>ABS('2.1 Profit &amp; Loss by component'!$F$26+'2.1 Profit &amp; Loss by component'!$F$37)*INDEX('2.2 Allocation to services'!$D$68:$D$77,MATCH(B110,'2.2 Allocation to services'!$C$68:$C$77,0),1)</f>
        <v>55369.22127939394</v>
      </c>
      <c r="D110" s="180">
        <f>ABS('2.1 Profit &amp; Loss by component'!$F$26*INDEX('2.2 Allocation to services'!$D$68:$D$77,MATCH(B110,'2.2 Allocation to services'!$C$68:$C$77,0),1))</f>
        <v>41350.728113991427</v>
      </c>
      <c r="E110" s="179">
        <f>INDEX('5. Historical demand'!$C$26:$C$35,MATCH(B110,'5. Historical demand'!$B$26:$B$35,0),1)*(Yearending-Yearstart)</f>
        <v>0</v>
      </c>
      <c r="F110" s="211" t="str">
        <f t="shared" si="9"/>
        <v xml:space="preserve"> - </v>
      </c>
      <c r="G110" s="211" t="str">
        <f t="shared" si="10"/>
        <v xml:space="preserve"> - </v>
      </c>
    </row>
    <row r="111" spans="2:7" x14ac:dyDescent="0.2">
      <c r="B111" s="123" t="s">
        <v>85</v>
      </c>
      <c r="C111" s="180">
        <f>ABS('2.1 Profit &amp; Loss by component'!$F$26+'2.1 Profit &amp; Loss by component'!$F$37)*INDEX('2.2 Allocation to services'!$D$68:$D$77,MATCH(B111,'2.2 Allocation to services'!$C$68:$C$77,0),1)</f>
        <v>7319.6495354163726</v>
      </c>
      <c r="D111" s="180">
        <f>ABS('2.1 Profit &amp; Loss by component'!$F$26*INDEX('2.2 Allocation to services'!$D$68:$D$77,MATCH(B111,'2.2 Allocation to services'!$C$68:$C$77,0),1))</f>
        <v>5466.4456323381228</v>
      </c>
      <c r="E111" s="179">
        <f>INDEX('5. Historical demand'!$C$26:$C$35,MATCH(B111,'5. Historical demand'!$B$26:$B$35,0),1)*(Yearending-Yearstart)</f>
        <v>0</v>
      </c>
      <c r="F111" s="211" t="str">
        <f t="shared" si="9"/>
        <v xml:space="preserve"> - </v>
      </c>
      <c r="G111" s="211" t="str">
        <f t="shared" si="10"/>
        <v xml:space="preserve"> - </v>
      </c>
    </row>
    <row r="112" spans="2:7" x14ac:dyDescent="0.2">
      <c r="B112" s="123" t="s">
        <v>87</v>
      </c>
      <c r="C112" s="180">
        <f>ABS('2.1 Profit &amp; Loss by component'!$F$26+'2.1 Profit &amp; Loss by component'!$F$37)*INDEX('2.2 Allocation to services'!$D$68:$D$77,MATCH(B112,'2.2 Allocation to services'!$C$68:$C$77,0),1)</f>
        <v>8380.3163755503028</v>
      </c>
      <c r="D112" s="180">
        <f>ABS('2.1 Profit &amp; Loss by component'!$F$26*INDEX('2.2 Allocation to services'!$D$68:$D$77,MATCH(B112,'2.2 Allocation to services'!$C$68:$C$77,0),1))</f>
        <v>6258.5706634016742</v>
      </c>
      <c r="E112" s="179">
        <f>INDEX('5. Historical demand'!$C$26:$C$35,MATCH(B112,'5. Historical demand'!$B$26:$B$35,0),1)*(Yearending-Yearstart)</f>
        <v>0</v>
      </c>
      <c r="F112" s="211" t="str">
        <f t="shared" si="9"/>
        <v xml:space="preserve"> - </v>
      </c>
      <c r="G112" s="211" t="str">
        <f t="shared" si="10"/>
        <v xml:space="preserve"> - </v>
      </c>
    </row>
    <row r="113" spans="2:7" x14ac:dyDescent="0.2">
      <c r="B113" s="123" t="s">
        <v>89</v>
      </c>
      <c r="C113" s="180">
        <f>ABS('2.1 Profit &amp; Loss by component'!$F$26+'2.1 Profit &amp; Loss by component'!$F$37)*INDEX('2.2 Allocation to services'!$D$68:$D$77,MATCH(B113,'2.2 Allocation to services'!$C$68:$C$77,0),1)</f>
        <v>1578505.2821788746</v>
      </c>
      <c r="D113" s="180">
        <f>ABS('2.1 Profit &amp; Loss by component'!$F$26*INDEX('2.2 Allocation to services'!$D$68:$D$77,MATCH(B113,'2.2 Allocation to services'!$C$68:$C$77,0),1))</f>
        <v>1178856.0727721404</v>
      </c>
      <c r="E113" s="179">
        <f>INDEX('5. Historical demand'!$C$26:$C$35,MATCH(B113,'5. Historical demand'!$B$26:$B$35,0),1)*(Yearending-Yearstart)</f>
        <v>11393.200000000003</v>
      </c>
      <c r="F113" s="211">
        <f t="shared" si="9"/>
        <v>0.13854801830731264</v>
      </c>
      <c r="G113" s="211">
        <f t="shared" si="10"/>
        <v>0.10347014647088967</v>
      </c>
    </row>
    <row r="114" spans="2:7" ht="15.75" x14ac:dyDescent="0.25">
      <c r="B114" s="199"/>
    </row>
    <row r="115" spans="2:7" s="181" customFormat="1" ht="24.75" customHeight="1" x14ac:dyDescent="0.2">
      <c r="B115" s="174" t="s">
        <v>444</v>
      </c>
      <c r="C115" s="212" t="s">
        <v>445</v>
      </c>
      <c r="D115" s="212" t="s">
        <v>440</v>
      </c>
      <c r="E115" s="212" t="s">
        <v>446</v>
      </c>
      <c r="F115" s="182" t="s">
        <v>436</v>
      </c>
      <c r="G115" s="210" t="s">
        <v>426</v>
      </c>
    </row>
    <row r="116" spans="2:7" x14ac:dyDescent="0.2">
      <c r="B116" s="123" t="s">
        <v>77</v>
      </c>
      <c r="C116" s="121">
        <f>'4. Recovered Capital'!$E$37*C21</f>
        <v>0</v>
      </c>
      <c r="D116" s="176">
        <f>E92</f>
        <v>8.8333085673201364</v>
      </c>
      <c r="E116" s="121">
        <f t="shared" ref="E116:E125" si="11">IFERROR(C116/D116, " - ")</f>
        <v>0</v>
      </c>
      <c r="F116" s="179">
        <f>INDEX('5. Historical demand'!$C$26:$C$35,MATCH(B116,'5. Historical demand'!$B$26:$B$35,0),1)*(Yearending-Yearstart)</f>
        <v>18099.176986301416</v>
      </c>
      <c r="G116" s="211">
        <f>IFERROR(E116/(E104*1000), " - ")</f>
        <v>0</v>
      </c>
    </row>
    <row r="117" spans="2:7" x14ac:dyDescent="0.2">
      <c r="B117" s="123" t="s">
        <v>79</v>
      </c>
      <c r="C117" s="121">
        <f>'4. Recovered Capital'!$E$37*C22</f>
        <v>0</v>
      </c>
      <c r="D117" s="176" t="str">
        <f t="shared" ref="D117:D125" si="12">E93</f>
        <v xml:space="preserve"> - </v>
      </c>
      <c r="E117" s="121" t="str">
        <f t="shared" si="11"/>
        <v xml:space="preserve"> - </v>
      </c>
      <c r="F117" s="179">
        <f>INDEX('5. Historical demand'!$C$26:$C$35,MATCH(B117,'5. Historical demand'!$B$26:$B$35,0),1)*(Yearending-Yearstart)</f>
        <v>0</v>
      </c>
      <c r="G117" s="211" t="str">
        <f t="shared" ref="G117:G125" si="13">IFERROR(E117/(E105*1000), " - ")</f>
        <v xml:space="preserve"> - </v>
      </c>
    </row>
    <row r="118" spans="2:7" x14ac:dyDescent="0.2">
      <c r="B118" s="123" t="s">
        <v>80</v>
      </c>
      <c r="C118" s="121">
        <f>'4. Recovered Capital'!$E$37*C23</f>
        <v>0</v>
      </c>
      <c r="D118" s="176">
        <f t="shared" si="12"/>
        <v>8.8333085673201381</v>
      </c>
      <c r="E118" s="121">
        <f t="shared" si="11"/>
        <v>0</v>
      </c>
      <c r="F118" s="179">
        <f>INDEX('5. Historical demand'!$C$26:$C$35,MATCH(B118,'5. Historical demand'!$B$26:$B$35,0),1)*(Yearending-Yearstart)</f>
        <v>0</v>
      </c>
      <c r="G118" s="211" t="str">
        <f t="shared" si="13"/>
        <v xml:space="preserve"> - </v>
      </c>
    </row>
    <row r="119" spans="2:7" x14ac:dyDescent="0.2">
      <c r="B119" s="123" t="s">
        <v>81</v>
      </c>
      <c r="C119" s="121">
        <f>'4. Recovered Capital'!$E$37*C24</f>
        <v>0</v>
      </c>
      <c r="D119" s="176" t="str">
        <f t="shared" si="12"/>
        <v xml:space="preserve"> - </v>
      </c>
      <c r="E119" s="121" t="str">
        <f t="shared" si="11"/>
        <v xml:space="preserve"> - </v>
      </c>
      <c r="F119" s="179">
        <f>INDEX('5. Historical demand'!$C$26:$C$35,MATCH(B119,'5. Historical demand'!$B$26:$B$35,0),1)*(Yearending-Yearstart)</f>
        <v>0</v>
      </c>
      <c r="G119" s="211" t="str">
        <f t="shared" si="13"/>
        <v xml:space="preserve"> - </v>
      </c>
    </row>
    <row r="120" spans="2:7" x14ac:dyDescent="0.2">
      <c r="B120" s="204" t="s">
        <v>82</v>
      </c>
      <c r="C120" s="121">
        <f>'4. Recovered Capital'!$E$37*C25</f>
        <v>0</v>
      </c>
      <c r="D120" s="176" t="str">
        <f t="shared" si="12"/>
        <v xml:space="preserve"> - </v>
      </c>
      <c r="E120" s="121" t="str">
        <f t="shared" si="11"/>
        <v xml:space="preserve"> - </v>
      </c>
      <c r="F120" s="179">
        <f>INDEX('5. Historical demand'!$C$26:$C$35,MATCH(B120,'5. Historical demand'!$B$26:$B$35,0),1)*(Yearending-Yearstart)</f>
        <v>0</v>
      </c>
      <c r="G120" s="211" t="str">
        <f t="shared" si="13"/>
        <v xml:space="preserve"> - </v>
      </c>
    </row>
    <row r="121" spans="2:7" x14ac:dyDescent="0.2">
      <c r="B121" s="123" t="s">
        <v>83</v>
      </c>
      <c r="C121" s="121">
        <f>'4. Recovered Capital'!$E$37*C26</f>
        <v>0</v>
      </c>
      <c r="D121" s="176" t="str">
        <f t="shared" si="12"/>
        <v xml:space="preserve"> - </v>
      </c>
      <c r="E121" s="121" t="str">
        <f t="shared" si="11"/>
        <v xml:space="preserve"> - </v>
      </c>
      <c r="F121" s="179">
        <f>INDEX('5. Historical demand'!$C$26:$C$35,MATCH(B121,'5. Historical demand'!$B$26:$B$35,0),1)*(Yearending-Yearstart)</f>
        <v>1092</v>
      </c>
      <c r="G121" s="211" t="str">
        <f t="shared" si="13"/>
        <v xml:space="preserve"> - </v>
      </c>
    </row>
    <row r="122" spans="2:7" x14ac:dyDescent="0.2">
      <c r="B122" s="123" t="s">
        <v>84</v>
      </c>
      <c r="C122" s="121">
        <f>'4. Recovered Capital'!$E$37*C27</f>
        <v>0</v>
      </c>
      <c r="D122" s="176">
        <f t="shared" si="12"/>
        <v>8.8333085673201364</v>
      </c>
      <c r="E122" s="121">
        <f t="shared" si="11"/>
        <v>0</v>
      </c>
      <c r="F122" s="179">
        <f>INDEX('5. Historical demand'!$C$26:$C$35,MATCH(B122,'5. Historical demand'!$B$26:$B$35,0),1)*(Yearending-Yearstart)</f>
        <v>0</v>
      </c>
      <c r="G122" s="211" t="str">
        <f t="shared" si="13"/>
        <v xml:space="preserve"> - </v>
      </c>
    </row>
    <row r="123" spans="2:7" x14ac:dyDescent="0.2">
      <c r="B123" s="123" t="s">
        <v>85</v>
      </c>
      <c r="C123" s="121">
        <f>'4. Recovered Capital'!$E$37*C28</f>
        <v>0</v>
      </c>
      <c r="D123" s="176">
        <f t="shared" si="12"/>
        <v>8.8333085673201364</v>
      </c>
      <c r="E123" s="121">
        <f t="shared" si="11"/>
        <v>0</v>
      </c>
      <c r="F123" s="179">
        <f>INDEX('5. Historical demand'!$C$26:$C$35,MATCH(B123,'5. Historical demand'!$B$26:$B$35,0),1)*(Yearending-Yearstart)</f>
        <v>0</v>
      </c>
      <c r="G123" s="211" t="str">
        <f t="shared" si="13"/>
        <v xml:space="preserve"> - </v>
      </c>
    </row>
    <row r="124" spans="2:7" x14ac:dyDescent="0.2">
      <c r="B124" s="123" t="s">
        <v>87</v>
      </c>
      <c r="C124" s="121">
        <f>'4. Recovered Capital'!$E$37*C29</f>
        <v>0</v>
      </c>
      <c r="D124" s="176">
        <f t="shared" si="12"/>
        <v>8.8333085673201381</v>
      </c>
      <c r="E124" s="121">
        <f t="shared" si="11"/>
        <v>0</v>
      </c>
      <c r="F124" s="179">
        <f>INDEX('5. Historical demand'!$C$26:$C$35,MATCH(B124,'5. Historical demand'!$B$26:$B$35,0),1)*(Yearending-Yearstart)</f>
        <v>0</v>
      </c>
      <c r="G124" s="211" t="str">
        <f t="shared" si="13"/>
        <v xml:space="preserve"> - </v>
      </c>
    </row>
    <row r="125" spans="2:7" x14ac:dyDescent="0.2">
      <c r="B125" s="123" t="s">
        <v>89</v>
      </c>
      <c r="C125" s="121">
        <f>'4. Recovered Capital'!$E$37*C30</f>
        <v>0</v>
      </c>
      <c r="D125" s="176">
        <f t="shared" si="12"/>
        <v>8.8333085673201364</v>
      </c>
      <c r="E125" s="121">
        <f t="shared" si="11"/>
        <v>0</v>
      </c>
      <c r="F125" s="179">
        <f>INDEX('5. Historical demand'!$C$26:$C$35,MATCH(B125,'5. Historical demand'!$B$26:$B$35,0),1)*(Yearending-Yearstart)</f>
        <v>11393.200000000003</v>
      </c>
      <c r="G125" s="211">
        <f t="shared" si="13"/>
        <v>0</v>
      </c>
    </row>
    <row r="127" spans="2:7" ht="15.75" x14ac:dyDescent="0.25">
      <c r="B127" s="193" t="s">
        <v>447</v>
      </c>
    </row>
    <row r="128" spans="2:7" x14ac:dyDescent="0.2">
      <c r="B128" s="177" t="s">
        <v>448</v>
      </c>
      <c r="C128" s="177"/>
    </row>
    <row r="129" spans="2:10" x14ac:dyDescent="0.2">
      <c r="B129" s="177" t="s">
        <v>449</v>
      </c>
      <c r="C129" s="213" t="str">
        <f>IF(IFERROR(INDEX('4. Recovered Capital'!F39:BH39,1,MATCH(VALUE(RIGHT(TEXT(Yearending,"dd/mm/yyyy"),4)),'4. Recovered Capital'!$F$12:$BH$12,0)),)=0," - ",IFERROR(INDEX('4. Recovered Capital'!F39:BH39,1,MATCH(VALUE(RIGHT(TEXT(Yearending,"dd/mm/yyyy"),4)),'4. Recovered Capital'!$F$12:$BH$12,0)),))</f>
        <v xml:space="preserve"> - </v>
      </c>
    </row>
    <row r="130" spans="2:10" x14ac:dyDescent="0.2">
      <c r="B130" s="177" t="s">
        <v>450</v>
      </c>
      <c r="C130" s="213" t="str">
        <f>IFERROR((C129-E21*E22)/(1-E22), " - ")</f>
        <v xml:space="preserve"> - </v>
      </c>
    </row>
    <row r="131" spans="2:10" x14ac:dyDescent="0.2">
      <c r="B131" s="177" t="s">
        <v>451</v>
      </c>
      <c r="C131" s="213" t="str">
        <f>IFERROR(C130/(1-E23*(1-E24))," - ")</f>
        <v xml:space="preserve"> - </v>
      </c>
    </row>
    <row r="132" spans="2:10" x14ac:dyDescent="0.2">
      <c r="B132" s="177" t="s">
        <v>452</v>
      </c>
      <c r="C132" s="213" t="str">
        <f>IFERROR(C131-C130," - ")</f>
        <v xml:space="preserve"> - </v>
      </c>
    </row>
    <row r="133" spans="2:10" x14ac:dyDescent="0.2">
      <c r="B133" s="177" t="s">
        <v>453</v>
      </c>
      <c r="C133" s="213" t="str">
        <f>IFERROR(C132*(1-E22)," - ")</f>
        <v xml:space="preserve"> - </v>
      </c>
    </row>
    <row r="134" spans="2:10" x14ac:dyDescent="0.2">
      <c r="B134" s="177" t="s">
        <v>454</v>
      </c>
      <c r="C134" s="213" t="str">
        <f>IFERROR(C129+C133," - ")</f>
        <v xml:space="preserve"> - </v>
      </c>
    </row>
    <row r="136" spans="2:10" s="287" customFormat="1" ht="26.25" customHeight="1" x14ac:dyDescent="0.2">
      <c r="B136" s="285" t="s">
        <v>455</v>
      </c>
      <c r="C136" s="182" t="s">
        <v>456</v>
      </c>
      <c r="D136" s="212" t="s">
        <v>449</v>
      </c>
      <c r="E136" s="212" t="s">
        <v>453</v>
      </c>
      <c r="F136" s="212" t="s">
        <v>363</v>
      </c>
      <c r="G136" s="212" t="s">
        <v>457</v>
      </c>
      <c r="H136" s="182" t="s">
        <v>436</v>
      </c>
      <c r="I136" s="286" t="s">
        <v>429</v>
      </c>
      <c r="J136" s="286" t="s">
        <v>430</v>
      </c>
    </row>
    <row r="137" spans="2:10" x14ac:dyDescent="0.2">
      <c r="B137" s="123" t="s">
        <v>77</v>
      </c>
      <c r="C137" s="121">
        <f>IF(Cover!$C$23="Scheme pipeline",'3.2 Regulatory Asset Base'!$H$78*'6. Pricing template'!C21,C92+'3.1 Depreciated Book Value'!$D$80*'6. Pricing template'!C21)</f>
        <v>21942118.130400039</v>
      </c>
      <c r="D137" s="213" t="str">
        <f t="shared" ref="D137:D146" si="14">$C$129</f>
        <v xml:space="preserve"> - </v>
      </c>
      <c r="E137" s="213" t="str">
        <f t="shared" ref="E137:E146" si="15">$C$133</f>
        <v xml:space="preserve"> - </v>
      </c>
      <c r="F137" s="121" t="str">
        <f t="shared" ref="F137:F146" si="16">IFERROR(C137*D137, " -")</f>
        <v xml:space="preserve"> -</v>
      </c>
      <c r="G137" s="121" t="str">
        <f t="shared" ref="G137:G146" si="17">IFERROR(C137*E137, " -")</f>
        <v xml:space="preserve"> -</v>
      </c>
      <c r="H137" s="179">
        <f>INDEX('5. Historical demand'!$C$26:$C$35,MATCH(B137,'5. Historical demand'!$B$26:$B$35,0),1)*(Yearending-Yearstart)</f>
        <v>18099.176986301416</v>
      </c>
      <c r="I137" s="211" t="str">
        <f>IFERROR(F137/(H137*1000)," - ")</f>
        <v xml:space="preserve"> - </v>
      </c>
      <c r="J137" s="211" t="str">
        <f>IFERROR(G137/(H137*1000)," - ")</f>
        <v xml:space="preserve"> - </v>
      </c>
    </row>
    <row r="138" spans="2:10" x14ac:dyDescent="0.2">
      <c r="B138" s="123" t="s">
        <v>79</v>
      </c>
      <c r="C138" s="121">
        <f>IF(Cover!$C$23="Scheme pipeline",'3.2 Regulatory Asset Base'!$H$78*'6. Pricing template'!C22,C93+'3.1 Depreciated Book Value'!$D$80*'6. Pricing template'!C22)</f>
        <v>0</v>
      </c>
      <c r="D138" s="213" t="str">
        <f t="shared" si="14"/>
        <v xml:space="preserve"> - </v>
      </c>
      <c r="E138" s="213" t="str">
        <f t="shared" si="15"/>
        <v xml:space="preserve"> - </v>
      </c>
      <c r="F138" s="121" t="str">
        <f t="shared" si="16"/>
        <v xml:space="preserve"> -</v>
      </c>
      <c r="G138" s="121" t="str">
        <f t="shared" si="17"/>
        <v xml:space="preserve"> -</v>
      </c>
      <c r="H138" s="179">
        <f>INDEX('5. Historical demand'!$C$26:$C$35,MATCH(B138,'5. Historical demand'!$B$26:$B$35,0),1)*(Yearending-Yearstart)</f>
        <v>0</v>
      </c>
      <c r="I138" s="211" t="str">
        <f t="shared" ref="I138:I146" si="18">IFERROR(F138/(H138*1000)," - ")</f>
        <v xml:space="preserve"> - </v>
      </c>
      <c r="J138" s="211" t="str">
        <f t="shared" ref="J138:J146" si="19">IFERROR(G138/(H138*1000)," - ")</f>
        <v xml:space="preserve"> - </v>
      </c>
    </row>
    <row r="139" spans="2:10" x14ac:dyDescent="0.2">
      <c r="B139" s="123" t="s">
        <v>80</v>
      </c>
      <c r="C139" s="121">
        <f>IF(Cover!$C$23="Scheme pipeline",'3.2 Regulatory Asset Base'!$H$78*'6. Pricing template'!C23,C94+'3.1 Depreciated Book Value'!$D$80*'6. Pricing template'!C23)</f>
        <v>14129212.495001106</v>
      </c>
      <c r="D139" s="213" t="str">
        <f t="shared" si="14"/>
        <v xml:space="preserve"> - </v>
      </c>
      <c r="E139" s="213" t="str">
        <f t="shared" si="15"/>
        <v xml:space="preserve"> - </v>
      </c>
      <c r="F139" s="121" t="str">
        <f t="shared" si="16"/>
        <v xml:space="preserve"> -</v>
      </c>
      <c r="G139" s="121" t="str">
        <f t="shared" si="17"/>
        <v xml:space="preserve"> -</v>
      </c>
      <c r="H139" s="179">
        <f>INDEX('5. Historical demand'!$C$26:$C$35,MATCH(B139,'5. Historical demand'!$B$26:$B$35,0),1)*(Yearending-Yearstart)</f>
        <v>0</v>
      </c>
      <c r="I139" s="211" t="str">
        <f t="shared" si="18"/>
        <v xml:space="preserve"> - </v>
      </c>
      <c r="J139" s="211" t="str">
        <f t="shared" si="19"/>
        <v xml:space="preserve"> - </v>
      </c>
    </row>
    <row r="140" spans="2:10" x14ac:dyDescent="0.2">
      <c r="B140" s="123" t="s">
        <v>81</v>
      </c>
      <c r="C140" s="121">
        <f>IF(Cover!$C$23="Scheme pipeline",'3.2 Regulatory Asset Base'!$H$78*'6. Pricing template'!C24,C95+'3.1 Depreciated Book Value'!$D$80*'6. Pricing template'!C24)</f>
        <v>0</v>
      </c>
      <c r="D140" s="213" t="str">
        <f t="shared" si="14"/>
        <v xml:space="preserve"> - </v>
      </c>
      <c r="E140" s="213" t="str">
        <f t="shared" si="15"/>
        <v xml:space="preserve"> - </v>
      </c>
      <c r="F140" s="121" t="str">
        <f t="shared" si="16"/>
        <v xml:space="preserve"> -</v>
      </c>
      <c r="G140" s="121" t="str">
        <f t="shared" si="17"/>
        <v xml:space="preserve"> -</v>
      </c>
      <c r="H140" s="179">
        <f>INDEX('5. Historical demand'!$C$26:$C$35,MATCH(B140,'5. Historical demand'!$B$26:$B$35,0),1)*(Yearending-Yearstart)</f>
        <v>0</v>
      </c>
      <c r="I140" s="211" t="str">
        <f t="shared" si="18"/>
        <v xml:space="preserve"> - </v>
      </c>
      <c r="J140" s="211" t="str">
        <f t="shared" si="19"/>
        <v xml:space="preserve"> - </v>
      </c>
    </row>
    <row r="141" spans="2:10" x14ac:dyDescent="0.2">
      <c r="B141" s="204" t="s">
        <v>82</v>
      </c>
      <c r="C141" s="121">
        <f>IF(Cover!$C$23="Scheme pipeline",'3.2 Regulatory Asset Base'!$H$78*'6. Pricing template'!C25,C96+'3.1 Depreciated Book Value'!$D$80*'6. Pricing template'!C25)</f>
        <v>0</v>
      </c>
      <c r="D141" s="213" t="str">
        <f t="shared" si="14"/>
        <v xml:space="preserve"> - </v>
      </c>
      <c r="E141" s="213" t="str">
        <f t="shared" si="15"/>
        <v xml:space="preserve"> - </v>
      </c>
      <c r="F141" s="121" t="str">
        <f t="shared" si="16"/>
        <v xml:space="preserve"> -</v>
      </c>
      <c r="G141" s="121" t="str">
        <f t="shared" si="17"/>
        <v xml:space="preserve"> -</v>
      </c>
      <c r="H141" s="179">
        <f>INDEX('5. Historical demand'!$C$26:$C$35,MATCH(B141,'5. Historical demand'!$B$26:$B$35,0),1)*(Yearending-Yearstart)</f>
        <v>0</v>
      </c>
      <c r="I141" s="211" t="str">
        <f t="shared" si="18"/>
        <v xml:space="preserve"> - </v>
      </c>
      <c r="J141" s="211" t="str">
        <f t="shared" si="19"/>
        <v xml:space="preserve"> - </v>
      </c>
    </row>
    <row r="142" spans="2:10" x14ac:dyDescent="0.2">
      <c r="B142" s="123" t="s">
        <v>83</v>
      </c>
      <c r="C142" s="121">
        <f>IF(Cover!$C$23="Scheme pipeline",'3.2 Regulatory Asset Base'!$H$78*'6. Pricing template'!C26,C97+'3.1 Depreciated Book Value'!$D$80*'6. Pricing template'!C26)</f>
        <v>0</v>
      </c>
      <c r="D142" s="213" t="str">
        <f t="shared" si="14"/>
        <v xml:space="preserve"> - </v>
      </c>
      <c r="E142" s="213" t="str">
        <f t="shared" si="15"/>
        <v xml:space="preserve"> - </v>
      </c>
      <c r="F142" s="121" t="str">
        <f t="shared" si="16"/>
        <v xml:space="preserve"> -</v>
      </c>
      <c r="G142" s="121" t="str">
        <f t="shared" si="17"/>
        <v xml:space="preserve"> -</v>
      </c>
      <c r="H142" s="179">
        <f>INDEX('5. Historical demand'!$C$26:$C$35,MATCH(B142,'5. Historical demand'!$B$26:$B$35,0),1)*(Yearending-Yearstart)</f>
        <v>1092</v>
      </c>
      <c r="I142" s="211" t="str">
        <f t="shared" si="18"/>
        <v xml:space="preserve"> - </v>
      </c>
      <c r="J142" s="211" t="str">
        <f t="shared" si="19"/>
        <v xml:space="preserve"> - </v>
      </c>
    </row>
    <row r="143" spans="2:10" x14ac:dyDescent="0.2">
      <c r="B143" s="123" t="s">
        <v>84</v>
      </c>
      <c r="C143" s="121">
        <f>IF(Cover!$C$23="Scheme pipeline",'3.2 Regulatory Asset Base'!$H$78*'6. Pricing template'!C27,C98+'3.1 Depreciated Book Value'!$D$80*'6. Pricing template'!C27)</f>
        <v>366520.99620093178</v>
      </c>
      <c r="D143" s="213" t="str">
        <f t="shared" si="14"/>
        <v xml:space="preserve"> - </v>
      </c>
      <c r="E143" s="213" t="str">
        <f t="shared" si="15"/>
        <v xml:space="preserve"> - </v>
      </c>
      <c r="F143" s="121" t="str">
        <f t="shared" si="16"/>
        <v xml:space="preserve"> -</v>
      </c>
      <c r="G143" s="121" t="str">
        <f t="shared" si="17"/>
        <v xml:space="preserve"> -</v>
      </c>
      <c r="H143" s="179">
        <f>INDEX('5. Historical demand'!$C$26:$C$35,MATCH(B143,'5. Historical demand'!$B$26:$B$35,0),1)*(Yearending-Yearstart)</f>
        <v>0</v>
      </c>
      <c r="I143" s="211" t="str">
        <f t="shared" si="18"/>
        <v xml:space="preserve"> - </v>
      </c>
      <c r="J143" s="211" t="str">
        <f t="shared" si="19"/>
        <v xml:space="preserve"> - </v>
      </c>
    </row>
    <row r="144" spans="2:10" x14ac:dyDescent="0.2">
      <c r="B144" s="123" t="s">
        <v>85</v>
      </c>
      <c r="C144" s="121">
        <f>IF(Cover!$C$23="Scheme pipeline",'3.2 Regulatory Asset Base'!$H$78*'6. Pricing template'!C28,C99+'3.1 Depreciated Book Value'!$D$80*'6. Pricing template'!C28)</f>
        <v>48453.006518278809</v>
      </c>
      <c r="D144" s="213" t="str">
        <f t="shared" si="14"/>
        <v xml:space="preserve"> - </v>
      </c>
      <c r="E144" s="213" t="str">
        <f t="shared" si="15"/>
        <v xml:space="preserve"> - </v>
      </c>
      <c r="F144" s="121" t="str">
        <f t="shared" si="16"/>
        <v xml:space="preserve"> -</v>
      </c>
      <c r="G144" s="121" t="str">
        <f t="shared" si="17"/>
        <v xml:space="preserve"> -</v>
      </c>
      <c r="H144" s="179">
        <f>INDEX('5. Historical demand'!$C$26:$C$35,MATCH(B144,'5. Historical demand'!$B$26:$B$35,0),1)*(Yearending-Yearstart)</f>
        <v>0</v>
      </c>
      <c r="I144" s="211" t="str">
        <f t="shared" si="18"/>
        <v xml:space="preserve"> - </v>
      </c>
      <c r="J144" s="211" t="str">
        <f t="shared" si="19"/>
        <v xml:space="preserve"> - </v>
      </c>
    </row>
    <row r="145" spans="2:10" x14ac:dyDescent="0.2">
      <c r="B145" s="123" t="s">
        <v>87</v>
      </c>
      <c r="C145" s="121">
        <f>IF(Cover!$C$23="Scheme pipeline",'3.2 Regulatory Asset Base'!$H$78*'6. Pricing template'!C29,C100+'3.1 Depreciated Book Value'!$D$80*'6. Pricing template'!C29)</f>
        <v>55474.175642574613</v>
      </c>
      <c r="D145" s="213" t="str">
        <f t="shared" si="14"/>
        <v xml:space="preserve"> - </v>
      </c>
      <c r="E145" s="213" t="str">
        <f t="shared" si="15"/>
        <v xml:space="preserve"> - </v>
      </c>
      <c r="F145" s="121" t="str">
        <f t="shared" si="16"/>
        <v xml:space="preserve"> -</v>
      </c>
      <c r="G145" s="121" t="str">
        <f t="shared" si="17"/>
        <v xml:space="preserve"> -</v>
      </c>
      <c r="H145" s="179">
        <f>INDEX('5. Historical demand'!$C$26:$C$35,MATCH(B145,'5. Historical demand'!$B$26:$B$35,0),1)*(Yearending-Yearstart)</f>
        <v>0</v>
      </c>
      <c r="I145" s="211" t="str">
        <f t="shared" si="18"/>
        <v xml:space="preserve"> - </v>
      </c>
      <c r="J145" s="211" t="str">
        <f t="shared" si="19"/>
        <v xml:space="preserve"> - </v>
      </c>
    </row>
    <row r="146" spans="2:10" x14ac:dyDescent="0.2">
      <c r="B146" s="123" t="s">
        <v>89</v>
      </c>
      <c r="C146" s="121">
        <f>IF(Cover!$C$23="Scheme pipeline",'3.2 Regulatory Asset Base'!$H$78*'6. Pricing template'!C30,C101+'3.1 Depreciated Book Value'!$D$80*'6. Pricing template'!C30)</f>
        <v>10449042.178383458</v>
      </c>
      <c r="D146" s="213" t="str">
        <f t="shared" si="14"/>
        <v xml:space="preserve"> - </v>
      </c>
      <c r="E146" s="213" t="str">
        <f t="shared" si="15"/>
        <v xml:space="preserve"> - </v>
      </c>
      <c r="F146" s="121" t="str">
        <f t="shared" si="16"/>
        <v xml:space="preserve"> -</v>
      </c>
      <c r="G146" s="121" t="str">
        <f t="shared" si="17"/>
        <v xml:space="preserve"> -</v>
      </c>
      <c r="H146" s="179">
        <f>INDEX('5. Historical demand'!$C$26:$C$35,MATCH(B146,'5. Historical demand'!$B$26:$B$35,0),1)*(Yearending-Yearstart)</f>
        <v>11393.200000000003</v>
      </c>
      <c r="I146" s="211" t="str">
        <f t="shared" si="18"/>
        <v xml:space="preserve"> - </v>
      </c>
      <c r="J146" s="211" t="str">
        <f t="shared" si="19"/>
        <v xml:space="preserve"> - </v>
      </c>
    </row>
    <row r="148" spans="2:10" s="287" customFormat="1" ht="25.5" customHeight="1" x14ac:dyDescent="0.2">
      <c r="B148" s="285" t="s">
        <v>458</v>
      </c>
      <c r="C148" s="182" t="s">
        <v>456</v>
      </c>
      <c r="D148" s="212" t="s">
        <v>412</v>
      </c>
      <c r="E148" s="212" t="s">
        <v>453</v>
      </c>
      <c r="F148" s="212" t="s">
        <v>363</v>
      </c>
      <c r="G148" s="212" t="s">
        <v>457</v>
      </c>
      <c r="H148" s="182" t="s">
        <v>436</v>
      </c>
      <c r="I148" s="286" t="s">
        <v>429</v>
      </c>
      <c r="J148" s="286" t="s">
        <v>430</v>
      </c>
    </row>
    <row r="149" spans="2:10" x14ac:dyDescent="0.2">
      <c r="B149" s="123" t="s">
        <v>77</v>
      </c>
      <c r="C149" s="121">
        <f>IF(Cover!$C$23="Scheme pipeline",'3.2 Regulatory Asset Base'!$H$78*'6. Pricing template'!C21,C92+'3.1 Depreciated Book Value'!$D$80*'6. Pricing template'!C21)</f>
        <v>21942118.130400039</v>
      </c>
      <c r="D149" s="213">
        <f t="shared" ref="D149:D158" si="20">IF($E$25=0," - ",$E$25)</f>
        <v>6.6600000000000006E-2</v>
      </c>
      <c r="E149" s="213">
        <f t="shared" ref="E149:E158" si="21">IFERROR((($E$25-$E$21*$E$22)/(1-$E$22)/(1-$E$23*(1-$E$24))-($E$25-$E$21*$E$22)/(1-$E$22))*(1-$E$22)," - ")</f>
        <v>4.6830998851894404E-3</v>
      </c>
      <c r="F149" s="121">
        <f t="shared" ref="F149:F158" si="22">IFERROR(C149*D149, " -")</f>
        <v>1461345.0674846428</v>
      </c>
      <c r="G149" s="121">
        <f t="shared" ref="G149:G158" si="23">IFERROR(C149*E149, " -")</f>
        <v>102757.13089728956</v>
      </c>
      <c r="H149" s="179">
        <f>INDEX('5. Historical demand'!$C$26:$C$35,MATCH(B149,'5. Historical demand'!$B$26:$B$35,0),1)*(Yearending-Yearstart)</f>
        <v>18099.176986301416</v>
      </c>
      <c r="I149" s="211">
        <f>IFERROR(F149/(H149*1000)," - ")</f>
        <v>8.0740967867803048E-2</v>
      </c>
      <c r="J149" s="211">
        <f>IFERROR(G149/(H149*1000)," - ")</f>
        <v>5.6774477079848751E-3</v>
      </c>
    </row>
    <row r="150" spans="2:10" x14ac:dyDescent="0.2">
      <c r="B150" s="123" t="s">
        <v>79</v>
      </c>
      <c r="C150" s="121">
        <f>IF(Cover!$C$23="Scheme pipeline",'3.2 Regulatory Asset Base'!$H$78*'6. Pricing template'!C22,C93+'3.1 Depreciated Book Value'!$D$80*'6. Pricing template'!C22)</f>
        <v>0</v>
      </c>
      <c r="D150" s="213">
        <f t="shared" si="20"/>
        <v>6.6600000000000006E-2</v>
      </c>
      <c r="E150" s="213">
        <f t="shared" si="21"/>
        <v>4.6830998851894404E-3</v>
      </c>
      <c r="F150" s="121">
        <f t="shared" si="22"/>
        <v>0</v>
      </c>
      <c r="G150" s="121">
        <f t="shared" si="23"/>
        <v>0</v>
      </c>
      <c r="H150" s="179">
        <f>INDEX('5. Historical demand'!$C$26:$C$35,MATCH(B150,'5. Historical demand'!$B$26:$B$35,0),1)*(Yearending-Yearstart)</f>
        <v>0</v>
      </c>
      <c r="I150" s="211" t="str">
        <f t="shared" ref="I150:I158" si="24">IFERROR(F150/(H150*1000)," - ")</f>
        <v xml:space="preserve"> - </v>
      </c>
      <c r="J150" s="211" t="str">
        <f t="shared" ref="J150:J158" si="25">IFERROR(G150/(H150*1000)," - ")</f>
        <v xml:space="preserve"> - </v>
      </c>
    </row>
    <row r="151" spans="2:10" x14ac:dyDescent="0.2">
      <c r="B151" s="123" t="s">
        <v>80</v>
      </c>
      <c r="C151" s="121">
        <f>IF(Cover!$C$23="Scheme pipeline",'3.2 Regulatory Asset Base'!$H$78*'6. Pricing template'!C23,C94+'3.1 Depreciated Book Value'!$D$80*'6. Pricing template'!C23)</f>
        <v>14129212.495001106</v>
      </c>
      <c r="D151" s="213">
        <f t="shared" si="20"/>
        <v>6.6600000000000006E-2</v>
      </c>
      <c r="E151" s="213">
        <f t="shared" si="21"/>
        <v>4.6830998851894404E-3</v>
      </c>
      <c r="F151" s="121">
        <f t="shared" si="22"/>
        <v>941005.55216707371</v>
      </c>
      <c r="G151" s="121">
        <f t="shared" si="23"/>
        <v>66168.513413156892</v>
      </c>
      <c r="H151" s="179">
        <f>INDEX('5. Historical demand'!$C$26:$C$35,MATCH(B151,'5. Historical demand'!$B$26:$B$35,0),1)*(Yearending-Yearstart)</f>
        <v>0</v>
      </c>
      <c r="I151" s="211" t="str">
        <f t="shared" si="24"/>
        <v xml:space="preserve"> - </v>
      </c>
      <c r="J151" s="211" t="str">
        <f t="shared" si="25"/>
        <v xml:space="preserve"> - </v>
      </c>
    </row>
    <row r="152" spans="2:10" x14ac:dyDescent="0.2">
      <c r="B152" s="123" t="s">
        <v>81</v>
      </c>
      <c r="C152" s="121">
        <f>IF(Cover!$C$23="Scheme pipeline",'3.2 Regulatory Asset Base'!$H$78*'6. Pricing template'!C24,C95+'3.1 Depreciated Book Value'!$D$80*'6. Pricing template'!C24)</f>
        <v>0</v>
      </c>
      <c r="D152" s="213">
        <f t="shared" si="20"/>
        <v>6.6600000000000006E-2</v>
      </c>
      <c r="E152" s="213">
        <f t="shared" si="21"/>
        <v>4.6830998851894404E-3</v>
      </c>
      <c r="F152" s="121">
        <f t="shared" si="22"/>
        <v>0</v>
      </c>
      <c r="G152" s="121">
        <f t="shared" si="23"/>
        <v>0</v>
      </c>
      <c r="H152" s="179">
        <f>INDEX('5. Historical demand'!$C$26:$C$35,MATCH(B152,'5. Historical demand'!$B$26:$B$35,0),1)*(Yearending-Yearstart)</f>
        <v>0</v>
      </c>
      <c r="I152" s="211" t="str">
        <f t="shared" si="24"/>
        <v xml:space="preserve"> - </v>
      </c>
      <c r="J152" s="211" t="str">
        <f t="shared" si="25"/>
        <v xml:space="preserve"> - </v>
      </c>
    </row>
    <row r="153" spans="2:10" x14ac:dyDescent="0.2">
      <c r="B153" s="204" t="s">
        <v>82</v>
      </c>
      <c r="C153" s="121">
        <f>IF(Cover!$C$23="Scheme pipeline",'3.2 Regulatory Asset Base'!$H$78*'6. Pricing template'!C25,C96+'3.1 Depreciated Book Value'!$D$80*'6. Pricing template'!C25)</f>
        <v>0</v>
      </c>
      <c r="D153" s="213">
        <f t="shared" si="20"/>
        <v>6.6600000000000006E-2</v>
      </c>
      <c r="E153" s="213">
        <f t="shared" si="21"/>
        <v>4.6830998851894404E-3</v>
      </c>
      <c r="F153" s="121">
        <f t="shared" si="22"/>
        <v>0</v>
      </c>
      <c r="G153" s="121">
        <f t="shared" si="23"/>
        <v>0</v>
      </c>
      <c r="H153" s="179">
        <f>INDEX('5. Historical demand'!$C$26:$C$35,MATCH(B153,'5. Historical demand'!$B$26:$B$35,0),1)*(Yearending-Yearstart)</f>
        <v>0</v>
      </c>
      <c r="I153" s="211" t="str">
        <f t="shared" si="24"/>
        <v xml:space="preserve"> - </v>
      </c>
      <c r="J153" s="211" t="str">
        <f t="shared" si="25"/>
        <v xml:space="preserve"> - </v>
      </c>
    </row>
    <row r="154" spans="2:10" x14ac:dyDescent="0.2">
      <c r="B154" s="123" t="s">
        <v>83</v>
      </c>
      <c r="C154" s="121">
        <f>IF(Cover!$C$23="Scheme pipeline",'3.2 Regulatory Asset Base'!$H$78*'6. Pricing template'!C26,C97+'3.1 Depreciated Book Value'!$D$80*'6. Pricing template'!C26)</f>
        <v>0</v>
      </c>
      <c r="D154" s="213">
        <f t="shared" si="20"/>
        <v>6.6600000000000006E-2</v>
      </c>
      <c r="E154" s="213">
        <f t="shared" si="21"/>
        <v>4.6830998851894404E-3</v>
      </c>
      <c r="F154" s="121">
        <f t="shared" si="22"/>
        <v>0</v>
      </c>
      <c r="G154" s="121">
        <f t="shared" si="23"/>
        <v>0</v>
      </c>
      <c r="H154" s="179">
        <f>INDEX('5. Historical demand'!$C$26:$C$35,MATCH(B154,'5. Historical demand'!$B$26:$B$35,0),1)*(Yearending-Yearstart)</f>
        <v>1092</v>
      </c>
      <c r="I154" s="211">
        <f t="shared" si="24"/>
        <v>0</v>
      </c>
      <c r="J154" s="211">
        <f t="shared" si="25"/>
        <v>0</v>
      </c>
    </row>
    <row r="155" spans="2:10" x14ac:dyDescent="0.2">
      <c r="B155" s="123" t="s">
        <v>84</v>
      </c>
      <c r="C155" s="121">
        <f>IF(Cover!$C$23="Scheme pipeline",'3.2 Regulatory Asset Base'!$H$78*'6. Pricing template'!C27,C98+'3.1 Depreciated Book Value'!$D$80*'6. Pricing template'!C27)</f>
        <v>366520.99620093178</v>
      </c>
      <c r="D155" s="213">
        <f t="shared" si="20"/>
        <v>6.6600000000000006E-2</v>
      </c>
      <c r="E155" s="213">
        <f t="shared" si="21"/>
        <v>4.6830998851894404E-3</v>
      </c>
      <c r="F155" s="121">
        <f t="shared" si="22"/>
        <v>24410.298346982057</v>
      </c>
      <c r="G155" s="121">
        <f t="shared" si="23"/>
        <v>1716.454435228103</v>
      </c>
      <c r="H155" s="179">
        <f>INDEX('5. Historical demand'!$C$26:$C$35,MATCH(B155,'5. Historical demand'!$B$26:$B$35,0),1)*(Yearending-Yearstart)</f>
        <v>0</v>
      </c>
      <c r="I155" s="211" t="str">
        <f t="shared" si="24"/>
        <v xml:space="preserve"> - </v>
      </c>
      <c r="J155" s="211" t="str">
        <f t="shared" si="25"/>
        <v xml:space="preserve"> - </v>
      </c>
    </row>
    <row r="156" spans="2:10" x14ac:dyDescent="0.2">
      <c r="B156" s="123" t="s">
        <v>85</v>
      </c>
      <c r="C156" s="121">
        <f>IF(Cover!$C$23="Scheme pipeline",'3.2 Regulatory Asset Base'!$H$78*'6. Pricing template'!C28,C99+'3.1 Depreciated Book Value'!$D$80*'6. Pricing template'!C28)</f>
        <v>48453.006518278809</v>
      </c>
      <c r="D156" s="213">
        <f t="shared" si="20"/>
        <v>6.6600000000000006E-2</v>
      </c>
      <c r="E156" s="213">
        <f t="shared" si="21"/>
        <v>4.6830998851894404E-3</v>
      </c>
      <c r="F156" s="121">
        <f t="shared" si="22"/>
        <v>3226.9702341173688</v>
      </c>
      <c r="G156" s="121">
        <f t="shared" si="23"/>
        <v>226.9102692628347</v>
      </c>
      <c r="H156" s="179">
        <f>INDEX('5. Historical demand'!$C$26:$C$35,MATCH(B156,'5. Historical demand'!$B$26:$B$35,0),1)*(Yearending-Yearstart)</f>
        <v>0</v>
      </c>
      <c r="I156" s="211" t="str">
        <f t="shared" si="24"/>
        <v xml:space="preserve"> - </v>
      </c>
      <c r="J156" s="211" t="str">
        <f t="shared" si="25"/>
        <v xml:space="preserve"> - </v>
      </c>
    </row>
    <row r="157" spans="2:10" x14ac:dyDescent="0.2">
      <c r="B157" s="123" t="s">
        <v>87</v>
      </c>
      <c r="C157" s="121">
        <f>IF(Cover!$C$23="Scheme pipeline",'3.2 Regulatory Asset Base'!$H$78*'6. Pricing template'!C29,C100+'3.1 Depreciated Book Value'!$D$80*'6. Pricing template'!C29)</f>
        <v>55474.175642574613</v>
      </c>
      <c r="D157" s="213">
        <f t="shared" si="20"/>
        <v>6.6600000000000006E-2</v>
      </c>
      <c r="E157" s="213">
        <f t="shared" si="21"/>
        <v>4.6830998851894404E-3</v>
      </c>
      <c r="F157" s="121">
        <f t="shared" si="22"/>
        <v>3694.5800977954696</v>
      </c>
      <c r="G157" s="121">
        <f t="shared" si="23"/>
        <v>259.79110558272004</v>
      </c>
      <c r="H157" s="179">
        <f>INDEX('5. Historical demand'!$C$26:$C$35,MATCH(B157,'5. Historical demand'!$B$26:$B$35,0),1)*(Yearending-Yearstart)</f>
        <v>0</v>
      </c>
      <c r="I157" s="211" t="str">
        <f t="shared" si="24"/>
        <v xml:space="preserve"> - </v>
      </c>
      <c r="J157" s="211" t="str">
        <f t="shared" si="25"/>
        <v xml:space="preserve"> - </v>
      </c>
    </row>
    <row r="158" spans="2:10" x14ac:dyDescent="0.2">
      <c r="B158" s="123" t="s">
        <v>89</v>
      </c>
      <c r="C158" s="121">
        <f>IF(Cover!$C$23="Scheme pipeline",'3.2 Regulatory Asset Base'!$H$78*'6. Pricing template'!C30,C101+'3.1 Depreciated Book Value'!$D$80*'6. Pricing template'!C30)</f>
        <v>10449042.178383458</v>
      </c>
      <c r="D158" s="213">
        <f t="shared" si="20"/>
        <v>6.6600000000000006E-2</v>
      </c>
      <c r="E158" s="213">
        <f t="shared" si="21"/>
        <v>4.6830998851894404E-3</v>
      </c>
      <c r="F158" s="121">
        <f t="shared" si="22"/>
        <v>695906.20908033836</v>
      </c>
      <c r="G158" s="121">
        <f t="shared" si="23"/>
        <v>48933.908225927196</v>
      </c>
      <c r="H158" s="179">
        <f>INDEX('5. Historical demand'!$C$26:$C$35,MATCH(B158,'5. Historical demand'!$B$26:$B$35,0),1)*(Yearending-Yearstart)</f>
        <v>11393.200000000003</v>
      </c>
      <c r="I158" s="211">
        <f t="shared" si="24"/>
        <v>6.1080838489655079E-2</v>
      </c>
      <c r="J158" s="211">
        <f t="shared" si="25"/>
        <v>4.2950100257984755E-3</v>
      </c>
    </row>
    <row r="188" ht="27" customHeight="1" x14ac:dyDescent="0.2"/>
    <row r="195" ht="31.7" customHeight="1" x14ac:dyDescent="0.2"/>
  </sheetData>
  <sheetProtection sheet="1"/>
  <mergeCells count="36">
    <mergeCell ref="H49:H50"/>
    <mergeCell ref="H51:H52"/>
    <mergeCell ref="B47:B48"/>
    <mergeCell ref="H41:H42"/>
    <mergeCell ref="H43:H44"/>
    <mergeCell ref="H45:H46"/>
    <mergeCell ref="H47:H48"/>
    <mergeCell ref="H39:H40"/>
    <mergeCell ref="H55:H56"/>
    <mergeCell ref="H53:H54"/>
    <mergeCell ref="H37:H38"/>
    <mergeCell ref="B7:D13"/>
    <mergeCell ref="B19:B20"/>
    <mergeCell ref="E19:E20"/>
    <mergeCell ref="B45:B46"/>
    <mergeCell ref="B55:B56"/>
    <mergeCell ref="B18:C18"/>
    <mergeCell ref="D18:E18"/>
    <mergeCell ref="B37:B38"/>
    <mergeCell ref="B39:B40"/>
    <mergeCell ref="B41:B42"/>
    <mergeCell ref="B43:B44"/>
    <mergeCell ref="D19:D20"/>
    <mergeCell ref="J62:K62"/>
    <mergeCell ref="H61:K61"/>
    <mergeCell ref="E61:G61"/>
    <mergeCell ref="E62:E63"/>
    <mergeCell ref="F62:F63"/>
    <mergeCell ref="G62:G63"/>
    <mergeCell ref="H62:I62"/>
    <mergeCell ref="C62:C63"/>
    <mergeCell ref="D62:D63"/>
    <mergeCell ref="B53:B54"/>
    <mergeCell ref="C61:D61"/>
    <mergeCell ref="B49:B50"/>
    <mergeCell ref="B51:B52"/>
  </mergeCells>
  <conditionalFormatting sqref="C31">
    <cfRule type="cellIs" dxfId="1" priority="1" stopIfTrue="1" operator="lessThan">
      <formula>1</formula>
    </cfRule>
    <cfRule type="cellIs" dxfId="0" priority="2" stopIfTrue="1" operator="greaterThan">
      <formula>1</formula>
    </cfRule>
  </conditionalFormatting>
  <pageMargins left="0.7" right="0.7" top="0.75" bottom="0.75" header="0.3" footer="0.3"/>
  <pageSetup paperSize="9" orientation="portrait" r:id="rId1"/>
  <drawing r:id="rId2"/>
  <legacy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C5374-BC0D-4B33-9A0F-3147E786CD0B}">
  <sheetPr>
    <tabColor rgb="FF17415D"/>
  </sheetPr>
  <dimension ref="A1:G4"/>
  <sheetViews>
    <sheetView zoomScale="115" zoomScaleNormal="115" workbookViewId="0"/>
  </sheetViews>
  <sheetFormatPr defaultColWidth="0" defaultRowHeight="12.75" x14ac:dyDescent="0.2"/>
  <cols>
    <col min="1" max="1" width="10.140625" bestFit="1" customWidth="1"/>
    <col min="2" max="2" width="22" bestFit="1" customWidth="1"/>
    <col min="3" max="3" width="22.7109375" bestFit="1" customWidth="1"/>
    <col min="4" max="4" width="56.5703125" bestFit="1" customWidth="1"/>
    <col min="5" max="5" width="22.7109375" bestFit="1" customWidth="1"/>
    <col min="6" max="6" width="45.7109375" bestFit="1" customWidth="1"/>
    <col min="7" max="7" width="70.5703125" bestFit="1" customWidth="1"/>
  </cols>
  <sheetData>
    <row r="1" spans="1:7" x14ac:dyDescent="0.2">
      <c r="A1" s="304" t="s">
        <v>459</v>
      </c>
      <c r="B1" s="305" t="s">
        <v>460</v>
      </c>
      <c r="C1" s="306" t="s">
        <v>461</v>
      </c>
      <c r="D1" s="305" t="s">
        <v>462</v>
      </c>
      <c r="E1" s="306" t="s">
        <v>463</v>
      </c>
      <c r="F1" s="306" t="s">
        <v>464</v>
      </c>
      <c r="G1" s="307" t="s">
        <v>465</v>
      </c>
    </row>
    <row r="2" spans="1:7" x14ac:dyDescent="0.2">
      <c r="A2" s="308">
        <v>45775</v>
      </c>
      <c r="B2">
        <v>1</v>
      </c>
      <c r="C2" s="15" t="s">
        <v>466</v>
      </c>
      <c r="E2" s="15" t="s">
        <v>467</v>
      </c>
      <c r="F2" s="15" t="s">
        <v>468</v>
      </c>
      <c r="G2" s="15" t="s">
        <v>469</v>
      </c>
    </row>
    <row r="3" spans="1:7" x14ac:dyDescent="0.2">
      <c r="A3" s="308">
        <v>45775</v>
      </c>
      <c r="B3">
        <v>2</v>
      </c>
      <c r="C3" s="15" t="s">
        <v>470</v>
      </c>
      <c r="D3" t="s">
        <v>91</v>
      </c>
      <c r="E3" s="15" t="s">
        <v>471</v>
      </c>
      <c r="F3" t="s">
        <v>472</v>
      </c>
      <c r="G3" t="s">
        <v>473</v>
      </c>
    </row>
    <row r="4" spans="1:7" x14ac:dyDescent="0.2">
      <c r="A4" s="308">
        <v>45775</v>
      </c>
      <c r="B4">
        <v>3</v>
      </c>
      <c r="C4" s="15" t="s">
        <v>474</v>
      </c>
      <c r="D4" t="s">
        <v>475</v>
      </c>
      <c r="E4" s="15" t="s">
        <v>476</v>
      </c>
      <c r="F4" t="s">
        <v>477</v>
      </c>
      <c r="G4" s="15" t="s">
        <v>478</v>
      </c>
    </row>
  </sheetData>
  <sheetProtection sheet="1"/>
  <pageMargins left="0.7" right="0.7" top="0.75" bottom="0.75" header="0.3" footer="0.3"/>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9109E-EB0E-4E15-A73C-7541FED16DA9}">
  <sheetPr>
    <tabColor theme="1"/>
  </sheetPr>
  <dimension ref="A1:R1209"/>
  <sheetViews>
    <sheetView showGridLines="0" zoomScale="91" zoomScaleNormal="91" workbookViewId="0">
      <pane xSplit="2" ySplit="12" topLeftCell="J308" activePane="bottomRight" state="frozen"/>
      <selection activeCell="E13" sqref="E13"/>
      <selection pane="topRight" activeCell="E13" sqref="E13"/>
      <selection pane="bottomLeft" activeCell="E13" sqref="E13"/>
      <selection pane="bottomRight" activeCell="R334" sqref="R308:R334"/>
    </sheetView>
  </sheetViews>
  <sheetFormatPr defaultColWidth="11" defaultRowHeight="12.75" x14ac:dyDescent="0.2"/>
  <cols>
    <col min="1" max="1" width="22.42578125" style="325" customWidth="1"/>
    <col min="2" max="2" width="12.28515625" style="325" customWidth="1"/>
    <col min="3" max="3" width="23.5703125" style="325" bestFit="1" customWidth="1"/>
    <col min="4" max="4" width="16.28515625" style="325" bestFit="1" customWidth="1"/>
    <col min="5" max="5" width="14.28515625" style="325" bestFit="1" customWidth="1"/>
    <col min="6" max="6" width="35" style="325" bestFit="1" customWidth="1"/>
    <col min="7" max="7" width="15.7109375" style="325" bestFit="1" customWidth="1"/>
    <col min="8" max="8" width="82.85546875" style="325" bestFit="1" customWidth="1"/>
    <col min="9" max="9" width="19.5703125" style="325" bestFit="1" customWidth="1"/>
    <col min="10" max="10" width="57.85546875" style="325" bestFit="1" customWidth="1"/>
    <col min="11" max="11" width="19.5703125" style="325" bestFit="1" customWidth="1"/>
    <col min="12" max="12" width="17.140625" style="325" bestFit="1" customWidth="1"/>
    <col min="13" max="13" width="22" style="325" bestFit="1" customWidth="1"/>
    <col min="14" max="14" width="57.28515625" style="325" bestFit="1" customWidth="1"/>
    <col min="15" max="15" width="37.140625" style="325" bestFit="1" customWidth="1"/>
    <col min="16" max="16" width="9.42578125" bestFit="1" customWidth="1"/>
    <col min="17" max="17" width="49.28515625" style="325" bestFit="1" customWidth="1"/>
    <col min="18" max="18" width="35.7109375" style="325" bestFit="1" customWidth="1"/>
    <col min="257" max="257" width="22.42578125" customWidth="1"/>
    <col min="258" max="258" width="12.28515625" customWidth="1"/>
    <col min="259" max="259" width="45.5703125" customWidth="1"/>
    <col min="260" max="260" width="23.7109375" customWidth="1"/>
    <col min="261" max="261" width="12.85546875" customWidth="1"/>
    <col min="262" max="262" width="24.28515625" customWidth="1"/>
    <col min="263" max="263" width="12.28515625" customWidth="1"/>
    <col min="264" max="264" width="48.42578125" customWidth="1"/>
    <col min="265" max="265" width="15.42578125" customWidth="1"/>
    <col min="266" max="266" width="22" customWidth="1"/>
    <col min="267" max="267" width="15.85546875" customWidth="1"/>
    <col min="268" max="268" width="13.5703125" customWidth="1"/>
    <col min="269" max="269" width="17.85546875" customWidth="1"/>
    <col min="270" max="270" width="49.28515625" customWidth="1"/>
    <col min="271" max="271" width="13.85546875" customWidth="1"/>
    <col min="272" max="272" width="11.5703125" customWidth="1"/>
    <col min="273" max="273" width="47" customWidth="1"/>
    <col min="274" max="274" width="28.85546875" customWidth="1"/>
    <col min="513" max="513" width="22.42578125" customWidth="1"/>
    <col min="514" max="514" width="12.28515625" customWidth="1"/>
    <col min="515" max="515" width="45.5703125" customWidth="1"/>
    <col min="516" max="516" width="23.7109375" customWidth="1"/>
    <col min="517" max="517" width="12.85546875" customWidth="1"/>
    <col min="518" max="518" width="24.28515625" customWidth="1"/>
    <col min="519" max="519" width="12.28515625" customWidth="1"/>
    <col min="520" max="520" width="48.42578125" customWidth="1"/>
    <col min="521" max="521" width="15.42578125" customWidth="1"/>
    <col min="522" max="522" width="22" customWidth="1"/>
    <col min="523" max="523" width="15.85546875" customWidth="1"/>
    <col min="524" max="524" width="13.5703125" customWidth="1"/>
    <col min="525" max="525" width="17.85546875" customWidth="1"/>
    <col min="526" max="526" width="49.28515625" customWidth="1"/>
    <col min="527" max="527" width="13.85546875" customWidth="1"/>
    <col min="528" max="528" width="11.5703125" customWidth="1"/>
    <col min="529" max="529" width="47" customWidth="1"/>
    <col min="530" max="530" width="28.85546875" customWidth="1"/>
    <col min="769" max="769" width="22.42578125" customWidth="1"/>
    <col min="770" max="770" width="12.28515625" customWidth="1"/>
    <col min="771" max="771" width="45.5703125" customWidth="1"/>
    <col min="772" max="772" width="23.7109375" customWidth="1"/>
    <col min="773" max="773" width="12.85546875" customWidth="1"/>
    <col min="774" max="774" width="24.28515625" customWidth="1"/>
    <col min="775" max="775" width="12.28515625" customWidth="1"/>
    <col min="776" max="776" width="48.42578125" customWidth="1"/>
    <col min="777" max="777" width="15.42578125" customWidth="1"/>
    <col min="778" max="778" width="22" customWidth="1"/>
    <col min="779" max="779" width="15.85546875" customWidth="1"/>
    <col min="780" max="780" width="13.5703125" customWidth="1"/>
    <col min="781" max="781" width="17.85546875" customWidth="1"/>
    <col min="782" max="782" width="49.28515625" customWidth="1"/>
    <col min="783" max="783" width="13.85546875" customWidth="1"/>
    <col min="784" max="784" width="11.5703125" customWidth="1"/>
    <col min="785" max="785" width="47" customWidth="1"/>
    <col min="786" max="786" width="28.85546875" customWidth="1"/>
    <col min="1025" max="1025" width="22.42578125" customWidth="1"/>
    <col min="1026" max="1026" width="12.28515625" customWidth="1"/>
    <col min="1027" max="1027" width="45.5703125" customWidth="1"/>
    <col min="1028" max="1028" width="23.7109375" customWidth="1"/>
    <col min="1029" max="1029" width="12.85546875" customWidth="1"/>
    <col min="1030" max="1030" width="24.28515625" customWidth="1"/>
    <col min="1031" max="1031" width="12.28515625" customWidth="1"/>
    <col min="1032" max="1032" width="48.42578125" customWidth="1"/>
    <col min="1033" max="1033" width="15.42578125" customWidth="1"/>
    <col min="1034" max="1034" width="22" customWidth="1"/>
    <col min="1035" max="1035" width="15.85546875" customWidth="1"/>
    <col min="1036" max="1036" width="13.5703125" customWidth="1"/>
    <col min="1037" max="1037" width="17.85546875" customWidth="1"/>
    <col min="1038" max="1038" width="49.28515625" customWidth="1"/>
    <col min="1039" max="1039" width="13.85546875" customWidth="1"/>
    <col min="1040" max="1040" width="11.5703125" customWidth="1"/>
    <col min="1041" max="1041" width="47" customWidth="1"/>
    <col min="1042" max="1042" width="28.85546875" customWidth="1"/>
    <col min="1281" max="1281" width="22.42578125" customWidth="1"/>
    <col min="1282" max="1282" width="12.28515625" customWidth="1"/>
    <col min="1283" max="1283" width="45.5703125" customWidth="1"/>
    <col min="1284" max="1284" width="23.7109375" customWidth="1"/>
    <col min="1285" max="1285" width="12.85546875" customWidth="1"/>
    <col min="1286" max="1286" width="24.28515625" customWidth="1"/>
    <col min="1287" max="1287" width="12.28515625" customWidth="1"/>
    <col min="1288" max="1288" width="48.42578125" customWidth="1"/>
    <col min="1289" max="1289" width="15.42578125" customWidth="1"/>
    <col min="1290" max="1290" width="22" customWidth="1"/>
    <col min="1291" max="1291" width="15.85546875" customWidth="1"/>
    <col min="1292" max="1292" width="13.5703125" customWidth="1"/>
    <col min="1293" max="1293" width="17.85546875" customWidth="1"/>
    <col min="1294" max="1294" width="49.28515625" customWidth="1"/>
    <col min="1295" max="1295" width="13.85546875" customWidth="1"/>
    <col min="1296" max="1296" width="11.5703125" customWidth="1"/>
    <col min="1297" max="1297" width="47" customWidth="1"/>
    <col min="1298" max="1298" width="28.85546875" customWidth="1"/>
    <col min="1537" max="1537" width="22.42578125" customWidth="1"/>
    <col min="1538" max="1538" width="12.28515625" customWidth="1"/>
    <col min="1539" max="1539" width="45.5703125" customWidth="1"/>
    <col min="1540" max="1540" width="23.7109375" customWidth="1"/>
    <col min="1541" max="1541" width="12.85546875" customWidth="1"/>
    <col min="1542" max="1542" width="24.28515625" customWidth="1"/>
    <col min="1543" max="1543" width="12.28515625" customWidth="1"/>
    <col min="1544" max="1544" width="48.42578125" customWidth="1"/>
    <col min="1545" max="1545" width="15.42578125" customWidth="1"/>
    <col min="1546" max="1546" width="22" customWidth="1"/>
    <col min="1547" max="1547" width="15.85546875" customWidth="1"/>
    <col min="1548" max="1548" width="13.5703125" customWidth="1"/>
    <col min="1549" max="1549" width="17.85546875" customWidth="1"/>
    <col min="1550" max="1550" width="49.28515625" customWidth="1"/>
    <col min="1551" max="1551" width="13.85546875" customWidth="1"/>
    <col min="1552" max="1552" width="11.5703125" customWidth="1"/>
    <col min="1553" max="1553" width="47" customWidth="1"/>
    <col min="1554" max="1554" width="28.85546875" customWidth="1"/>
    <col min="1793" max="1793" width="22.42578125" customWidth="1"/>
    <col min="1794" max="1794" width="12.28515625" customWidth="1"/>
    <col min="1795" max="1795" width="45.5703125" customWidth="1"/>
    <col min="1796" max="1796" width="23.7109375" customWidth="1"/>
    <col min="1797" max="1797" width="12.85546875" customWidth="1"/>
    <col min="1798" max="1798" width="24.28515625" customWidth="1"/>
    <col min="1799" max="1799" width="12.28515625" customWidth="1"/>
    <col min="1800" max="1800" width="48.42578125" customWidth="1"/>
    <col min="1801" max="1801" width="15.42578125" customWidth="1"/>
    <col min="1802" max="1802" width="22" customWidth="1"/>
    <col min="1803" max="1803" width="15.85546875" customWidth="1"/>
    <col min="1804" max="1804" width="13.5703125" customWidth="1"/>
    <col min="1805" max="1805" width="17.85546875" customWidth="1"/>
    <col min="1806" max="1806" width="49.28515625" customWidth="1"/>
    <col min="1807" max="1807" width="13.85546875" customWidth="1"/>
    <col min="1808" max="1808" width="11.5703125" customWidth="1"/>
    <col min="1809" max="1809" width="47" customWidth="1"/>
    <col min="1810" max="1810" width="28.85546875" customWidth="1"/>
    <col min="2049" max="2049" width="22.42578125" customWidth="1"/>
    <col min="2050" max="2050" width="12.28515625" customWidth="1"/>
    <col min="2051" max="2051" width="45.5703125" customWidth="1"/>
    <col min="2052" max="2052" width="23.7109375" customWidth="1"/>
    <col min="2053" max="2053" width="12.85546875" customWidth="1"/>
    <col min="2054" max="2054" width="24.28515625" customWidth="1"/>
    <col min="2055" max="2055" width="12.28515625" customWidth="1"/>
    <col min="2056" max="2056" width="48.42578125" customWidth="1"/>
    <col min="2057" max="2057" width="15.42578125" customWidth="1"/>
    <col min="2058" max="2058" width="22" customWidth="1"/>
    <col min="2059" max="2059" width="15.85546875" customWidth="1"/>
    <col min="2060" max="2060" width="13.5703125" customWidth="1"/>
    <col min="2061" max="2061" width="17.85546875" customWidth="1"/>
    <col min="2062" max="2062" width="49.28515625" customWidth="1"/>
    <col min="2063" max="2063" width="13.85546875" customWidth="1"/>
    <col min="2064" max="2064" width="11.5703125" customWidth="1"/>
    <col min="2065" max="2065" width="47" customWidth="1"/>
    <col min="2066" max="2066" width="28.85546875" customWidth="1"/>
    <col min="2305" max="2305" width="22.42578125" customWidth="1"/>
    <col min="2306" max="2306" width="12.28515625" customWidth="1"/>
    <col min="2307" max="2307" width="45.5703125" customWidth="1"/>
    <col min="2308" max="2308" width="23.7109375" customWidth="1"/>
    <col min="2309" max="2309" width="12.85546875" customWidth="1"/>
    <col min="2310" max="2310" width="24.28515625" customWidth="1"/>
    <col min="2311" max="2311" width="12.28515625" customWidth="1"/>
    <col min="2312" max="2312" width="48.42578125" customWidth="1"/>
    <col min="2313" max="2313" width="15.42578125" customWidth="1"/>
    <col min="2314" max="2314" width="22" customWidth="1"/>
    <col min="2315" max="2315" width="15.85546875" customWidth="1"/>
    <col min="2316" max="2316" width="13.5703125" customWidth="1"/>
    <col min="2317" max="2317" width="17.85546875" customWidth="1"/>
    <col min="2318" max="2318" width="49.28515625" customWidth="1"/>
    <col min="2319" max="2319" width="13.85546875" customWidth="1"/>
    <col min="2320" max="2320" width="11.5703125" customWidth="1"/>
    <col min="2321" max="2321" width="47" customWidth="1"/>
    <col min="2322" max="2322" width="28.85546875" customWidth="1"/>
    <col min="2561" max="2561" width="22.42578125" customWidth="1"/>
    <col min="2562" max="2562" width="12.28515625" customWidth="1"/>
    <col min="2563" max="2563" width="45.5703125" customWidth="1"/>
    <col min="2564" max="2564" width="23.7109375" customWidth="1"/>
    <col min="2565" max="2565" width="12.85546875" customWidth="1"/>
    <col min="2566" max="2566" width="24.28515625" customWidth="1"/>
    <col min="2567" max="2567" width="12.28515625" customWidth="1"/>
    <col min="2568" max="2568" width="48.42578125" customWidth="1"/>
    <col min="2569" max="2569" width="15.42578125" customWidth="1"/>
    <col min="2570" max="2570" width="22" customWidth="1"/>
    <col min="2571" max="2571" width="15.85546875" customWidth="1"/>
    <col min="2572" max="2572" width="13.5703125" customWidth="1"/>
    <col min="2573" max="2573" width="17.85546875" customWidth="1"/>
    <col min="2574" max="2574" width="49.28515625" customWidth="1"/>
    <col min="2575" max="2575" width="13.85546875" customWidth="1"/>
    <col min="2576" max="2576" width="11.5703125" customWidth="1"/>
    <col min="2577" max="2577" width="47" customWidth="1"/>
    <col min="2578" max="2578" width="28.85546875" customWidth="1"/>
    <col min="2817" max="2817" width="22.42578125" customWidth="1"/>
    <col min="2818" max="2818" width="12.28515625" customWidth="1"/>
    <col min="2819" max="2819" width="45.5703125" customWidth="1"/>
    <col min="2820" max="2820" width="23.7109375" customWidth="1"/>
    <col min="2821" max="2821" width="12.85546875" customWidth="1"/>
    <col min="2822" max="2822" width="24.28515625" customWidth="1"/>
    <col min="2823" max="2823" width="12.28515625" customWidth="1"/>
    <col min="2824" max="2824" width="48.42578125" customWidth="1"/>
    <col min="2825" max="2825" width="15.42578125" customWidth="1"/>
    <col min="2826" max="2826" width="22" customWidth="1"/>
    <col min="2827" max="2827" width="15.85546875" customWidth="1"/>
    <col min="2828" max="2828" width="13.5703125" customWidth="1"/>
    <col min="2829" max="2829" width="17.85546875" customWidth="1"/>
    <col min="2830" max="2830" width="49.28515625" customWidth="1"/>
    <col min="2831" max="2831" width="13.85546875" customWidth="1"/>
    <col min="2832" max="2832" width="11.5703125" customWidth="1"/>
    <col min="2833" max="2833" width="47" customWidth="1"/>
    <col min="2834" max="2834" width="28.85546875" customWidth="1"/>
    <col min="3073" max="3073" width="22.42578125" customWidth="1"/>
    <col min="3074" max="3074" width="12.28515625" customWidth="1"/>
    <col min="3075" max="3075" width="45.5703125" customWidth="1"/>
    <col min="3076" max="3076" width="23.7109375" customWidth="1"/>
    <col min="3077" max="3077" width="12.85546875" customWidth="1"/>
    <col min="3078" max="3078" width="24.28515625" customWidth="1"/>
    <col min="3079" max="3079" width="12.28515625" customWidth="1"/>
    <col min="3080" max="3080" width="48.42578125" customWidth="1"/>
    <col min="3081" max="3081" width="15.42578125" customWidth="1"/>
    <col min="3082" max="3082" width="22" customWidth="1"/>
    <col min="3083" max="3083" width="15.85546875" customWidth="1"/>
    <col min="3084" max="3084" width="13.5703125" customWidth="1"/>
    <col min="3085" max="3085" width="17.85546875" customWidth="1"/>
    <col min="3086" max="3086" width="49.28515625" customWidth="1"/>
    <col min="3087" max="3087" width="13.85546875" customWidth="1"/>
    <col min="3088" max="3088" width="11.5703125" customWidth="1"/>
    <col min="3089" max="3089" width="47" customWidth="1"/>
    <col min="3090" max="3090" width="28.85546875" customWidth="1"/>
    <col min="3329" max="3329" width="22.42578125" customWidth="1"/>
    <col min="3330" max="3330" width="12.28515625" customWidth="1"/>
    <col min="3331" max="3331" width="45.5703125" customWidth="1"/>
    <col min="3332" max="3332" width="23.7109375" customWidth="1"/>
    <col min="3333" max="3333" width="12.85546875" customWidth="1"/>
    <col min="3334" max="3334" width="24.28515625" customWidth="1"/>
    <col min="3335" max="3335" width="12.28515625" customWidth="1"/>
    <col min="3336" max="3336" width="48.42578125" customWidth="1"/>
    <col min="3337" max="3337" width="15.42578125" customWidth="1"/>
    <col min="3338" max="3338" width="22" customWidth="1"/>
    <col min="3339" max="3339" width="15.85546875" customWidth="1"/>
    <col min="3340" max="3340" width="13.5703125" customWidth="1"/>
    <col min="3341" max="3341" width="17.85546875" customWidth="1"/>
    <col min="3342" max="3342" width="49.28515625" customWidth="1"/>
    <col min="3343" max="3343" width="13.85546875" customWidth="1"/>
    <col min="3344" max="3344" width="11.5703125" customWidth="1"/>
    <col min="3345" max="3345" width="47" customWidth="1"/>
    <col min="3346" max="3346" width="28.85546875" customWidth="1"/>
    <col min="3585" max="3585" width="22.42578125" customWidth="1"/>
    <col min="3586" max="3586" width="12.28515625" customWidth="1"/>
    <col min="3587" max="3587" width="45.5703125" customWidth="1"/>
    <col min="3588" max="3588" width="23.7109375" customWidth="1"/>
    <col min="3589" max="3589" width="12.85546875" customWidth="1"/>
    <col min="3590" max="3590" width="24.28515625" customWidth="1"/>
    <col min="3591" max="3591" width="12.28515625" customWidth="1"/>
    <col min="3592" max="3592" width="48.42578125" customWidth="1"/>
    <col min="3593" max="3593" width="15.42578125" customWidth="1"/>
    <col min="3594" max="3594" width="22" customWidth="1"/>
    <col min="3595" max="3595" width="15.85546875" customWidth="1"/>
    <col min="3596" max="3596" width="13.5703125" customWidth="1"/>
    <col min="3597" max="3597" width="17.85546875" customWidth="1"/>
    <col min="3598" max="3598" width="49.28515625" customWidth="1"/>
    <col min="3599" max="3599" width="13.85546875" customWidth="1"/>
    <col min="3600" max="3600" width="11.5703125" customWidth="1"/>
    <col min="3601" max="3601" width="47" customWidth="1"/>
    <col min="3602" max="3602" width="28.85546875" customWidth="1"/>
    <col min="3841" max="3841" width="22.42578125" customWidth="1"/>
    <col min="3842" max="3842" width="12.28515625" customWidth="1"/>
    <col min="3843" max="3843" width="45.5703125" customWidth="1"/>
    <col min="3844" max="3844" width="23.7109375" customWidth="1"/>
    <col min="3845" max="3845" width="12.85546875" customWidth="1"/>
    <col min="3846" max="3846" width="24.28515625" customWidth="1"/>
    <col min="3847" max="3847" width="12.28515625" customWidth="1"/>
    <col min="3848" max="3848" width="48.42578125" customWidth="1"/>
    <col min="3849" max="3849" width="15.42578125" customWidth="1"/>
    <col min="3850" max="3850" width="22" customWidth="1"/>
    <col min="3851" max="3851" width="15.85546875" customWidth="1"/>
    <col min="3852" max="3852" width="13.5703125" customWidth="1"/>
    <col min="3853" max="3853" width="17.85546875" customWidth="1"/>
    <col min="3854" max="3854" width="49.28515625" customWidth="1"/>
    <col min="3855" max="3855" width="13.85546875" customWidth="1"/>
    <col min="3856" max="3856" width="11.5703125" customWidth="1"/>
    <col min="3857" max="3857" width="47" customWidth="1"/>
    <col min="3858" max="3858" width="28.85546875" customWidth="1"/>
    <col min="4097" max="4097" width="22.42578125" customWidth="1"/>
    <col min="4098" max="4098" width="12.28515625" customWidth="1"/>
    <col min="4099" max="4099" width="45.5703125" customWidth="1"/>
    <col min="4100" max="4100" width="23.7109375" customWidth="1"/>
    <col min="4101" max="4101" width="12.85546875" customWidth="1"/>
    <col min="4102" max="4102" width="24.28515625" customWidth="1"/>
    <col min="4103" max="4103" width="12.28515625" customWidth="1"/>
    <col min="4104" max="4104" width="48.42578125" customWidth="1"/>
    <col min="4105" max="4105" width="15.42578125" customWidth="1"/>
    <col min="4106" max="4106" width="22" customWidth="1"/>
    <col min="4107" max="4107" width="15.85546875" customWidth="1"/>
    <col min="4108" max="4108" width="13.5703125" customWidth="1"/>
    <col min="4109" max="4109" width="17.85546875" customWidth="1"/>
    <col min="4110" max="4110" width="49.28515625" customWidth="1"/>
    <col min="4111" max="4111" width="13.85546875" customWidth="1"/>
    <col min="4112" max="4112" width="11.5703125" customWidth="1"/>
    <col min="4113" max="4113" width="47" customWidth="1"/>
    <col min="4114" max="4114" width="28.85546875" customWidth="1"/>
    <col min="4353" max="4353" width="22.42578125" customWidth="1"/>
    <col min="4354" max="4354" width="12.28515625" customWidth="1"/>
    <col min="4355" max="4355" width="45.5703125" customWidth="1"/>
    <col min="4356" max="4356" width="23.7109375" customWidth="1"/>
    <col min="4357" max="4357" width="12.85546875" customWidth="1"/>
    <col min="4358" max="4358" width="24.28515625" customWidth="1"/>
    <col min="4359" max="4359" width="12.28515625" customWidth="1"/>
    <col min="4360" max="4360" width="48.42578125" customWidth="1"/>
    <col min="4361" max="4361" width="15.42578125" customWidth="1"/>
    <col min="4362" max="4362" width="22" customWidth="1"/>
    <col min="4363" max="4363" width="15.85546875" customWidth="1"/>
    <col min="4364" max="4364" width="13.5703125" customWidth="1"/>
    <col min="4365" max="4365" width="17.85546875" customWidth="1"/>
    <col min="4366" max="4366" width="49.28515625" customWidth="1"/>
    <col min="4367" max="4367" width="13.85546875" customWidth="1"/>
    <col min="4368" max="4368" width="11.5703125" customWidth="1"/>
    <col min="4369" max="4369" width="47" customWidth="1"/>
    <col min="4370" max="4370" width="28.85546875" customWidth="1"/>
    <col min="4609" max="4609" width="22.42578125" customWidth="1"/>
    <col min="4610" max="4610" width="12.28515625" customWidth="1"/>
    <col min="4611" max="4611" width="45.5703125" customWidth="1"/>
    <col min="4612" max="4612" width="23.7109375" customWidth="1"/>
    <col min="4613" max="4613" width="12.85546875" customWidth="1"/>
    <col min="4614" max="4614" width="24.28515625" customWidth="1"/>
    <col min="4615" max="4615" width="12.28515625" customWidth="1"/>
    <col min="4616" max="4616" width="48.42578125" customWidth="1"/>
    <col min="4617" max="4617" width="15.42578125" customWidth="1"/>
    <col min="4618" max="4618" width="22" customWidth="1"/>
    <col min="4619" max="4619" width="15.85546875" customWidth="1"/>
    <col min="4620" max="4620" width="13.5703125" customWidth="1"/>
    <col min="4621" max="4621" width="17.85546875" customWidth="1"/>
    <col min="4622" max="4622" width="49.28515625" customWidth="1"/>
    <col min="4623" max="4623" width="13.85546875" customWidth="1"/>
    <col min="4624" max="4624" width="11.5703125" customWidth="1"/>
    <col min="4625" max="4625" width="47" customWidth="1"/>
    <col min="4626" max="4626" width="28.85546875" customWidth="1"/>
    <col min="4865" max="4865" width="22.42578125" customWidth="1"/>
    <col min="4866" max="4866" width="12.28515625" customWidth="1"/>
    <col min="4867" max="4867" width="45.5703125" customWidth="1"/>
    <col min="4868" max="4868" width="23.7109375" customWidth="1"/>
    <col min="4869" max="4869" width="12.85546875" customWidth="1"/>
    <col min="4870" max="4870" width="24.28515625" customWidth="1"/>
    <col min="4871" max="4871" width="12.28515625" customWidth="1"/>
    <col min="4872" max="4872" width="48.42578125" customWidth="1"/>
    <col min="4873" max="4873" width="15.42578125" customWidth="1"/>
    <col min="4874" max="4874" width="22" customWidth="1"/>
    <col min="4875" max="4875" width="15.85546875" customWidth="1"/>
    <col min="4876" max="4876" width="13.5703125" customWidth="1"/>
    <col min="4877" max="4877" width="17.85546875" customWidth="1"/>
    <col min="4878" max="4878" width="49.28515625" customWidth="1"/>
    <col min="4879" max="4879" width="13.85546875" customWidth="1"/>
    <col min="4880" max="4880" width="11.5703125" customWidth="1"/>
    <col min="4881" max="4881" width="47" customWidth="1"/>
    <col min="4882" max="4882" width="28.85546875" customWidth="1"/>
    <col min="5121" max="5121" width="22.42578125" customWidth="1"/>
    <col min="5122" max="5122" width="12.28515625" customWidth="1"/>
    <col min="5123" max="5123" width="45.5703125" customWidth="1"/>
    <col min="5124" max="5124" width="23.7109375" customWidth="1"/>
    <col min="5125" max="5125" width="12.85546875" customWidth="1"/>
    <col min="5126" max="5126" width="24.28515625" customWidth="1"/>
    <col min="5127" max="5127" width="12.28515625" customWidth="1"/>
    <col min="5128" max="5128" width="48.42578125" customWidth="1"/>
    <col min="5129" max="5129" width="15.42578125" customWidth="1"/>
    <col min="5130" max="5130" width="22" customWidth="1"/>
    <col min="5131" max="5131" width="15.85546875" customWidth="1"/>
    <col min="5132" max="5132" width="13.5703125" customWidth="1"/>
    <col min="5133" max="5133" width="17.85546875" customWidth="1"/>
    <col min="5134" max="5134" width="49.28515625" customWidth="1"/>
    <col min="5135" max="5135" width="13.85546875" customWidth="1"/>
    <col min="5136" max="5136" width="11.5703125" customWidth="1"/>
    <col min="5137" max="5137" width="47" customWidth="1"/>
    <col min="5138" max="5138" width="28.85546875" customWidth="1"/>
    <col min="5377" max="5377" width="22.42578125" customWidth="1"/>
    <col min="5378" max="5378" width="12.28515625" customWidth="1"/>
    <col min="5379" max="5379" width="45.5703125" customWidth="1"/>
    <col min="5380" max="5380" width="23.7109375" customWidth="1"/>
    <col min="5381" max="5381" width="12.85546875" customWidth="1"/>
    <col min="5382" max="5382" width="24.28515625" customWidth="1"/>
    <col min="5383" max="5383" width="12.28515625" customWidth="1"/>
    <col min="5384" max="5384" width="48.42578125" customWidth="1"/>
    <col min="5385" max="5385" width="15.42578125" customWidth="1"/>
    <col min="5386" max="5386" width="22" customWidth="1"/>
    <col min="5387" max="5387" width="15.85546875" customWidth="1"/>
    <col min="5388" max="5388" width="13.5703125" customWidth="1"/>
    <col min="5389" max="5389" width="17.85546875" customWidth="1"/>
    <col min="5390" max="5390" width="49.28515625" customWidth="1"/>
    <col min="5391" max="5391" width="13.85546875" customWidth="1"/>
    <col min="5392" max="5392" width="11.5703125" customWidth="1"/>
    <col min="5393" max="5393" width="47" customWidth="1"/>
    <col min="5394" max="5394" width="28.85546875" customWidth="1"/>
    <col min="5633" max="5633" width="22.42578125" customWidth="1"/>
    <col min="5634" max="5634" width="12.28515625" customWidth="1"/>
    <col min="5635" max="5635" width="45.5703125" customWidth="1"/>
    <col min="5636" max="5636" width="23.7109375" customWidth="1"/>
    <col min="5637" max="5637" width="12.85546875" customWidth="1"/>
    <col min="5638" max="5638" width="24.28515625" customWidth="1"/>
    <col min="5639" max="5639" width="12.28515625" customWidth="1"/>
    <col min="5640" max="5640" width="48.42578125" customWidth="1"/>
    <col min="5641" max="5641" width="15.42578125" customWidth="1"/>
    <col min="5642" max="5642" width="22" customWidth="1"/>
    <col min="5643" max="5643" width="15.85546875" customWidth="1"/>
    <col min="5644" max="5644" width="13.5703125" customWidth="1"/>
    <col min="5645" max="5645" width="17.85546875" customWidth="1"/>
    <col min="5646" max="5646" width="49.28515625" customWidth="1"/>
    <col min="5647" max="5647" width="13.85546875" customWidth="1"/>
    <col min="5648" max="5648" width="11.5703125" customWidth="1"/>
    <col min="5649" max="5649" width="47" customWidth="1"/>
    <col min="5650" max="5650" width="28.85546875" customWidth="1"/>
    <col min="5889" max="5889" width="22.42578125" customWidth="1"/>
    <col min="5890" max="5890" width="12.28515625" customWidth="1"/>
    <col min="5891" max="5891" width="45.5703125" customWidth="1"/>
    <col min="5892" max="5892" width="23.7109375" customWidth="1"/>
    <col min="5893" max="5893" width="12.85546875" customWidth="1"/>
    <col min="5894" max="5894" width="24.28515625" customWidth="1"/>
    <col min="5895" max="5895" width="12.28515625" customWidth="1"/>
    <col min="5896" max="5896" width="48.42578125" customWidth="1"/>
    <col min="5897" max="5897" width="15.42578125" customWidth="1"/>
    <col min="5898" max="5898" width="22" customWidth="1"/>
    <col min="5899" max="5899" width="15.85546875" customWidth="1"/>
    <col min="5900" max="5900" width="13.5703125" customWidth="1"/>
    <col min="5901" max="5901" width="17.85546875" customWidth="1"/>
    <col min="5902" max="5902" width="49.28515625" customWidth="1"/>
    <col min="5903" max="5903" width="13.85546875" customWidth="1"/>
    <col min="5904" max="5904" width="11.5703125" customWidth="1"/>
    <col min="5905" max="5905" width="47" customWidth="1"/>
    <col min="5906" max="5906" width="28.85546875" customWidth="1"/>
    <col min="6145" max="6145" width="22.42578125" customWidth="1"/>
    <col min="6146" max="6146" width="12.28515625" customWidth="1"/>
    <col min="6147" max="6147" width="45.5703125" customWidth="1"/>
    <col min="6148" max="6148" width="23.7109375" customWidth="1"/>
    <col min="6149" max="6149" width="12.85546875" customWidth="1"/>
    <col min="6150" max="6150" width="24.28515625" customWidth="1"/>
    <col min="6151" max="6151" width="12.28515625" customWidth="1"/>
    <col min="6152" max="6152" width="48.42578125" customWidth="1"/>
    <col min="6153" max="6153" width="15.42578125" customWidth="1"/>
    <col min="6154" max="6154" width="22" customWidth="1"/>
    <col min="6155" max="6155" width="15.85546875" customWidth="1"/>
    <col min="6156" max="6156" width="13.5703125" customWidth="1"/>
    <col min="6157" max="6157" width="17.85546875" customWidth="1"/>
    <col min="6158" max="6158" width="49.28515625" customWidth="1"/>
    <col min="6159" max="6159" width="13.85546875" customWidth="1"/>
    <col min="6160" max="6160" width="11.5703125" customWidth="1"/>
    <col min="6161" max="6161" width="47" customWidth="1"/>
    <col min="6162" max="6162" width="28.85546875" customWidth="1"/>
    <col min="6401" max="6401" width="22.42578125" customWidth="1"/>
    <col min="6402" max="6402" width="12.28515625" customWidth="1"/>
    <col min="6403" max="6403" width="45.5703125" customWidth="1"/>
    <col min="6404" max="6404" width="23.7109375" customWidth="1"/>
    <col min="6405" max="6405" width="12.85546875" customWidth="1"/>
    <col min="6406" max="6406" width="24.28515625" customWidth="1"/>
    <col min="6407" max="6407" width="12.28515625" customWidth="1"/>
    <col min="6408" max="6408" width="48.42578125" customWidth="1"/>
    <col min="6409" max="6409" width="15.42578125" customWidth="1"/>
    <col min="6410" max="6410" width="22" customWidth="1"/>
    <col min="6411" max="6411" width="15.85546875" customWidth="1"/>
    <col min="6412" max="6412" width="13.5703125" customWidth="1"/>
    <col min="6413" max="6413" width="17.85546875" customWidth="1"/>
    <col min="6414" max="6414" width="49.28515625" customWidth="1"/>
    <col min="6415" max="6415" width="13.85546875" customWidth="1"/>
    <col min="6416" max="6416" width="11.5703125" customWidth="1"/>
    <col min="6417" max="6417" width="47" customWidth="1"/>
    <col min="6418" max="6418" width="28.85546875" customWidth="1"/>
    <col min="6657" max="6657" width="22.42578125" customWidth="1"/>
    <col min="6658" max="6658" width="12.28515625" customWidth="1"/>
    <col min="6659" max="6659" width="45.5703125" customWidth="1"/>
    <col min="6660" max="6660" width="23.7109375" customWidth="1"/>
    <col min="6661" max="6661" width="12.85546875" customWidth="1"/>
    <col min="6662" max="6662" width="24.28515625" customWidth="1"/>
    <col min="6663" max="6663" width="12.28515625" customWidth="1"/>
    <col min="6664" max="6664" width="48.42578125" customWidth="1"/>
    <col min="6665" max="6665" width="15.42578125" customWidth="1"/>
    <col min="6666" max="6666" width="22" customWidth="1"/>
    <col min="6667" max="6667" width="15.85546875" customWidth="1"/>
    <col min="6668" max="6668" width="13.5703125" customWidth="1"/>
    <col min="6669" max="6669" width="17.85546875" customWidth="1"/>
    <col min="6670" max="6670" width="49.28515625" customWidth="1"/>
    <col min="6671" max="6671" width="13.85546875" customWidth="1"/>
    <col min="6672" max="6672" width="11.5703125" customWidth="1"/>
    <col min="6673" max="6673" width="47" customWidth="1"/>
    <col min="6674" max="6674" width="28.85546875" customWidth="1"/>
    <col min="6913" max="6913" width="22.42578125" customWidth="1"/>
    <col min="6914" max="6914" width="12.28515625" customWidth="1"/>
    <col min="6915" max="6915" width="45.5703125" customWidth="1"/>
    <col min="6916" max="6916" width="23.7109375" customWidth="1"/>
    <col min="6917" max="6917" width="12.85546875" customWidth="1"/>
    <col min="6918" max="6918" width="24.28515625" customWidth="1"/>
    <col min="6919" max="6919" width="12.28515625" customWidth="1"/>
    <col min="6920" max="6920" width="48.42578125" customWidth="1"/>
    <col min="6921" max="6921" width="15.42578125" customWidth="1"/>
    <col min="6922" max="6922" width="22" customWidth="1"/>
    <col min="6923" max="6923" width="15.85546875" customWidth="1"/>
    <col min="6924" max="6924" width="13.5703125" customWidth="1"/>
    <col min="6925" max="6925" width="17.85546875" customWidth="1"/>
    <col min="6926" max="6926" width="49.28515625" customWidth="1"/>
    <col min="6927" max="6927" width="13.85546875" customWidth="1"/>
    <col min="6928" max="6928" width="11.5703125" customWidth="1"/>
    <col min="6929" max="6929" width="47" customWidth="1"/>
    <col min="6930" max="6930" width="28.85546875" customWidth="1"/>
    <col min="7169" max="7169" width="22.42578125" customWidth="1"/>
    <col min="7170" max="7170" width="12.28515625" customWidth="1"/>
    <col min="7171" max="7171" width="45.5703125" customWidth="1"/>
    <col min="7172" max="7172" width="23.7109375" customWidth="1"/>
    <col min="7173" max="7173" width="12.85546875" customWidth="1"/>
    <col min="7174" max="7174" width="24.28515625" customWidth="1"/>
    <col min="7175" max="7175" width="12.28515625" customWidth="1"/>
    <col min="7176" max="7176" width="48.42578125" customWidth="1"/>
    <col min="7177" max="7177" width="15.42578125" customWidth="1"/>
    <col min="7178" max="7178" width="22" customWidth="1"/>
    <col min="7179" max="7179" width="15.85546875" customWidth="1"/>
    <col min="7180" max="7180" width="13.5703125" customWidth="1"/>
    <col min="7181" max="7181" width="17.85546875" customWidth="1"/>
    <col min="7182" max="7182" width="49.28515625" customWidth="1"/>
    <col min="7183" max="7183" width="13.85546875" customWidth="1"/>
    <col min="7184" max="7184" width="11.5703125" customWidth="1"/>
    <col min="7185" max="7185" width="47" customWidth="1"/>
    <col min="7186" max="7186" width="28.85546875" customWidth="1"/>
    <col min="7425" max="7425" width="22.42578125" customWidth="1"/>
    <col min="7426" max="7426" width="12.28515625" customWidth="1"/>
    <col min="7427" max="7427" width="45.5703125" customWidth="1"/>
    <col min="7428" max="7428" width="23.7109375" customWidth="1"/>
    <col min="7429" max="7429" width="12.85546875" customWidth="1"/>
    <col min="7430" max="7430" width="24.28515625" customWidth="1"/>
    <col min="7431" max="7431" width="12.28515625" customWidth="1"/>
    <col min="7432" max="7432" width="48.42578125" customWidth="1"/>
    <col min="7433" max="7433" width="15.42578125" customWidth="1"/>
    <col min="7434" max="7434" width="22" customWidth="1"/>
    <col min="7435" max="7435" width="15.85546875" customWidth="1"/>
    <col min="7436" max="7436" width="13.5703125" customWidth="1"/>
    <col min="7437" max="7437" width="17.85546875" customWidth="1"/>
    <col min="7438" max="7438" width="49.28515625" customWidth="1"/>
    <col min="7439" max="7439" width="13.85546875" customWidth="1"/>
    <col min="7440" max="7440" width="11.5703125" customWidth="1"/>
    <col min="7441" max="7441" width="47" customWidth="1"/>
    <col min="7442" max="7442" width="28.85546875" customWidth="1"/>
    <col min="7681" max="7681" width="22.42578125" customWidth="1"/>
    <col min="7682" max="7682" width="12.28515625" customWidth="1"/>
    <col min="7683" max="7683" width="45.5703125" customWidth="1"/>
    <col min="7684" max="7684" width="23.7109375" customWidth="1"/>
    <col min="7685" max="7685" width="12.85546875" customWidth="1"/>
    <col min="7686" max="7686" width="24.28515625" customWidth="1"/>
    <col min="7687" max="7687" width="12.28515625" customWidth="1"/>
    <col min="7688" max="7688" width="48.42578125" customWidth="1"/>
    <col min="7689" max="7689" width="15.42578125" customWidth="1"/>
    <col min="7690" max="7690" width="22" customWidth="1"/>
    <col min="7691" max="7691" width="15.85546875" customWidth="1"/>
    <col min="7692" max="7692" width="13.5703125" customWidth="1"/>
    <col min="7693" max="7693" width="17.85546875" customWidth="1"/>
    <col min="7694" max="7694" width="49.28515625" customWidth="1"/>
    <col min="7695" max="7695" width="13.85546875" customWidth="1"/>
    <col min="7696" max="7696" width="11.5703125" customWidth="1"/>
    <col min="7697" max="7697" width="47" customWidth="1"/>
    <col min="7698" max="7698" width="28.85546875" customWidth="1"/>
    <col min="7937" max="7937" width="22.42578125" customWidth="1"/>
    <col min="7938" max="7938" width="12.28515625" customWidth="1"/>
    <col min="7939" max="7939" width="45.5703125" customWidth="1"/>
    <col min="7940" max="7940" width="23.7109375" customWidth="1"/>
    <col min="7941" max="7941" width="12.85546875" customWidth="1"/>
    <col min="7942" max="7942" width="24.28515625" customWidth="1"/>
    <col min="7943" max="7943" width="12.28515625" customWidth="1"/>
    <col min="7944" max="7944" width="48.42578125" customWidth="1"/>
    <col min="7945" max="7945" width="15.42578125" customWidth="1"/>
    <col min="7946" max="7946" width="22" customWidth="1"/>
    <col min="7947" max="7947" width="15.85546875" customWidth="1"/>
    <col min="7948" max="7948" width="13.5703125" customWidth="1"/>
    <col min="7949" max="7949" width="17.85546875" customWidth="1"/>
    <col min="7950" max="7950" width="49.28515625" customWidth="1"/>
    <col min="7951" max="7951" width="13.85546875" customWidth="1"/>
    <col min="7952" max="7952" width="11.5703125" customWidth="1"/>
    <col min="7953" max="7953" width="47" customWidth="1"/>
    <col min="7954" max="7954" width="28.85546875" customWidth="1"/>
    <col min="8193" max="8193" width="22.42578125" customWidth="1"/>
    <col min="8194" max="8194" width="12.28515625" customWidth="1"/>
    <col min="8195" max="8195" width="45.5703125" customWidth="1"/>
    <col min="8196" max="8196" width="23.7109375" customWidth="1"/>
    <col min="8197" max="8197" width="12.85546875" customWidth="1"/>
    <col min="8198" max="8198" width="24.28515625" customWidth="1"/>
    <col min="8199" max="8199" width="12.28515625" customWidth="1"/>
    <col min="8200" max="8200" width="48.42578125" customWidth="1"/>
    <col min="8201" max="8201" width="15.42578125" customWidth="1"/>
    <col min="8202" max="8202" width="22" customWidth="1"/>
    <col min="8203" max="8203" width="15.85546875" customWidth="1"/>
    <col min="8204" max="8204" width="13.5703125" customWidth="1"/>
    <col min="8205" max="8205" width="17.85546875" customWidth="1"/>
    <col min="8206" max="8206" width="49.28515625" customWidth="1"/>
    <col min="8207" max="8207" width="13.85546875" customWidth="1"/>
    <col min="8208" max="8208" width="11.5703125" customWidth="1"/>
    <col min="8209" max="8209" width="47" customWidth="1"/>
    <col min="8210" max="8210" width="28.85546875" customWidth="1"/>
    <col min="8449" max="8449" width="22.42578125" customWidth="1"/>
    <col min="8450" max="8450" width="12.28515625" customWidth="1"/>
    <col min="8451" max="8451" width="45.5703125" customWidth="1"/>
    <col min="8452" max="8452" width="23.7109375" customWidth="1"/>
    <col min="8453" max="8453" width="12.85546875" customWidth="1"/>
    <col min="8454" max="8454" width="24.28515625" customWidth="1"/>
    <col min="8455" max="8455" width="12.28515625" customWidth="1"/>
    <col min="8456" max="8456" width="48.42578125" customWidth="1"/>
    <col min="8457" max="8457" width="15.42578125" customWidth="1"/>
    <col min="8458" max="8458" width="22" customWidth="1"/>
    <col min="8459" max="8459" width="15.85546875" customWidth="1"/>
    <col min="8460" max="8460" width="13.5703125" customWidth="1"/>
    <col min="8461" max="8461" width="17.85546875" customWidth="1"/>
    <col min="8462" max="8462" width="49.28515625" customWidth="1"/>
    <col min="8463" max="8463" width="13.85546875" customWidth="1"/>
    <col min="8464" max="8464" width="11.5703125" customWidth="1"/>
    <col min="8465" max="8465" width="47" customWidth="1"/>
    <col min="8466" max="8466" width="28.85546875" customWidth="1"/>
    <col min="8705" max="8705" width="22.42578125" customWidth="1"/>
    <col min="8706" max="8706" width="12.28515625" customWidth="1"/>
    <col min="8707" max="8707" width="45.5703125" customWidth="1"/>
    <col min="8708" max="8708" width="23.7109375" customWidth="1"/>
    <col min="8709" max="8709" width="12.85546875" customWidth="1"/>
    <col min="8710" max="8710" width="24.28515625" customWidth="1"/>
    <col min="8711" max="8711" width="12.28515625" customWidth="1"/>
    <col min="8712" max="8712" width="48.42578125" customWidth="1"/>
    <col min="8713" max="8713" width="15.42578125" customWidth="1"/>
    <col min="8714" max="8714" width="22" customWidth="1"/>
    <col min="8715" max="8715" width="15.85546875" customWidth="1"/>
    <col min="8716" max="8716" width="13.5703125" customWidth="1"/>
    <col min="8717" max="8717" width="17.85546875" customWidth="1"/>
    <col min="8718" max="8718" width="49.28515625" customWidth="1"/>
    <col min="8719" max="8719" width="13.85546875" customWidth="1"/>
    <col min="8720" max="8720" width="11.5703125" customWidth="1"/>
    <col min="8721" max="8721" width="47" customWidth="1"/>
    <col min="8722" max="8722" width="28.85546875" customWidth="1"/>
    <col min="8961" max="8961" width="22.42578125" customWidth="1"/>
    <col min="8962" max="8962" width="12.28515625" customWidth="1"/>
    <col min="8963" max="8963" width="45.5703125" customWidth="1"/>
    <col min="8964" max="8964" width="23.7109375" customWidth="1"/>
    <col min="8965" max="8965" width="12.85546875" customWidth="1"/>
    <col min="8966" max="8966" width="24.28515625" customWidth="1"/>
    <col min="8967" max="8967" width="12.28515625" customWidth="1"/>
    <col min="8968" max="8968" width="48.42578125" customWidth="1"/>
    <col min="8969" max="8969" width="15.42578125" customWidth="1"/>
    <col min="8970" max="8970" width="22" customWidth="1"/>
    <col min="8971" max="8971" width="15.85546875" customWidth="1"/>
    <col min="8972" max="8972" width="13.5703125" customWidth="1"/>
    <col min="8973" max="8973" width="17.85546875" customWidth="1"/>
    <col min="8974" max="8974" width="49.28515625" customWidth="1"/>
    <col min="8975" max="8975" width="13.85546875" customWidth="1"/>
    <col min="8976" max="8976" width="11.5703125" customWidth="1"/>
    <col min="8977" max="8977" width="47" customWidth="1"/>
    <col min="8978" max="8978" width="28.85546875" customWidth="1"/>
    <col min="9217" max="9217" width="22.42578125" customWidth="1"/>
    <col min="9218" max="9218" width="12.28515625" customWidth="1"/>
    <col min="9219" max="9219" width="45.5703125" customWidth="1"/>
    <col min="9220" max="9220" width="23.7109375" customWidth="1"/>
    <col min="9221" max="9221" width="12.85546875" customWidth="1"/>
    <col min="9222" max="9222" width="24.28515625" customWidth="1"/>
    <col min="9223" max="9223" width="12.28515625" customWidth="1"/>
    <col min="9224" max="9224" width="48.42578125" customWidth="1"/>
    <col min="9225" max="9225" width="15.42578125" customWidth="1"/>
    <col min="9226" max="9226" width="22" customWidth="1"/>
    <col min="9227" max="9227" width="15.85546875" customWidth="1"/>
    <col min="9228" max="9228" width="13.5703125" customWidth="1"/>
    <col min="9229" max="9229" width="17.85546875" customWidth="1"/>
    <col min="9230" max="9230" width="49.28515625" customWidth="1"/>
    <col min="9231" max="9231" width="13.85546875" customWidth="1"/>
    <col min="9232" max="9232" width="11.5703125" customWidth="1"/>
    <col min="9233" max="9233" width="47" customWidth="1"/>
    <col min="9234" max="9234" width="28.85546875" customWidth="1"/>
    <col min="9473" max="9473" width="22.42578125" customWidth="1"/>
    <col min="9474" max="9474" width="12.28515625" customWidth="1"/>
    <col min="9475" max="9475" width="45.5703125" customWidth="1"/>
    <col min="9476" max="9476" width="23.7109375" customWidth="1"/>
    <col min="9477" max="9477" width="12.85546875" customWidth="1"/>
    <col min="9478" max="9478" width="24.28515625" customWidth="1"/>
    <col min="9479" max="9479" width="12.28515625" customWidth="1"/>
    <col min="9480" max="9480" width="48.42578125" customWidth="1"/>
    <col min="9481" max="9481" width="15.42578125" customWidth="1"/>
    <col min="9482" max="9482" width="22" customWidth="1"/>
    <col min="9483" max="9483" width="15.85546875" customWidth="1"/>
    <col min="9484" max="9484" width="13.5703125" customWidth="1"/>
    <col min="9485" max="9485" width="17.85546875" customWidth="1"/>
    <col min="9486" max="9486" width="49.28515625" customWidth="1"/>
    <col min="9487" max="9487" width="13.85546875" customWidth="1"/>
    <col min="9488" max="9488" width="11.5703125" customWidth="1"/>
    <col min="9489" max="9489" width="47" customWidth="1"/>
    <col min="9490" max="9490" width="28.85546875" customWidth="1"/>
    <col min="9729" max="9729" width="22.42578125" customWidth="1"/>
    <col min="9730" max="9730" width="12.28515625" customWidth="1"/>
    <col min="9731" max="9731" width="45.5703125" customWidth="1"/>
    <col min="9732" max="9732" width="23.7109375" customWidth="1"/>
    <col min="9733" max="9733" width="12.85546875" customWidth="1"/>
    <col min="9734" max="9734" width="24.28515625" customWidth="1"/>
    <col min="9735" max="9735" width="12.28515625" customWidth="1"/>
    <col min="9736" max="9736" width="48.42578125" customWidth="1"/>
    <col min="9737" max="9737" width="15.42578125" customWidth="1"/>
    <col min="9738" max="9738" width="22" customWidth="1"/>
    <col min="9739" max="9739" width="15.85546875" customWidth="1"/>
    <col min="9740" max="9740" width="13.5703125" customWidth="1"/>
    <col min="9741" max="9741" width="17.85546875" customWidth="1"/>
    <col min="9742" max="9742" width="49.28515625" customWidth="1"/>
    <col min="9743" max="9743" width="13.85546875" customWidth="1"/>
    <col min="9744" max="9744" width="11.5703125" customWidth="1"/>
    <col min="9745" max="9745" width="47" customWidth="1"/>
    <col min="9746" max="9746" width="28.85546875" customWidth="1"/>
    <col min="9985" max="9985" width="22.42578125" customWidth="1"/>
    <col min="9986" max="9986" width="12.28515625" customWidth="1"/>
    <col min="9987" max="9987" width="45.5703125" customWidth="1"/>
    <col min="9988" max="9988" width="23.7109375" customWidth="1"/>
    <col min="9989" max="9989" width="12.85546875" customWidth="1"/>
    <col min="9990" max="9990" width="24.28515625" customWidth="1"/>
    <col min="9991" max="9991" width="12.28515625" customWidth="1"/>
    <col min="9992" max="9992" width="48.42578125" customWidth="1"/>
    <col min="9993" max="9993" width="15.42578125" customWidth="1"/>
    <col min="9994" max="9994" width="22" customWidth="1"/>
    <col min="9995" max="9995" width="15.85546875" customWidth="1"/>
    <col min="9996" max="9996" width="13.5703125" customWidth="1"/>
    <col min="9997" max="9997" width="17.85546875" customWidth="1"/>
    <col min="9998" max="9998" width="49.28515625" customWidth="1"/>
    <col min="9999" max="9999" width="13.85546875" customWidth="1"/>
    <col min="10000" max="10000" width="11.5703125" customWidth="1"/>
    <col min="10001" max="10001" width="47" customWidth="1"/>
    <col min="10002" max="10002" width="28.85546875" customWidth="1"/>
    <col min="10241" max="10241" width="22.42578125" customWidth="1"/>
    <col min="10242" max="10242" width="12.28515625" customWidth="1"/>
    <col min="10243" max="10243" width="45.5703125" customWidth="1"/>
    <col min="10244" max="10244" width="23.7109375" customWidth="1"/>
    <col min="10245" max="10245" width="12.85546875" customWidth="1"/>
    <col min="10246" max="10246" width="24.28515625" customWidth="1"/>
    <col min="10247" max="10247" width="12.28515625" customWidth="1"/>
    <col min="10248" max="10248" width="48.42578125" customWidth="1"/>
    <col min="10249" max="10249" width="15.42578125" customWidth="1"/>
    <col min="10250" max="10250" width="22" customWidth="1"/>
    <col min="10251" max="10251" width="15.85546875" customWidth="1"/>
    <col min="10252" max="10252" width="13.5703125" customWidth="1"/>
    <col min="10253" max="10253" width="17.85546875" customWidth="1"/>
    <col min="10254" max="10254" width="49.28515625" customWidth="1"/>
    <col min="10255" max="10255" width="13.85546875" customWidth="1"/>
    <col min="10256" max="10256" width="11.5703125" customWidth="1"/>
    <col min="10257" max="10257" width="47" customWidth="1"/>
    <col min="10258" max="10258" width="28.85546875" customWidth="1"/>
    <col min="10497" max="10497" width="22.42578125" customWidth="1"/>
    <col min="10498" max="10498" width="12.28515625" customWidth="1"/>
    <col min="10499" max="10499" width="45.5703125" customWidth="1"/>
    <col min="10500" max="10500" width="23.7109375" customWidth="1"/>
    <col min="10501" max="10501" width="12.85546875" customWidth="1"/>
    <col min="10502" max="10502" width="24.28515625" customWidth="1"/>
    <col min="10503" max="10503" width="12.28515625" customWidth="1"/>
    <col min="10504" max="10504" width="48.42578125" customWidth="1"/>
    <col min="10505" max="10505" width="15.42578125" customWidth="1"/>
    <col min="10506" max="10506" width="22" customWidth="1"/>
    <col min="10507" max="10507" width="15.85546875" customWidth="1"/>
    <col min="10508" max="10508" width="13.5703125" customWidth="1"/>
    <col min="10509" max="10509" width="17.85546875" customWidth="1"/>
    <col min="10510" max="10510" width="49.28515625" customWidth="1"/>
    <col min="10511" max="10511" width="13.85546875" customWidth="1"/>
    <col min="10512" max="10512" width="11.5703125" customWidth="1"/>
    <col min="10513" max="10513" width="47" customWidth="1"/>
    <col min="10514" max="10514" width="28.85546875" customWidth="1"/>
    <col min="10753" max="10753" width="22.42578125" customWidth="1"/>
    <col min="10754" max="10754" width="12.28515625" customWidth="1"/>
    <col min="10755" max="10755" width="45.5703125" customWidth="1"/>
    <col min="10756" max="10756" width="23.7109375" customWidth="1"/>
    <col min="10757" max="10757" width="12.85546875" customWidth="1"/>
    <col min="10758" max="10758" width="24.28515625" customWidth="1"/>
    <col min="10759" max="10759" width="12.28515625" customWidth="1"/>
    <col min="10760" max="10760" width="48.42578125" customWidth="1"/>
    <col min="10761" max="10761" width="15.42578125" customWidth="1"/>
    <col min="10762" max="10762" width="22" customWidth="1"/>
    <col min="10763" max="10763" width="15.85546875" customWidth="1"/>
    <col min="10764" max="10764" width="13.5703125" customWidth="1"/>
    <col min="10765" max="10765" width="17.85546875" customWidth="1"/>
    <col min="10766" max="10766" width="49.28515625" customWidth="1"/>
    <col min="10767" max="10767" width="13.85546875" customWidth="1"/>
    <col min="10768" max="10768" width="11.5703125" customWidth="1"/>
    <col min="10769" max="10769" width="47" customWidth="1"/>
    <col min="10770" max="10770" width="28.85546875" customWidth="1"/>
    <col min="11009" max="11009" width="22.42578125" customWidth="1"/>
    <col min="11010" max="11010" width="12.28515625" customWidth="1"/>
    <col min="11011" max="11011" width="45.5703125" customWidth="1"/>
    <col min="11012" max="11012" width="23.7109375" customWidth="1"/>
    <col min="11013" max="11013" width="12.85546875" customWidth="1"/>
    <col min="11014" max="11014" width="24.28515625" customWidth="1"/>
    <col min="11015" max="11015" width="12.28515625" customWidth="1"/>
    <col min="11016" max="11016" width="48.42578125" customWidth="1"/>
    <col min="11017" max="11017" width="15.42578125" customWidth="1"/>
    <col min="11018" max="11018" width="22" customWidth="1"/>
    <col min="11019" max="11019" width="15.85546875" customWidth="1"/>
    <col min="11020" max="11020" width="13.5703125" customWidth="1"/>
    <col min="11021" max="11021" width="17.85546875" customWidth="1"/>
    <col min="11022" max="11022" width="49.28515625" customWidth="1"/>
    <col min="11023" max="11023" width="13.85546875" customWidth="1"/>
    <col min="11024" max="11024" width="11.5703125" customWidth="1"/>
    <col min="11025" max="11025" width="47" customWidth="1"/>
    <col min="11026" max="11026" width="28.85546875" customWidth="1"/>
    <col min="11265" max="11265" width="22.42578125" customWidth="1"/>
    <col min="11266" max="11266" width="12.28515625" customWidth="1"/>
    <col min="11267" max="11267" width="45.5703125" customWidth="1"/>
    <col min="11268" max="11268" width="23.7109375" customWidth="1"/>
    <col min="11269" max="11269" width="12.85546875" customWidth="1"/>
    <col min="11270" max="11270" width="24.28515625" customWidth="1"/>
    <col min="11271" max="11271" width="12.28515625" customWidth="1"/>
    <col min="11272" max="11272" width="48.42578125" customWidth="1"/>
    <col min="11273" max="11273" width="15.42578125" customWidth="1"/>
    <col min="11274" max="11274" width="22" customWidth="1"/>
    <col min="11275" max="11275" width="15.85546875" customWidth="1"/>
    <col min="11276" max="11276" width="13.5703125" customWidth="1"/>
    <col min="11277" max="11277" width="17.85546875" customWidth="1"/>
    <col min="11278" max="11278" width="49.28515625" customWidth="1"/>
    <col min="11279" max="11279" width="13.85546875" customWidth="1"/>
    <col min="11280" max="11280" width="11.5703125" customWidth="1"/>
    <col min="11281" max="11281" width="47" customWidth="1"/>
    <col min="11282" max="11282" width="28.85546875" customWidth="1"/>
    <col min="11521" max="11521" width="22.42578125" customWidth="1"/>
    <col min="11522" max="11522" width="12.28515625" customWidth="1"/>
    <col min="11523" max="11523" width="45.5703125" customWidth="1"/>
    <col min="11524" max="11524" width="23.7109375" customWidth="1"/>
    <col min="11525" max="11525" width="12.85546875" customWidth="1"/>
    <col min="11526" max="11526" width="24.28515625" customWidth="1"/>
    <col min="11527" max="11527" width="12.28515625" customWidth="1"/>
    <col min="11528" max="11528" width="48.42578125" customWidth="1"/>
    <col min="11529" max="11529" width="15.42578125" customWidth="1"/>
    <col min="11530" max="11530" width="22" customWidth="1"/>
    <col min="11531" max="11531" width="15.85546875" customWidth="1"/>
    <col min="11532" max="11532" width="13.5703125" customWidth="1"/>
    <col min="11533" max="11533" width="17.85546875" customWidth="1"/>
    <col min="11534" max="11534" width="49.28515625" customWidth="1"/>
    <col min="11535" max="11535" width="13.85546875" customWidth="1"/>
    <col min="11536" max="11536" width="11.5703125" customWidth="1"/>
    <col min="11537" max="11537" width="47" customWidth="1"/>
    <col min="11538" max="11538" width="28.85546875" customWidth="1"/>
    <col min="11777" max="11777" width="22.42578125" customWidth="1"/>
    <col min="11778" max="11778" width="12.28515625" customWidth="1"/>
    <col min="11779" max="11779" width="45.5703125" customWidth="1"/>
    <col min="11780" max="11780" width="23.7109375" customWidth="1"/>
    <col min="11781" max="11781" width="12.85546875" customWidth="1"/>
    <col min="11782" max="11782" width="24.28515625" customWidth="1"/>
    <col min="11783" max="11783" width="12.28515625" customWidth="1"/>
    <col min="11784" max="11784" width="48.42578125" customWidth="1"/>
    <col min="11785" max="11785" width="15.42578125" customWidth="1"/>
    <col min="11786" max="11786" width="22" customWidth="1"/>
    <col min="11787" max="11787" width="15.85546875" customWidth="1"/>
    <col min="11788" max="11788" width="13.5703125" customWidth="1"/>
    <col min="11789" max="11789" width="17.85546875" customWidth="1"/>
    <col min="11790" max="11790" width="49.28515625" customWidth="1"/>
    <col min="11791" max="11791" width="13.85546875" customWidth="1"/>
    <col min="11792" max="11792" width="11.5703125" customWidth="1"/>
    <col min="11793" max="11793" width="47" customWidth="1"/>
    <col min="11794" max="11794" width="28.85546875" customWidth="1"/>
    <col min="12033" max="12033" width="22.42578125" customWidth="1"/>
    <col min="12034" max="12034" width="12.28515625" customWidth="1"/>
    <col min="12035" max="12035" width="45.5703125" customWidth="1"/>
    <col min="12036" max="12036" width="23.7109375" customWidth="1"/>
    <col min="12037" max="12037" width="12.85546875" customWidth="1"/>
    <col min="12038" max="12038" width="24.28515625" customWidth="1"/>
    <col min="12039" max="12039" width="12.28515625" customWidth="1"/>
    <col min="12040" max="12040" width="48.42578125" customWidth="1"/>
    <col min="12041" max="12041" width="15.42578125" customWidth="1"/>
    <col min="12042" max="12042" width="22" customWidth="1"/>
    <col min="12043" max="12043" width="15.85546875" customWidth="1"/>
    <col min="12044" max="12044" width="13.5703125" customWidth="1"/>
    <col min="12045" max="12045" width="17.85546875" customWidth="1"/>
    <col min="12046" max="12046" width="49.28515625" customWidth="1"/>
    <col min="12047" max="12047" width="13.85546875" customWidth="1"/>
    <col min="12048" max="12048" width="11.5703125" customWidth="1"/>
    <col min="12049" max="12049" width="47" customWidth="1"/>
    <col min="12050" max="12050" width="28.85546875" customWidth="1"/>
    <col min="12289" max="12289" width="22.42578125" customWidth="1"/>
    <col min="12290" max="12290" width="12.28515625" customWidth="1"/>
    <col min="12291" max="12291" width="45.5703125" customWidth="1"/>
    <col min="12292" max="12292" width="23.7109375" customWidth="1"/>
    <col min="12293" max="12293" width="12.85546875" customWidth="1"/>
    <col min="12294" max="12294" width="24.28515625" customWidth="1"/>
    <col min="12295" max="12295" width="12.28515625" customWidth="1"/>
    <col min="12296" max="12296" width="48.42578125" customWidth="1"/>
    <col min="12297" max="12297" width="15.42578125" customWidth="1"/>
    <col min="12298" max="12298" width="22" customWidth="1"/>
    <col min="12299" max="12299" width="15.85546875" customWidth="1"/>
    <col min="12300" max="12300" width="13.5703125" customWidth="1"/>
    <col min="12301" max="12301" width="17.85546875" customWidth="1"/>
    <col min="12302" max="12302" width="49.28515625" customWidth="1"/>
    <col min="12303" max="12303" width="13.85546875" customWidth="1"/>
    <col min="12304" max="12304" width="11.5703125" customWidth="1"/>
    <col min="12305" max="12305" width="47" customWidth="1"/>
    <col min="12306" max="12306" width="28.85546875" customWidth="1"/>
    <col min="12545" max="12545" width="22.42578125" customWidth="1"/>
    <col min="12546" max="12546" width="12.28515625" customWidth="1"/>
    <col min="12547" max="12547" width="45.5703125" customWidth="1"/>
    <col min="12548" max="12548" width="23.7109375" customWidth="1"/>
    <col min="12549" max="12549" width="12.85546875" customWidth="1"/>
    <col min="12550" max="12550" width="24.28515625" customWidth="1"/>
    <col min="12551" max="12551" width="12.28515625" customWidth="1"/>
    <col min="12552" max="12552" width="48.42578125" customWidth="1"/>
    <col min="12553" max="12553" width="15.42578125" customWidth="1"/>
    <col min="12554" max="12554" width="22" customWidth="1"/>
    <col min="12555" max="12555" width="15.85546875" customWidth="1"/>
    <col min="12556" max="12556" width="13.5703125" customWidth="1"/>
    <col min="12557" max="12557" width="17.85546875" customWidth="1"/>
    <col min="12558" max="12558" width="49.28515625" customWidth="1"/>
    <col min="12559" max="12559" width="13.85546875" customWidth="1"/>
    <col min="12560" max="12560" width="11.5703125" customWidth="1"/>
    <col min="12561" max="12561" width="47" customWidth="1"/>
    <col min="12562" max="12562" width="28.85546875" customWidth="1"/>
    <col min="12801" max="12801" width="22.42578125" customWidth="1"/>
    <col min="12802" max="12802" width="12.28515625" customWidth="1"/>
    <col min="12803" max="12803" width="45.5703125" customWidth="1"/>
    <col min="12804" max="12804" width="23.7109375" customWidth="1"/>
    <col min="12805" max="12805" width="12.85546875" customWidth="1"/>
    <col min="12806" max="12806" width="24.28515625" customWidth="1"/>
    <col min="12807" max="12807" width="12.28515625" customWidth="1"/>
    <col min="12808" max="12808" width="48.42578125" customWidth="1"/>
    <col min="12809" max="12809" width="15.42578125" customWidth="1"/>
    <col min="12810" max="12810" width="22" customWidth="1"/>
    <col min="12811" max="12811" width="15.85546875" customWidth="1"/>
    <col min="12812" max="12812" width="13.5703125" customWidth="1"/>
    <col min="12813" max="12813" width="17.85546875" customWidth="1"/>
    <col min="12814" max="12814" width="49.28515625" customWidth="1"/>
    <col min="12815" max="12815" width="13.85546875" customWidth="1"/>
    <col min="12816" max="12816" width="11.5703125" customWidth="1"/>
    <col min="12817" max="12817" width="47" customWidth="1"/>
    <col min="12818" max="12818" width="28.85546875" customWidth="1"/>
    <col min="13057" max="13057" width="22.42578125" customWidth="1"/>
    <col min="13058" max="13058" width="12.28515625" customWidth="1"/>
    <col min="13059" max="13059" width="45.5703125" customWidth="1"/>
    <col min="13060" max="13060" width="23.7109375" customWidth="1"/>
    <col min="13061" max="13061" width="12.85546875" customWidth="1"/>
    <col min="13062" max="13062" width="24.28515625" customWidth="1"/>
    <col min="13063" max="13063" width="12.28515625" customWidth="1"/>
    <col min="13064" max="13064" width="48.42578125" customWidth="1"/>
    <col min="13065" max="13065" width="15.42578125" customWidth="1"/>
    <col min="13066" max="13066" width="22" customWidth="1"/>
    <col min="13067" max="13067" width="15.85546875" customWidth="1"/>
    <col min="13068" max="13068" width="13.5703125" customWidth="1"/>
    <col min="13069" max="13069" width="17.85546875" customWidth="1"/>
    <col min="13070" max="13070" width="49.28515625" customWidth="1"/>
    <col min="13071" max="13071" width="13.85546875" customWidth="1"/>
    <col min="13072" max="13072" width="11.5703125" customWidth="1"/>
    <col min="13073" max="13073" width="47" customWidth="1"/>
    <col min="13074" max="13074" width="28.85546875" customWidth="1"/>
    <col min="13313" max="13313" width="22.42578125" customWidth="1"/>
    <col min="13314" max="13314" width="12.28515625" customWidth="1"/>
    <col min="13315" max="13315" width="45.5703125" customWidth="1"/>
    <col min="13316" max="13316" width="23.7109375" customWidth="1"/>
    <col min="13317" max="13317" width="12.85546875" customWidth="1"/>
    <col min="13318" max="13318" width="24.28515625" customWidth="1"/>
    <col min="13319" max="13319" width="12.28515625" customWidth="1"/>
    <col min="13320" max="13320" width="48.42578125" customWidth="1"/>
    <col min="13321" max="13321" width="15.42578125" customWidth="1"/>
    <col min="13322" max="13322" width="22" customWidth="1"/>
    <col min="13323" max="13323" width="15.85546875" customWidth="1"/>
    <col min="13324" max="13324" width="13.5703125" customWidth="1"/>
    <col min="13325" max="13325" width="17.85546875" customWidth="1"/>
    <col min="13326" max="13326" width="49.28515625" customWidth="1"/>
    <col min="13327" max="13327" width="13.85546875" customWidth="1"/>
    <col min="13328" max="13328" width="11.5703125" customWidth="1"/>
    <col min="13329" max="13329" width="47" customWidth="1"/>
    <col min="13330" max="13330" width="28.85546875" customWidth="1"/>
    <col min="13569" max="13569" width="22.42578125" customWidth="1"/>
    <col min="13570" max="13570" width="12.28515625" customWidth="1"/>
    <col min="13571" max="13571" width="45.5703125" customWidth="1"/>
    <col min="13572" max="13572" width="23.7109375" customWidth="1"/>
    <col min="13573" max="13573" width="12.85546875" customWidth="1"/>
    <col min="13574" max="13574" width="24.28515625" customWidth="1"/>
    <col min="13575" max="13575" width="12.28515625" customWidth="1"/>
    <col min="13576" max="13576" width="48.42578125" customWidth="1"/>
    <col min="13577" max="13577" width="15.42578125" customWidth="1"/>
    <col min="13578" max="13578" width="22" customWidth="1"/>
    <col min="13579" max="13579" width="15.85546875" customWidth="1"/>
    <col min="13580" max="13580" width="13.5703125" customWidth="1"/>
    <col min="13581" max="13581" width="17.85546875" customWidth="1"/>
    <col min="13582" max="13582" width="49.28515625" customWidth="1"/>
    <col min="13583" max="13583" width="13.85546875" customWidth="1"/>
    <col min="13584" max="13584" width="11.5703125" customWidth="1"/>
    <col min="13585" max="13585" width="47" customWidth="1"/>
    <col min="13586" max="13586" width="28.85546875" customWidth="1"/>
    <col min="13825" max="13825" width="22.42578125" customWidth="1"/>
    <col min="13826" max="13826" width="12.28515625" customWidth="1"/>
    <col min="13827" max="13827" width="45.5703125" customWidth="1"/>
    <col min="13828" max="13828" width="23.7109375" customWidth="1"/>
    <col min="13829" max="13829" width="12.85546875" customWidth="1"/>
    <col min="13830" max="13830" width="24.28515625" customWidth="1"/>
    <col min="13831" max="13831" width="12.28515625" customWidth="1"/>
    <col min="13832" max="13832" width="48.42578125" customWidth="1"/>
    <col min="13833" max="13833" width="15.42578125" customWidth="1"/>
    <col min="13834" max="13834" width="22" customWidth="1"/>
    <col min="13835" max="13835" width="15.85546875" customWidth="1"/>
    <col min="13836" max="13836" width="13.5703125" customWidth="1"/>
    <col min="13837" max="13837" width="17.85546875" customWidth="1"/>
    <col min="13838" max="13838" width="49.28515625" customWidth="1"/>
    <col min="13839" max="13839" width="13.85546875" customWidth="1"/>
    <col min="13840" max="13840" width="11.5703125" customWidth="1"/>
    <col min="13841" max="13841" width="47" customWidth="1"/>
    <col min="13842" max="13842" width="28.85546875" customWidth="1"/>
    <col min="14081" max="14081" width="22.42578125" customWidth="1"/>
    <col min="14082" max="14082" width="12.28515625" customWidth="1"/>
    <col min="14083" max="14083" width="45.5703125" customWidth="1"/>
    <col min="14084" max="14084" width="23.7109375" customWidth="1"/>
    <col min="14085" max="14085" width="12.85546875" customWidth="1"/>
    <col min="14086" max="14086" width="24.28515625" customWidth="1"/>
    <col min="14087" max="14087" width="12.28515625" customWidth="1"/>
    <col min="14088" max="14088" width="48.42578125" customWidth="1"/>
    <col min="14089" max="14089" width="15.42578125" customWidth="1"/>
    <col min="14090" max="14090" width="22" customWidth="1"/>
    <col min="14091" max="14091" width="15.85546875" customWidth="1"/>
    <col min="14092" max="14092" width="13.5703125" customWidth="1"/>
    <col min="14093" max="14093" width="17.85546875" customWidth="1"/>
    <col min="14094" max="14094" width="49.28515625" customWidth="1"/>
    <col min="14095" max="14095" width="13.85546875" customWidth="1"/>
    <col min="14096" max="14096" width="11.5703125" customWidth="1"/>
    <col min="14097" max="14097" width="47" customWidth="1"/>
    <col min="14098" max="14098" width="28.85546875" customWidth="1"/>
    <col min="14337" max="14337" width="22.42578125" customWidth="1"/>
    <col min="14338" max="14338" width="12.28515625" customWidth="1"/>
    <col min="14339" max="14339" width="45.5703125" customWidth="1"/>
    <col min="14340" max="14340" width="23.7109375" customWidth="1"/>
    <col min="14341" max="14341" width="12.85546875" customWidth="1"/>
    <col min="14342" max="14342" width="24.28515625" customWidth="1"/>
    <col min="14343" max="14343" width="12.28515625" customWidth="1"/>
    <col min="14344" max="14344" width="48.42578125" customWidth="1"/>
    <col min="14345" max="14345" width="15.42578125" customWidth="1"/>
    <col min="14346" max="14346" width="22" customWidth="1"/>
    <col min="14347" max="14347" width="15.85546875" customWidth="1"/>
    <col min="14348" max="14348" width="13.5703125" customWidth="1"/>
    <col min="14349" max="14349" width="17.85546875" customWidth="1"/>
    <col min="14350" max="14350" width="49.28515625" customWidth="1"/>
    <col min="14351" max="14351" width="13.85546875" customWidth="1"/>
    <col min="14352" max="14352" width="11.5703125" customWidth="1"/>
    <col min="14353" max="14353" width="47" customWidth="1"/>
    <col min="14354" max="14354" width="28.85546875" customWidth="1"/>
    <col min="14593" max="14593" width="22.42578125" customWidth="1"/>
    <col min="14594" max="14594" width="12.28515625" customWidth="1"/>
    <col min="14595" max="14595" width="45.5703125" customWidth="1"/>
    <col min="14596" max="14596" width="23.7109375" customWidth="1"/>
    <col min="14597" max="14597" width="12.85546875" customWidth="1"/>
    <col min="14598" max="14598" width="24.28515625" customWidth="1"/>
    <col min="14599" max="14599" width="12.28515625" customWidth="1"/>
    <col min="14600" max="14600" width="48.42578125" customWidth="1"/>
    <col min="14601" max="14601" width="15.42578125" customWidth="1"/>
    <col min="14602" max="14602" width="22" customWidth="1"/>
    <col min="14603" max="14603" width="15.85546875" customWidth="1"/>
    <col min="14604" max="14604" width="13.5703125" customWidth="1"/>
    <col min="14605" max="14605" width="17.85546875" customWidth="1"/>
    <col min="14606" max="14606" width="49.28515625" customWidth="1"/>
    <col min="14607" max="14607" width="13.85546875" customWidth="1"/>
    <col min="14608" max="14608" width="11.5703125" customWidth="1"/>
    <col min="14609" max="14609" width="47" customWidth="1"/>
    <col min="14610" max="14610" width="28.85546875" customWidth="1"/>
    <col min="14849" max="14849" width="22.42578125" customWidth="1"/>
    <col min="14850" max="14850" width="12.28515625" customWidth="1"/>
    <col min="14851" max="14851" width="45.5703125" customWidth="1"/>
    <col min="14852" max="14852" width="23.7109375" customWidth="1"/>
    <col min="14853" max="14853" width="12.85546875" customWidth="1"/>
    <col min="14854" max="14854" width="24.28515625" customWidth="1"/>
    <col min="14855" max="14855" width="12.28515625" customWidth="1"/>
    <col min="14856" max="14856" width="48.42578125" customWidth="1"/>
    <col min="14857" max="14857" width="15.42578125" customWidth="1"/>
    <col min="14858" max="14858" width="22" customWidth="1"/>
    <col min="14859" max="14859" width="15.85546875" customWidth="1"/>
    <col min="14860" max="14860" width="13.5703125" customWidth="1"/>
    <col min="14861" max="14861" width="17.85546875" customWidth="1"/>
    <col min="14862" max="14862" width="49.28515625" customWidth="1"/>
    <col min="14863" max="14863" width="13.85546875" customWidth="1"/>
    <col min="14864" max="14864" width="11.5703125" customWidth="1"/>
    <col min="14865" max="14865" width="47" customWidth="1"/>
    <col min="14866" max="14866" width="28.85546875" customWidth="1"/>
    <col min="15105" max="15105" width="22.42578125" customWidth="1"/>
    <col min="15106" max="15106" width="12.28515625" customWidth="1"/>
    <col min="15107" max="15107" width="45.5703125" customWidth="1"/>
    <col min="15108" max="15108" width="23.7109375" customWidth="1"/>
    <col min="15109" max="15109" width="12.85546875" customWidth="1"/>
    <col min="15110" max="15110" width="24.28515625" customWidth="1"/>
    <col min="15111" max="15111" width="12.28515625" customWidth="1"/>
    <col min="15112" max="15112" width="48.42578125" customWidth="1"/>
    <col min="15113" max="15113" width="15.42578125" customWidth="1"/>
    <col min="15114" max="15114" width="22" customWidth="1"/>
    <col min="15115" max="15115" width="15.85546875" customWidth="1"/>
    <col min="15116" max="15116" width="13.5703125" customWidth="1"/>
    <col min="15117" max="15117" width="17.85546875" customWidth="1"/>
    <col min="15118" max="15118" width="49.28515625" customWidth="1"/>
    <col min="15119" max="15119" width="13.85546875" customWidth="1"/>
    <col min="15120" max="15120" width="11.5703125" customWidth="1"/>
    <col min="15121" max="15121" width="47" customWidth="1"/>
    <col min="15122" max="15122" width="28.85546875" customWidth="1"/>
    <col min="15361" max="15361" width="22.42578125" customWidth="1"/>
    <col min="15362" max="15362" width="12.28515625" customWidth="1"/>
    <col min="15363" max="15363" width="45.5703125" customWidth="1"/>
    <col min="15364" max="15364" width="23.7109375" customWidth="1"/>
    <col min="15365" max="15365" width="12.85546875" customWidth="1"/>
    <col min="15366" max="15366" width="24.28515625" customWidth="1"/>
    <col min="15367" max="15367" width="12.28515625" customWidth="1"/>
    <col min="15368" max="15368" width="48.42578125" customWidth="1"/>
    <col min="15369" max="15369" width="15.42578125" customWidth="1"/>
    <col min="15370" max="15370" width="22" customWidth="1"/>
    <col min="15371" max="15371" width="15.85546875" customWidth="1"/>
    <col min="15372" max="15372" width="13.5703125" customWidth="1"/>
    <col min="15373" max="15373" width="17.85546875" customWidth="1"/>
    <col min="15374" max="15374" width="49.28515625" customWidth="1"/>
    <col min="15375" max="15375" width="13.85546875" customWidth="1"/>
    <col min="15376" max="15376" width="11.5703125" customWidth="1"/>
    <col min="15377" max="15377" width="47" customWidth="1"/>
    <col min="15378" max="15378" width="28.85546875" customWidth="1"/>
    <col min="15617" max="15617" width="22.42578125" customWidth="1"/>
    <col min="15618" max="15618" width="12.28515625" customWidth="1"/>
    <col min="15619" max="15619" width="45.5703125" customWidth="1"/>
    <col min="15620" max="15620" width="23.7109375" customWidth="1"/>
    <col min="15621" max="15621" width="12.85546875" customWidth="1"/>
    <col min="15622" max="15622" width="24.28515625" customWidth="1"/>
    <col min="15623" max="15623" width="12.28515625" customWidth="1"/>
    <col min="15624" max="15624" width="48.42578125" customWidth="1"/>
    <col min="15625" max="15625" width="15.42578125" customWidth="1"/>
    <col min="15626" max="15626" width="22" customWidth="1"/>
    <col min="15627" max="15627" width="15.85546875" customWidth="1"/>
    <col min="15628" max="15628" width="13.5703125" customWidth="1"/>
    <col min="15629" max="15629" width="17.85546875" customWidth="1"/>
    <col min="15630" max="15630" width="49.28515625" customWidth="1"/>
    <col min="15631" max="15631" width="13.85546875" customWidth="1"/>
    <col min="15632" max="15632" width="11.5703125" customWidth="1"/>
    <col min="15633" max="15633" width="47" customWidth="1"/>
    <col min="15634" max="15634" width="28.85546875" customWidth="1"/>
    <col min="15873" max="15873" width="22.42578125" customWidth="1"/>
    <col min="15874" max="15874" width="12.28515625" customWidth="1"/>
    <col min="15875" max="15875" width="45.5703125" customWidth="1"/>
    <col min="15876" max="15876" width="23.7109375" customWidth="1"/>
    <col min="15877" max="15877" width="12.85546875" customWidth="1"/>
    <col min="15878" max="15878" width="24.28515625" customWidth="1"/>
    <col min="15879" max="15879" width="12.28515625" customWidth="1"/>
    <col min="15880" max="15880" width="48.42578125" customWidth="1"/>
    <col min="15881" max="15881" width="15.42578125" customWidth="1"/>
    <col min="15882" max="15882" width="22" customWidth="1"/>
    <col min="15883" max="15883" width="15.85546875" customWidth="1"/>
    <col min="15884" max="15884" width="13.5703125" customWidth="1"/>
    <col min="15885" max="15885" width="17.85546875" customWidth="1"/>
    <col min="15886" max="15886" width="49.28515625" customWidth="1"/>
    <col min="15887" max="15887" width="13.85546875" customWidth="1"/>
    <col min="15888" max="15888" width="11.5703125" customWidth="1"/>
    <col min="15889" max="15889" width="47" customWidth="1"/>
    <col min="15890" max="15890" width="28.85546875" customWidth="1"/>
    <col min="16129" max="16129" width="22.42578125" customWidth="1"/>
    <col min="16130" max="16130" width="12.28515625" customWidth="1"/>
    <col min="16131" max="16131" width="45.5703125" customWidth="1"/>
    <col min="16132" max="16132" width="23.7109375" customWidth="1"/>
    <col min="16133" max="16133" width="12.85546875" customWidth="1"/>
    <col min="16134" max="16134" width="24.28515625" customWidth="1"/>
    <col min="16135" max="16135" width="12.28515625" customWidth="1"/>
    <col min="16136" max="16136" width="48.42578125" customWidth="1"/>
    <col min="16137" max="16137" width="15.42578125" customWidth="1"/>
    <col min="16138" max="16138" width="22" customWidth="1"/>
    <col min="16139" max="16139" width="15.85546875" customWidth="1"/>
    <col min="16140" max="16140" width="13.5703125" customWidth="1"/>
    <col min="16141" max="16141" width="17.85546875" customWidth="1"/>
    <col min="16142" max="16142" width="49.28515625" customWidth="1"/>
    <col min="16143" max="16143" width="13.85546875" customWidth="1"/>
    <col min="16144" max="16144" width="11.5703125" customWidth="1"/>
    <col min="16145" max="16145" width="47" customWidth="1"/>
    <col min="16146" max="16146" width="28.85546875" customWidth="1"/>
  </cols>
  <sheetData>
    <row r="1" spans="1:18" x14ac:dyDescent="0.2">
      <c r="A1" s="335" t="s">
        <v>698</v>
      </c>
      <c r="B1" s="336" t="s">
        <v>708</v>
      </c>
      <c r="C1" s="337"/>
    </row>
    <row r="2" spans="1:18" x14ac:dyDescent="0.2">
      <c r="A2" s="335" t="s">
        <v>704</v>
      </c>
      <c r="B2" s="336" t="s">
        <v>911</v>
      </c>
      <c r="C2" s="337"/>
    </row>
    <row r="3" spans="1:18" x14ac:dyDescent="0.2">
      <c r="A3" s="335" t="s">
        <v>699</v>
      </c>
      <c r="B3" s="336" t="s">
        <v>914</v>
      </c>
      <c r="C3" s="337"/>
    </row>
    <row r="4" spans="1:18" x14ac:dyDescent="0.2">
      <c r="A4" s="335" t="s">
        <v>700</v>
      </c>
      <c r="B4" s="336" t="s">
        <v>701</v>
      </c>
      <c r="C4" s="337"/>
    </row>
    <row r="5" spans="1:18" x14ac:dyDescent="0.2">
      <c r="A5" s="335" t="s">
        <v>249</v>
      </c>
      <c r="B5" s="336">
        <v>2025</v>
      </c>
      <c r="C5" s="337"/>
    </row>
    <row r="6" spans="1:18" x14ac:dyDescent="0.2">
      <c r="A6" s="335" t="s">
        <v>702</v>
      </c>
      <c r="B6" s="336" t="s">
        <v>912</v>
      </c>
      <c r="C6" s="337"/>
    </row>
    <row r="7" spans="1:18" x14ac:dyDescent="0.2">
      <c r="A7" s="335" t="s">
        <v>703</v>
      </c>
      <c r="B7" s="336" t="s">
        <v>913</v>
      </c>
      <c r="C7" s="337"/>
    </row>
    <row r="8" spans="1:18" x14ac:dyDescent="0.2">
      <c r="A8" s="335" t="s">
        <v>709</v>
      </c>
      <c r="B8" s="336" t="s">
        <v>768</v>
      </c>
      <c r="C8" s="337"/>
    </row>
    <row r="9" spans="1:18" x14ac:dyDescent="0.2">
      <c r="A9" s="327" t="s">
        <v>705</v>
      </c>
      <c r="B9" s="328">
        <v>45966</v>
      </c>
    </row>
    <row r="10" spans="1:18" s="325" customFormat="1" x14ac:dyDescent="0.2">
      <c r="A10" s="326" t="s">
        <v>697</v>
      </c>
      <c r="B10" s="331" t="s">
        <v>797</v>
      </c>
    </row>
    <row r="11" spans="1:18" s="325" customFormat="1" ht="13.5" thickBot="1" x14ac:dyDescent="0.25">
      <c r="A11" s="326"/>
    </row>
    <row r="12" spans="1:18" ht="25.5" x14ac:dyDescent="0.2">
      <c r="A12" s="338" t="s">
        <v>710</v>
      </c>
      <c r="B12" s="339" t="s">
        <v>711</v>
      </c>
      <c r="C12" s="339" t="s">
        <v>699</v>
      </c>
      <c r="D12" s="339" t="s">
        <v>712</v>
      </c>
      <c r="E12" s="339" t="s">
        <v>713</v>
      </c>
      <c r="F12" s="339" t="s">
        <v>714</v>
      </c>
      <c r="G12" s="339" t="s">
        <v>715</v>
      </c>
      <c r="H12" s="339" t="s">
        <v>716</v>
      </c>
      <c r="I12" s="339" t="s">
        <v>717</v>
      </c>
      <c r="J12" s="339" t="s">
        <v>706</v>
      </c>
      <c r="K12" s="339" t="s">
        <v>718</v>
      </c>
      <c r="L12" s="339" t="s">
        <v>719</v>
      </c>
      <c r="M12" s="339" t="s">
        <v>720</v>
      </c>
      <c r="N12" s="339" t="s">
        <v>721</v>
      </c>
      <c r="O12" s="340" t="s">
        <v>722</v>
      </c>
      <c r="P12" s="339" t="s">
        <v>723</v>
      </c>
      <c r="Q12" s="339" t="s">
        <v>724</v>
      </c>
      <c r="R12" s="341" t="s">
        <v>725</v>
      </c>
    </row>
    <row r="13" spans="1:18" x14ac:dyDescent="0.2">
      <c r="A13" s="342" t="s">
        <v>728</v>
      </c>
      <c r="B13" s="337" t="s">
        <v>793</v>
      </c>
      <c r="C13" s="337" t="s">
        <v>795</v>
      </c>
      <c r="D13" s="337" t="s">
        <v>798</v>
      </c>
      <c r="E13" s="337" t="s">
        <v>790</v>
      </c>
      <c r="F13" s="337" t="s">
        <v>771</v>
      </c>
      <c r="G13" s="337" t="s">
        <v>799</v>
      </c>
      <c r="H13" s="337" t="s">
        <v>800</v>
      </c>
      <c r="I13" s="337" t="s">
        <v>767</v>
      </c>
      <c r="J13" s="337" t="s">
        <v>765</v>
      </c>
      <c r="K13" s="337"/>
      <c r="L13" s="337"/>
      <c r="M13" s="337" t="s">
        <v>801</v>
      </c>
      <c r="N13" s="337" t="s">
        <v>756</v>
      </c>
      <c r="O13" s="337" t="e">
        <v>#N/A</v>
      </c>
      <c r="P13" s="337"/>
      <c r="Q13" s="337"/>
      <c r="R13" s="343">
        <v>-113700.06</v>
      </c>
    </row>
    <row r="14" spans="1:18" x14ac:dyDescent="0.2">
      <c r="A14" s="342" t="s">
        <v>730</v>
      </c>
      <c r="B14" s="337" t="s">
        <v>793</v>
      </c>
      <c r="C14" s="337" t="s">
        <v>795</v>
      </c>
      <c r="D14" s="337" t="s">
        <v>798</v>
      </c>
      <c r="E14" s="337" t="s">
        <v>790</v>
      </c>
      <c r="F14" s="337" t="s">
        <v>771</v>
      </c>
      <c r="G14" s="337" t="s">
        <v>799</v>
      </c>
      <c r="H14" s="337" t="s">
        <v>800</v>
      </c>
      <c r="I14" s="337" t="s">
        <v>767</v>
      </c>
      <c r="J14" s="337" t="s">
        <v>765</v>
      </c>
      <c r="K14" s="337"/>
      <c r="L14" s="337"/>
      <c r="M14" s="337" t="s">
        <v>801</v>
      </c>
      <c r="N14" s="337" t="s">
        <v>756</v>
      </c>
      <c r="O14" s="337" t="e">
        <v>#N/A</v>
      </c>
      <c r="P14" s="337"/>
      <c r="Q14" s="337"/>
      <c r="R14" s="343">
        <v>-3640.25</v>
      </c>
    </row>
    <row r="15" spans="1:18" x14ac:dyDescent="0.2">
      <c r="A15" s="342" t="s">
        <v>731</v>
      </c>
      <c r="B15" s="337" t="s">
        <v>793</v>
      </c>
      <c r="C15" s="337" t="s">
        <v>795</v>
      </c>
      <c r="D15" s="337" t="s">
        <v>798</v>
      </c>
      <c r="E15" s="337" t="s">
        <v>790</v>
      </c>
      <c r="F15" s="337" t="s">
        <v>771</v>
      </c>
      <c r="G15" s="337" t="s">
        <v>799</v>
      </c>
      <c r="H15" s="337" t="s">
        <v>800</v>
      </c>
      <c r="I15" s="337" t="s">
        <v>767</v>
      </c>
      <c r="J15" s="337" t="s">
        <v>765</v>
      </c>
      <c r="K15" s="337"/>
      <c r="L15" s="337"/>
      <c r="M15" s="337" t="s">
        <v>801</v>
      </c>
      <c r="N15" s="337" t="s">
        <v>756</v>
      </c>
      <c r="O15" s="337" t="e">
        <v>#N/A</v>
      </c>
      <c r="P15" s="337"/>
      <c r="Q15" s="337"/>
      <c r="R15" s="343">
        <v>-2971.63</v>
      </c>
    </row>
    <row r="16" spans="1:18" x14ac:dyDescent="0.2">
      <c r="A16" s="342" t="s">
        <v>732</v>
      </c>
      <c r="B16" s="337" t="s">
        <v>793</v>
      </c>
      <c r="C16" s="337" t="s">
        <v>795</v>
      </c>
      <c r="D16" s="337" t="s">
        <v>798</v>
      </c>
      <c r="E16" s="337" t="s">
        <v>790</v>
      </c>
      <c r="F16" s="337" t="s">
        <v>771</v>
      </c>
      <c r="G16" s="337" t="s">
        <v>799</v>
      </c>
      <c r="H16" s="337" t="s">
        <v>800</v>
      </c>
      <c r="I16" s="337" t="s">
        <v>767</v>
      </c>
      <c r="J16" s="337" t="s">
        <v>765</v>
      </c>
      <c r="K16" s="337"/>
      <c r="L16" s="337"/>
      <c r="M16" s="337" t="s">
        <v>801</v>
      </c>
      <c r="N16" s="337" t="s">
        <v>756</v>
      </c>
      <c r="O16" s="337" t="e">
        <v>#N/A</v>
      </c>
      <c r="P16" s="337"/>
      <c r="Q16" s="337"/>
      <c r="R16" s="343">
        <v>-164482.81</v>
      </c>
    </row>
    <row r="17" spans="1:18" x14ac:dyDescent="0.2">
      <c r="A17" s="342" t="s">
        <v>726</v>
      </c>
      <c r="B17" s="337" t="s">
        <v>793</v>
      </c>
      <c r="C17" s="337" t="s">
        <v>795</v>
      </c>
      <c r="D17" s="337" t="s">
        <v>798</v>
      </c>
      <c r="E17" s="337" t="s">
        <v>790</v>
      </c>
      <c r="F17" s="337" t="s">
        <v>771</v>
      </c>
      <c r="G17" s="337" t="s">
        <v>799</v>
      </c>
      <c r="H17" s="337" t="s">
        <v>800</v>
      </c>
      <c r="I17" s="337" t="s">
        <v>767</v>
      </c>
      <c r="J17" s="337" t="s">
        <v>765</v>
      </c>
      <c r="K17" s="337"/>
      <c r="L17" s="337"/>
      <c r="M17" s="337" t="s">
        <v>801</v>
      </c>
      <c r="N17" s="337" t="s">
        <v>756</v>
      </c>
      <c r="O17" s="337" t="e">
        <v>#N/A</v>
      </c>
      <c r="P17" s="337"/>
      <c r="Q17" s="337"/>
      <c r="R17" s="343">
        <v>-2978.05</v>
      </c>
    </row>
    <row r="18" spans="1:18" x14ac:dyDescent="0.2">
      <c r="A18" s="342" t="s">
        <v>733</v>
      </c>
      <c r="B18" s="337" t="s">
        <v>793</v>
      </c>
      <c r="C18" s="337" t="s">
        <v>795</v>
      </c>
      <c r="D18" s="337" t="s">
        <v>798</v>
      </c>
      <c r="E18" s="337" t="s">
        <v>790</v>
      </c>
      <c r="F18" s="337" t="s">
        <v>771</v>
      </c>
      <c r="G18" s="337" t="s">
        <v>799</v>
      </c>
      <c r="H18" s="337" t="s">
        <v>800</v>
      </c>
      <c r="I18" s="337" t="s">
        <v>767</v>
      </c>
      <c r="J18" s="337" t="s">
        <v>765</v>
      </c>
      <c r="K18" s="337"/>
      <c r="L18" s="337"/>
      <c r="M18" s="337" t="s">
        <v>801</v>
      </c>
      <c r="N18" s="337" t="s">
        <v>756</v>
      </c>
      <c r="O18" s="337" t="e">
        <v>#N/A</v>
      </c>
      <c r="P18" s="337"/>
      <c r="Q18" s="337"/>
      <c r="R18" s="343">
        <v>-164725.53</v>
      </c>
    </row>
    <row r="19" spans="1:18" x14ac:dyDescent="0.2">
      <c r="A19" s="342" t="s">
        <v>734</v>
      </c>
      <c r="B19" s="337" t="s">
        <v>793</v>
      </c>
      <c r="C19" s="337" t="s">
        <v>795</v>
      </c>
      <c r="D19" s="337" t="s">
        <v>798</v>
      </c>
      <c r="E19" s="337" t="s">
        <v>790</v>
      </c>
      <c r="F19" s="337" t="s">
        <v>771</v>
      </c>
      <c r="G19" s="337" t="s">
        <v>799</v>
      </c>
      <c r="H19" s="337" t="s">
        <v>800</v>
      </c>
      <c r="I19" s="337" t="s">
        <v>767</v>
      </c>
      <c r="J19" s="337" t="s">
        <v>765</v>
      </c>
      <c r="K19" s="337"/>
      <c r="L19" s="337"/>
      <c r="M19" s="337" t="s">
        <v>801</v>
      </c>
      <c r="N19" s="337" t="s">
        <v>756</v>
      </c>
      <c r="O19" s="337" t="e">
        <v>#N/A</v>
      </c>
      <c r="P19" s="337"/>
      <c r="Q19" s="337"/>
      <c r="R19" s="343">
        <v>-170954.75</v>
      </c>
    </row>
    <row r="20" spans="1:18" x14ac:dyDescent="0.2">
      <c r="A20" s="342" t="s">
        <v>735</v>
      </c>
      <c r="B20" s="337" t="s">
        <v>793</v>
      </c>
      <c r="C20" s="337" t="s">
        <v>795</v>
      </c>
      <c r="D20" s="337" t="s">
        <v>798</v>
      </c>
      <c r="E20" s="337" t="s">
        <v>790</v>
      </c>
      <c r="F20" s="337" t="s">
        <v>771</v>
      </c>
      <c r="G20" s="337" t="s">
        <v>799</v>
      </c>
      <c r="H20" s="337" t="s">
        <v>800</v>
      </c>
      <c r="I20" s="337" t="s">
        <v>767</v>
      </c>
      <c r="J20" s="337" t="s">
        <v>765</v>
      </c>
      <c r="K20" s="337"/>
      <c r="L20" s="337"/>
      <c r="M20" s="337" t="s">
        <v>801</v>
      </c>
      <c r="N20" s="337" t="s">
        <v>756</v>
      </c>
      <c r="O20" s="337" t="e">
        <v>#N/A</v>
      </c>
      <c r="P20" s="337"/>
      <c r="Q20" s="337"/>
      <c r="R20" s="343">
        <v>-166837.12</v>
      </c>
    </row>
    <row r="21" spans="1:18" x14ac:dyDescent="0.2">
      <c r="A21" s="342" t="s">
        <v>736</v>
      </c>
      <c r="B21" s="337" t="s">
        <v>793</v>
      </c>
      <c r="C21" s="337" t="s">
        <v>795</v>
      </c>
      <c r="D21" s="337" t="s">
        <v>798</v>
      </c>
      <c r="E21" s="337" t="s">
        <v>790</v>
      </c>
      <c r="F21" s="337" t="s">
        <v>771</v>
      </c>
      <c r="G21" s="337" t="s">
        <v>799</v>
      </c>
      <c r="H21" s="337" t="s">
        <v>800</v>
      </c>
      <c r="I21" s="337" t="s">
        <v>767</v>
      </c>
      <c r="J21" s="337" t="s">
        <v>765</v>
      </c>
      <c r="K21" s="337"/>
      <c r="L21" s="337"/>
      <c r="M21" s="337" t="s">
        <v>801</v>
      </c>
      <c r="N21" s="337" t="s">
        <v>756</v>
      </c>
      <c r="O21" s="337" t="e">
        <v>#N/A</v>
      </c>
      <c r="P21" s="337"/>
      <c r="Q21" s="337"/>
      <c r="R21" s="343">
        <v>-155914.44</v>
      </c>
    </row>
    <row r="22" spans="1:18" x14ac:dyDescent="0.2">
      <c r="A22" s="342" t="s">
        <v>737</v>
      </c>
      <c r="B22" s="337" t="s">
        <v>793</v>
      </c>
      <c r="C22" s="337" t="s">
        <v>795</v>
      </c>
      <c r="D22" s="337" t="s">
        <v>798</v>
      </c>
      <c r="E22" s="337" t="s">
        <v>790</v>
      </c>
      <c r="F22" s="337" t="s">
        <v>771</v>
      </c>
      <c r="G22" s="337" t="s">
        <v>799</v>
      </c>
      <c r="H22" s="337" t="s">
        <v>800</v>
      </c>
      <c r="I22" s="337" t="s">
        <v>767</v>
      </c>
      <c r="J22" s="337" t="s">
        <v>765</v>
      </c>
      <c r="K22" s="337"/>
      <c r="L22" s="337"/>
      <c r="M22" s="337" t="s">
        <v>801</v>
      </c>
      <c r="N22" s="337" t="s">
        <v>756</v>
      </c>
      <c r="O22" s="337" t="e">
        <v>#N/A</v>
      </c>
      <c r="P22" s="337"/>
      <c r="Q22" s="337"/>
      <c r="R22" s="343">
        <v>-166858</v>
      </c>
    </row>
    <row r="23" spans="1:18" x14ac:dyDescent="0.2">
      <c r="A23" s="342" t="s">
        <v>738</v>
      </c>
      <c r="B23" s="337" t="s">
        <v>793</v>
      </c>
      <c r="C23" s="337" t="s">
        <v>795</v>
      </c>
      <c r="D23" s="337" t="s">
        <v>798</v>
      </c>
      <c r="E23" s="337" t="s">
        <v>790</v>
      </c>
      <c r="F23" s="337" t="s">
        <v>771</v>
      </c>
      <c r="G23" s="337" t="s">
        <v>799</v>
      </c>
      <c r="H23" s="337" t="s">
        <v>800</v>
      </c>
      <c r="I23" s="337" t="s">
        <v>767</v>
      </c>
      <c r="J23" s="337" t="s">
        <v>765</v>
      </c>
      <c r="K23" s="337"/>
      <c r="L23" s="337"/>
      <c r="M23" s="337" t="s">
        <v>801</v>
      </c>
      <c r="N23" s="337" t="s">
        <v>756</v>
      </c>
      <c r="O23" s="337" t="e">
        <v>#N/A</v>
      </c>
      <c r="P23" s="337"/>
      <c r="Q23" s="337"/>
      <c r="R23" s="343">
        <v>-64146.98</v>
      </c>
    </row>
    <row r="24" spans="1:18" x14ac:dyDescent="0.2">
      <c r="A24" s="342" t="s">
        <v>727</v>
      </c>
      <c r="B24" s="337" t="s">
        <v>793</v>
      </c>
      <c r="C24" s="337" t="s">
        <v>795</v>
      </c>
      <c r="D24" s="337" t="s">
        <v>798</v>
      </c>
      <c r="E24" s="337" t="s">
        <v>790</v>
      </c>
      <c r="F24" s="337" t="s">
        <v>771</v>
      </c>
      <c r="G24" s="337" t="s">
        <v>799</v>
      </c>
      <c r="H24" s="337" t="s">
        <v>800</v>
      </c>
      <c r="I24" s="337" t="s">
        <v>767</v>
      </c>
      <c r="J24" s="337" t="s">
        <v>765</v>
      </c>
      <c r="K24" s="337"/>
      <c r="L24" s="337"/>
      <c r="M24" s="337" t="s">
        <v>801</v>
      </c>
      <c r="N24" s="337" t="s">
        <v>756</v>
      </c>
      <c r="O24" s="337" t="e">
        <v>#N/A</v>
      </c>
      <c r="P24" s="337"/>
      <c r="Q24" s="337"/>
      <c r="R24" s="343">
        <v>-117013.29</v>
      </c>
    </row>
    <row r="25" spans="1:18" x14ac:dyDescent="0.2">
      <c r="A25" s="342" t="s">
        <v>728</v>
      </c>
      <c r="B25" s="337" t="s">
        <v>793</v>
      </c>
      <c r="C25" s="337" t="s">
        <v>795</v>
      </c>
      <c r="D25" s="337" t="s">
        <v>798</v>
      </c>
      <c r="E25" s="337" t="s">
        <v>790</v>
      </c>
      <c r="F25" s="337" t="s">
        <v>771</v>
      </c>
      <c r="G25" s="337" t="s">
        <v>799</v>
      </c>
      <c r="H25" s="337" t="s">
        <v>800</v>
      </c>
      <c r="I25" s="337" t="s">
        <v>767</v>
      </c>
      <c r="J25" s="337" t="s">
        <v>765</v>
      </c>
      <c r="K25" s="337"/>
      <c r="L25" s="337"/>
      <c r="M25" s="337" t="s">
        <v>784</v>
      </c>
      <c r="N25" s="337" t="s">
        <v>755</v>
      </c>
      <c r="O25" s="337" t="e">
        <v>#N/A</v>
      </c>
      <c r="P25" s="337"/>
      <c r="Q25" s="337"/>
      <c r="R25" s="343">
        <v>-527231.92000000004</v>
      </c>
    </row>
    <row r="26" spans="1:18" x14ac:dyDescent="0.2">
      <c r="A26" s="342" t="s">
        <v>730</v>
      </c>
      <c r="B26" s="337" t="s">
        <v>793</v>
      </c>
      <c r="C26" s="337" t="s">
        <v>795</v>
      </c>
      <c r="D26" s="337" t="s">
        <v>798</v>
      </c>
      <c r="E26" s="337" t="s">
        <v>790</v>
      </c>
      <c r="F26" s="337" t="s">
        <v>771</v>
      </c>
      <c r="G26" s="337" t="s">
        <v>799</v>
      </c>
      <c r="H26" s="337" t="s">
        <v>800</v>
      </c>
      <c r="I26" s="337" t="s">
        <v>767</v>
      </c>
      <c r="J26" s="337" t="s">
        <v>765</v>
      </c>
      <c r="K26" s="337"/>
      <c r="L26" s="337"/>
      <c r="M26" s="337" t="s">
        <v>784</v>
      </c>
      <c r="N26" s="337" t="s">
        <v>755</v>
      </c>
      <c r="O26" s="337" t="e">
        <v>#N/A</v>
      </c>
      <c r="P26" s="337"/>
      <c r="Q26" s="337"/>
      <c r="R26" s="343">
        <v>-1060285.26</v>
      </c>
    </row>
    <row r="27" spans="1:18" x14ac:dyDescent="0.2">
      <c r="A27" s="342" t="s">
        <v>731</v>
      </c>
      <c r="B27" s="337" t="s">
        <v>793</v>
      </c>
      <c r="C27" s="337" t="s">
        <v>795</v>
      </c>
      <c r="D27" s="337" t="s">
        <v>798</v>
      </c>
      <c r="E27" s="337" t="s">
        <v>790</v>
      </c>
      <c r="F27" s="337" t="s">
        <v>771</v>
      </c>
      <c r="G27" s="337" t="s">
        <v>799</v>
      </c>
      <c r="H27" s="337" t="s">
        <v>800</v>
      </c>
      <c r="I27" s="337" t="s">
        <v>767</v>
      </c>
      <c r="J27" s="337" t="s">
        <v>765</v>
      </c>
      <c r="K27" s="337"/>
      <c r="L27" s="337"/>
      <c r="M27" s="337" t="s">
        <v>784</v>
      </c>
      <c r="N27" s="337" t="s">
        <v>755</v>
      </c>
      <c r="O27" s="337" t="e">
        <v>#N/A</v>
      </c>
      <c r="P27" s="337"/>
      <c r="Q27" s="337"/>
      <c r="R27" s="343">
        <v>-798036.15</v>
      </c>
    </row>
    <row r="28" spans="1:18" x14ac:dyDescent="0.2">
      <c r="A28" s="342" t="s">
        <v>732</v>
      </c>
      <c r="B28" s="337" t="s">
        <v>793</v>
      </c>
      <c r="C28" s="337" t="s">
        <v>795</v>
      </c>
      <c r="D28" s="337" t="s">
        <v>798</v>
      </c>
      <c r="E28" s="337" t="s">
        <v>790</v>
      </c>
      <c r="F28" s="337" t="s">
        <v>771</v>
      </c>
      <c r="G28" s="337" t="s">
        <v>799</v>
      </c>
      <c r="H28" s="337" t="s">
        <v>800</v>
      </c>
      <c r="I28" s="337" t="s">
        <v>767</v>
      </c>
      <c r="J28" s="337" t="s">
        <v>765</v>
      </c>
      <c r="K28" s="337"/>
      <c r="L28" s="337"/>
      <c r="M28" s="337" t="s">
        <v>784</v>
      </c>
      <c r="N28" s="337" t="s">
        <v>755</v>
      </c>
      <c r="O28" s="337" t="e">
        <v>#N/A</v>
      </c>
      <c r="P28" s="337"/>
      <c r="Q28" s="337"/>
      <c r="R28" s="343">
        <v>-743633.17</v>
      </c>
    </row>
    <row r="29" spans="1:18" x14ac:dyDescent="0.2">
      <c r="A29" s="342" t="s">
        <v>726</v>
      </c>
      <c r="B29" s="337" t="s">
        <v>793</v>
      </c>
      <c r="C29" s="337" t="s">
        <v>795</v>
      </c>
      <c r="D29" s="337" t="s">
        <v>798</v>
      </c>
      <c r="E29" s="337" t="s">
        <v>790</v>
      </c>
      <c r="F29" s="337" t="s">
        <v>771</v>
      </c>
      <c r="G29" s="337" t="s">
        <v>799</v>
      </c>
      <c r="H29" s="337" t="s">
        <v>800</v>
      </c>
      <c r="I29" s="337" t="s">
        <v>767</v>
      </c>
      <c r="J29" s="337" t="s">
        <v>765</v>
      </c>
      <c r="K29" s="337"/>
      <c r="L29" s="337"/>
      <c r="M29" s="337" t="s">
        <v>784</v>
      </c>
      <c r="N29" s="337" t="s">
        <v>755</v>
      </c>
      <c r="O29" s="337" t="e">
        <v>#N/A</v>
      </c>
      <c r="P29" s="337"/>
      <c r="Q29" s="337"/>
      <c r="R29" s="343">
        <v>-735846.37</v>
      </c>
    </row>
    <row r="30" spans="1:18" x14ac:dyDescent="0.2">
      <c r="A30" s="342" t="s">
        <v>733</v>
      </c>
      <c r="B30" s="337" t="s">
        <v>793</v>
      </c>
      <c r="C30" s="337" t="s">
        <v>795</v>
      </c>
      <c r="D30" s="337" t="s">
        <v>798</v>
      </c>
      <c r="E30" s="337" t="s">
        <v>790</v>
      </c>
      <c r="F30" s="337" t="s">
        <v>771</v>
      </c>
      <c r="G30" s="337" t="s">
        <v>799</v>
      </c>
      <c r="H30" s="337" t="s">
        <v>800</v>
      </c>
      <c r="I30" s="337" t="s">
        <v>767</v>
      </c>
      <c r="J30" s="337" t="s">
        <v>765</v>
      </c>
      <c r="K30" s="337"/>
      <c r="L30" s="337"/>
      <c r="M30" s="337" t="s">
        <v>784</v>
      </c>
      <c r="N30" s="337" t="s">
        <v>755</v>
      </c>
      <c r="O30" s="337" t="e">
        <v>#N/A</v>
      </c>
      <c r="P30" s="337"/>
      <c r="Q30" s="337"/>
      <c r="R30" s="343">
        <v>-775396.6</v>
      </c>
    </row>
    <row r="31" spans="1:18" x14ac:dyDescent="0.2">
      <c r="A31" s="342" t="s">
        <v>734</v>
      </c>
      <c r="B31" s="337" t="s">
        <v>793</v>
      </c>
      <c r="C31" s="337" t="s">
        <v>795</v>
      </c>
      <c r="D31" s="337" t="s">
        <v>798</v>
      </c>
      <c r="E31" s="337" t="s">
        <v>790</v>
      </c>
      <c r="F31" s="337" t="s">
        <v>771</v>
      </c>
      <c r="G31" s="337" t="s">
        <v>799</v>
      </c>
      <c r="H31" s="337" t="s">
        <v>800</v>
      </c>
      <c r="I31" s="337" t="s">
        <v>767</v>
      </c>
      <c r="J31" s="337" t="s">
        <v>765</v>
      </c>
      <c r="K31" s="337"/>
      <c r="L31" s="337"/>
      <c r="M31" s="337" t="s">
        <v>784</v>
      </c>
      <c r="N31" s="337" t="s">
        <v>755</v>
      </c>
      <c r="O31" s="337" t="e">
        <v>#N/A</v>
      </c>
      <c r="P31" s="337"/>
      <c r="Q31" s="337"/>
      <c r="R31" s="343">
        <v>-357070.17</v>
      </c>
    </row>
    <row r="32" spans="1:18" x14ac:dyDescent="0.2">
      <c r="A32" s="342" t="s">
        <v>735</v>
      </c>
      <c r="B32" s="337" t="s">
        <v>793</v>
      </c>
      <c r="C32" s="337" t="s">
        <v>795</v>
      </c>
      <c r="D32" s="337" t="s">
        <v>798</v>
      </c>
      <c r="E32" s="337" t="s">
        <v>790</v>
      </c>
      <c r="F32" s="337" t="s">
        <v>771</v>
      </c>
      <c r="G32" s="337" t="s">
        <v>799</v>
      </c>
      <c r="H32" s="337" t="s">
        <v>800</v>
      </c>
      <c r="I32" s="337" t="s">
        <v>767</v>
      </c>
      <c r="J32" s="337" t="s">
        <v>765</v>
      </c>
      <c r="K32" s="337"/>
      <c r="L32" s="337"/>
      <c r="M32" s="337" t="s">
        <v>784</v>
      </c>
      <c r="N32" s="337" t="s">
        <v>755</v>
      </c>
      <c r="O32" s="337" t="e">
        <v>#N/A</v>
      </c>
      <c r="P32" s="337"/>
      <c r="Q32" s="337"/>
      <c r="R32" s="343">
        <v>-304117.46999999997</v>
      </c>
    </row>
    <row r="33" spans="1:18" x14ac:dyDescent="0.2">
      <c r="A33" s="342" t="s">
        <v>736</v>
      </c>
      <c r="B33" s="337" t="s">
        <v>793</v>
      </c>
      <c r="C33" s="337" t="s">
        <v>795</v>
      </c>
      <c r="D33" s="337" t="s">
        <v>798</v>
      </c>
      <c r="E33" s="337" t="s">
        <v>790</v>
      </c>
      <c r="F33" s="337" t="s">
        <v>771</v>
      </c>
      <c r="G33" s="337" t="s">
        <v>799</v>
      </c>
      <c r="H33" s="337" t="s">
        <v>800</v>
      </c>
      <c r="I33" s="337" t="s">
        <v>767</v>
      </c>
      <c r="J33" s="337" t="s">
        <v>765</v>
      </c>
      <c r="K33" s="337"/>
      <c r="L33" s="337"/>
      <c r="M33" s="337" t="s">
        <v>784</v>
      </c>
      <c r="N33" s="337" t="s">
        <v>755</v>
      </c>
      <c r="O33" s="337" t="e">
        <v>#N/A</v>
      </c>
      <c r="P33" s="337"/>
      <c r="Q33" s="337"/>
      <c r="R33" s="343">
        <v>-606419.04</v>
      </c>
    </row>
    <row r="34" spans="1:18" x14ac:dyDescent="0.2">
      <c r="A34" s="342" t="s">
        <v>737</v>
      </c>
      <c r="B34" s="337" t="s">
        <v>793</v>
      </c>
      <c r="C34" s="337" t="s">
        <v>795</v>
      </c>
      <c r="D34" s="337" t="s">
        <v>798</v>
      </c>
      <c r="E34" s="337" t="s">
        <v>790</v>
      </c>
      <c r="F34" s="337" t="s">
        <v>771</v>
      </c>
      <c r="G34" s="337" t="s">
        <v>799</v>
      </c>
      <c r="H34" s="337" t="s">
        <v>800</v>
      </c>
      <c r="I34" s="337" t="s">
        <v>767</v>
      </c>
      <c r="J34" s="337" t="s">
        <v>765</v>
      </c>
      <c r="K34" s="337"/>
      <c r="L34" s="337"/>
      <c r="M34" s="337" t="s">
        <v>784</v>
      </c>
      <c r="N34" s="337" t="s">
        <v>755</v>
      </c>
      <c r="O34" s="337" t="e">
        <v>#N/A</v>
      </c>
      <c r="P34" s="337"/>
      <c r="Q34" s="337"/>
      <c r="R34" s="343">
        <v>-371763.12</v>
      </c>
    </row>
    <row r="35" spans="1:18" x14ac:dyDescent="0.2">
      <c r="A35" s="342" t="s">
        <v>738</v>
      </c>
      <c r="B35" s="337" t="s">
        <v>793</v>
      </c>
      <c r="C35" s="337" t="s">
        <v>795</v>
      </c>
      <c r="D35" s="337" t="s">
        <v>798</v>
      </c>
      <c r="E35" s="337" t="s">
        <v>790</v>
      </c>
      <c r="F35" s="337" t="s">
        <v>771</v>
      </c>
      <c r="G35" s="337" t="s">
        <v>799</v>
      </c>
      <c r="H35" s="337" t="s">
        <v>800</v>
      </c>
      <c r="I35" s="337" t="s">
        <v>767</v>
      </c>
      <c r="J35" s="337" t="s">
        <v>765</v>
      </c>
      <c r="K35" s="337"/>
      <c r="L35" s="337"/>
      <c r="M35" s="337" t="s">
        <v>784</v>
      </c>
      <c r="N35" s="337" t="s">
        <v>755</v>
      </c>
      <c r="O35" s="337" t="e">
        <v>#N/A</v>
      </c>
      <c r="P35" s="337"/>
      <c r="Q35" s="337"/>
      <c r="R35" s="343">
        <v>-353227.36</v>
      </c>
    </row>
    <row r="36" spans="1:18" x14ac:dyDescent="0.2">
      <c r="A36" s="342" t="s">
        <v>727</v>
      </c>
      <c r="B36" s="337" t="s">
        <v>793</v>
      </c>
      <c r="C36" s="337" t="s">
        <v>795</v>
      </c>
      <c r="D36" s="337" t="s">
        <v>798</v>
      </c>
      <c r="E36" s="337" t="s">
        <v>790</v>
      </c>
      <c r="F36" s="337" t="s">
        <v>771</v>
      </c>
      <c r="G36" s="337" t="s">
        <v>799</v>
      </c>
      <c r="H36" s="337" t="s">
        <v>800</v>
      </c>
      <c r="I36" s="337" t="s">
        <v>767</v>
      </c>
      <c r="J36" s="337" t="s">
        <v>765</v>
      </c>
      <c r="K36" s="337"/>
      <c r="L36" s="337"/>
      <c r="M36" s="337" t="s">
        <v>784</v>
      </c>
      <c r="N36" s="337" t="s">
        <v>755</v>
      </c>
      <c r="O36" s="337" t="e">
        <v>#N/A</v>
      </c>
      <c r="P36" s="337"/>
      <c r="Q36" s="337"/>
      <c r="R36" s="343">
        <v>-335277.87</v>
      </c>
    </row>
    <row r="37" spans="1:18" x14ac:dyDescent="0.2">
      <c r="A37" s="342" t="s">
        <v>730</v>
      </c>
      <c r="B37" s="337" t="s">
        <v>793</v>
      </c>
      <c r="C37" s="337" t="s">
        <v>795</v>
      </c>
      <c r="D37" s="337" t="s">
        <v>798</v>
      </c>
      <c r="E37" s="337" t="s">
        <v>790</v>
      </c>
      <c r="F37" s="337" t="s">
        <v>771</v>
      </c>
      <c r="G37" s="337" t="s">
        <v>799</v>
      </c>
      <c r="H37" s="337" t="s">
        <v>800</v>
      </c>
      <c r="I37" s="337" t="s">
        <v>767</v>
      </c>
      <c r="J37" s="337" t="s">
        <v>765</v>
      </c>
      <c r="K37" s="337"/>
      <c r="L37" s="337"/>
      <c r="M37" s="337" t="s">
        <v>802</v>
      </c>
      <c r="N37" s="337" t="s">
        <v>779</v>
      </c>
      <c r="O37" s="337" t="e">
        <v>#N/A</v>
      </c>
      <c r="P37" s="337"/>
      <c r="Q37" s="337"/>
      <c r="R37" s="343">
        <v>-11101.17</v>
      </c>
    </row>
    <row r="38" spans="1:18" x14ac:dyDescent="0.2">
      <c r="A38" s="342" t="s">
        <v>731</v>
      </c>
      <c r="B38" s="337" t="s">
        <v>793</v>
      </c>
      <c r="C38" s="337" t="s">
        <v>795</v>
      </c>
      <c r="D38" s="337" t="s">
        <v>798</v>
      </c>
      <c r="E38" s="337" t="s">
        <v>790</v>
      </c>
      <c r="F38" s="337" t="s">
        <v>771</v>
      </c>
      <c r="G38" s="337" t="s">
        <v>799</v>
      </c>
      <c r="H38" s="337" t="s">
        <v>800</v>
      </c>
      <c r="I38" s="337" t="s">
        <v>767</v>
      </c>
      <c r="J38" s="337" t="s">
        <v>765</v>
      </c>
      <c r="K38" s="337"/>
      <c r="L38" s="337"/>
      <c r="M38" s="337" t="s">
        <v>802</v>
      </c>
      <c r="N38" s="337" t="s">
        <v>779</v>
      </c>
      <c r="O38" s="337" t="e">
        <v>#N/A</v>
      </c>
      <c r="P38" s="337"/>
      <c r="Q38" s="337"/>
      <c r="R38" s="343">
        <v>-5371.54</v>
      </c>
    </row>
    <row r="39" spans="1:18" x14ac:dyDescent="0.2">
      <c r="A39" s="342" t="s">
        <v>732</v>
      </c>
      <c r="B39" s="337" t="s">
        <v>793</v>
      </c>
      <c r="C39" s="337" t="s">
        <v>795</v>
      </c>
      <c r="D39" s="337" t="s">
        <v>798</v>
      </c>
      <c r="E39" s="337" t="s">
        <v>790</v>
      </c>
      <c r="F39" s="337" t="s">
        <v>771</v>
      </c>
      <c r="G39" s="337" t="s">
        <v>799</v>
      </c>
      <c r="H39" s="337" t="s">
        <v>800</v>
      </c>
      <c r="I39" s="337" t="s">
        <v>767</v>
      </c>
      <c r="J39" s="337" t="s">
        <v>765</v>
      </c>
      <c r="K39" s="337"/>
      <c r="L39" s="337"/>
      <c r="M39" s="337" t="s">
        <v>802</v>
      </c>
      <c r="N39" s="337" t="s">
        <v>779</v>
      </c>
      <c r="O39" s="337" t="e">
        <v>#N/A</v>
      </c>
      <c r="P39" s="337"/>
      <c r="Q39" s="337"/>
      <c r="R39" s="343">
        <v>-48120</v>
      </c>
    </row>
    <row r="40" spans="1:18" x14ac:dyDescent="0.2">
      <c r="A40" s="342" t="s">
        <v>726</v>
      </c>
      <c r="B40" s="337" t="s">
        <v>793</v>
      </c>
      <c r="C40" s="337" t="s">
        <v>795</v>
      </c>
      <c r="D40" s="337" t="s">
        <v>798</v>
      </c>
      <c r="E40" s="337" t="s">
        <v>790</v>
      </c>
      <c r="F40" s="337" t="s">
        <v>771</v>
      </c>
      <c r="G40" s="337" t="s">
        <v>799</v>
      </c>
      <c r="H40" s="337" t="s">
        <v>800</v>
      </c>
      <c r="I40" s="337" t="s">
        <v>767</v>
      </c>
      <c r="J40" s="337" t="s">
        <v>765</v>
      </c>
      <c r="K40" s="337"/>
      <c r="L40" s="337"/>
      <c r="M40" s="337" t="s">
        <v>802</v>
      </c>
      <c r="N40" s="337" t="s">
        <v>779</v>
      </c>
      <c r="O40" s="337" t="e">
        <v>#N/A</v>
      </c>
      <c r="P40" s="337"/>
      <c r="Q40" s="337"/>
      <c r="R40" s="343">
        <v>-45658.05</v>
      </c>
    </row>
    <row r="41" spans="1:18" x14ac:dyDescent="0.2">
      <c r="A41" s="342" t="s">
        <v>733</v>
      </c>
      <c r="B41" s="337" t="s">
        <v>793</v>
      </c>
      <c r="C41" s="337" t="s">
        <v>795</v>
      </c>
      <c r="D41" s="337" t="s">
        <v>798</v>
      </c>
      <c r="E41" s="337" t="s">
        <v>790</v>
      </c>
      <c r="F41" s="337" t="s">
        <v>771</v>
      </c>
      <c r="G41" s="337" t="s">
        <v>799</v>
      </c>
      <c r="H41" s="337" t="s">
        <v>800</v>
      </c>
      <c r="I41" s="337" t="s">
        <v>767</v>
      </c>
      <c r="J41" s="337" t="s">
        <v>765</v>
      </c>
      <c r="K41" s="337"/>
      <c r="L41" s="337"/>
      <c r="M41" s="337" t="s">
        <v>802</v>
      </c>
      <c r="N41" s="337" t="s">
        <v>779</v>
      </c>
      <c r="O41" s="337" t="e">
        <v>#N/A</v>
      </c>
      <c r="P41" s="337"/>
      <c r="Q41" s="337"/>
      <c r="R41" s="343">
        <v>-47179.98</v>
      </c>
    </row>
    <row r="42" spans="1:18" x14ac:dyDescent="0.2">
      <c r="A42" s="342" t="s">
        <v>734</v>
      </c>
      <c r="B42" s="337" t="s">
        <v>793</v>
      </c>
      <c r="C42" s="337" t="s">
        <v>795</v>
      </c>
      <c r="D42" s="337" t="s">
        <v>798</v>
      </c>
      <c r="E42" s="337" t="s">
        <v>790</v>
      </c>
      <c r="F42" s="337" t="s">
        <v>771</v>
      </c>
      <c r="G42" s="337" t="s">
        <v>799</v>
      </c>
      <c r="H42" s="337" t="s">
        <v>800</v>
      </c>
      <c r="I42" s="337" t="s">
        <v>767</v>
      </c>
      <c r="J42" s="337" t="s">
        <v>765</v>
      </c>
      <c r="K42" s="337"/>
      <c r="L42" s="337"/>
      <c r="M42" s="337" t="s">
        <v>802</v>
      </c>
      <c r="N42" s="337" t="s">
        <v>779</v>
      </c>
      <c r="O42" s="337" t="e">
        <v>#N/A</v>
      </c>
      <c r="P42" s="337"/>
      <c r="Q42" s="337"/>
      <c r="R42" s="343">
        <v>-48505.08</v>
      </c>
    </row>
    <row r="43" spans="1:18" x14ac:dyDescent="0.2">
      <c r="A43" s="342" t="s">
        <v>735</v>
      </c>
      <c r="B43" s="337" t="s">
        <v>793</v>
      </c>
      <c r="C43" s="337" t="s">
        <v>795</v>
      </c>
      <c r="D43" s="337" t="s">
        <v>798</v>
      </c>
      <c r="E43" s="337" t="s">
        <v>790</v>
      </c>
      <c r="F43" s="337" t="s">
        <v>771</v>
      </c>
      <c r="G43" s="337" t="s">
        <v>799</v>
      </c>
      <c r="H43" s="337" t="s">
        <v>800</v>
      </c>
      <c r="I43" s="337" t="s">
        <v>767</v>
      </c>
      <c r="J43" s="337" t="s">
        <v>765</v>
      </c>
      <c r="K43" s="337"/>
      <c r="L43" s="337"/>
      <c r="M43" s="337" t="s">
        <v>802</v>
      </c>
      <c r="N43" s="337" t="s">
        <v>779</v>
      </c>
      <c r="O43" s="337" t="e">
        <v>#N/A</v>
      </c>
      <c r="P43" s="337"/>
      <c r="Q43" s="337"/>
      <c r="R43" s="343">
        <v>-43811.040000000001</v>
      </c>
    </row>
    <row r="44" spans="1:18" x14ac:dyDescent="0.2">
      <c r="A44" s="342" t="s">
        <v>736</v>
      </c>
      <c r="B44" s="337" t="s">
        <v>793</v>
      </c>
      <c r="C44" s="337" t="s">
        <v>795</v>
      </c>
      <c r="D44" s="337" t="s">
        <v>798</v>
      </c>
      <c r="E44" s="337" t="s">
        <v>790</v>
      </c>
      <c r="F44" s="337" t="s">
        <v>771</v>
      </c>
      <c r="G44" s="337" t="s">
        <v>799</v>
      </c>
      <c r="H44" s="337" t="s">
        <v>800</v>
      </c>
      <c r="I44" s="337" t="s">
        <v>767</v>
      </c>
      <c r="J44" s="337" t="s">
        <v>765</v>
      </c>
      <c r="K44" s="337"/>
      <c r="L44" s="337"/>
      <c r="M44" s="337" t="s">
        <v>802</v>
      </c>
      <c r="N44" s="337" t="s">
        <v>779</v>
      </c>
      <c r="O44" s="337" t="e">
        <v>#N/A</v>
      </c>
      <c r="P44" s="337"/>
      <c r="Q44" s="337"/>
      <c r="R44" s="343">
        <v>249746.85</v>
      </c>
    </row>
    <row r="45" spans="1:18" x14ac:dyDescent="0.2">
      <c r="A45" s="342" t="s">
        <v>735</v>
      </c>
      <c r="B45" s="337" t="s">
        <v>793</v>
      </c>
      <c r="C45" s="337" t="s">
        <v>795</v>
      </c>
      <c r="D45" s="337" t="s">
        <v>798</v>
      </c>
      <c r="E45" s="337" t="s">
        <v>790</v>
      </c>
      <c r="F45" s="337" t="s">
        <v>771</v>
      </c>
      <c r="G45" s="337" t="s">
        <v>799</v>
      </c>
      <c r="H45" s="337" t="s">
        <v>800</v>
      </c>
      <c r="I45" s="337" t="s">
        <v>767</v>
      </c>
      <c r="J45" s="337" t="s">
        <v>765</v>
      </c>
      <c r="K45" s="337"/>
      <c r="L45" s="337"/>
      <c r="M45" s="337" t="s">
        <v>803</v>
      </c>
      <c r="N45" s="337" t="s">
        <v>804</v>
      </c>
      <c r="O45" s="337" t="e">
        <v>#N/A</v>
      </c>
      <c r="P45" s="337"/>
      <c r="Q45" s="337"/>
      <c r="R45" s="343">
        <v>-1408.19</v>
      </c>
    </row>
    <row r="46" spans="1:18" x14ac:dyDescent="0.2">
      <c r="A46" s="342" t="s">
        <v>736</v>
      </c>
      <c r="B46" s="337" t="s">
        <v>793</v>
      </c>
      <c r="C46" s="337" t="s">
        <v>795</v>
      </c>
      <c r="D46" s="337" t="s">
        <v>798</v>
      </c>
      <c r="E46" s="337" t="s">
        <v>790</v>
      </c>
      <c r="F46" s="337" t="s">
        <v>771</v>
      </c>
      <c r="G46" s="337" t="s">
        <v>799</v>
      </c>
      <c r="H46" s="337" t="s">
        <v>800</v>
      </c>
      <c r="I46" s="337" t="s">
        <v>767</v>
      </c>
      <c r="J46" s="337" t="s">
        <v>765</v>
      </c>
      <c r="K46" s="337"/>
      <c r="L46" s="337"/>
      <c r="M46" s="337" t="s">
        <v>803</v>
      </c>
      <c r="N46" s="337" t="s">
        <v>804</v>
      </c>
      <c r="O46" s="337" t="e">
        <v>#N/A</v>
      </c>
      <c r="P46" s="337"/>
      <c r="Q46" s="337"/>
      <c r="R46" s="343">
        <v>-3164.22</v>
      </c>
    </row>
    <row r="47" spans="1:18" x14ac:dyDescent="0.2">
      <c r="A47" s="342" t="s">
        <v>737</v>
      </c>
      <c r="B47" s="337" t="s">
        <v>793</v>
      </c>
      <c r="C47" s="337" t="s">
        <v>795</v>
      </c>
      <c r="D47" s="337" t="s">
        <v>798</v>
      </c>
      <c r="E47" s="337" t="s">
        <v>790</v>
      </c>
      <c r="F47" s="337" t="s">
        <v>771</v>
      </c>
      <c r="G47" s="337" t="s">
        <v>799</v>
      </c>
      <c r="H47" s="337" t="s">
        <v>800</v>
      </c>
      <c r="I47" s="337" t="s">
        <v>767</v>
      </c>
      <c r="J47" s="337" t="s">
        <v>765</v>
      </c>
      <c r="K47" s="337"/>
      <c r="L47" s="337"/>
      <c r="M47" s="337" t="s">
        <v>803</v>
      </c>
      <c r="N47" s="337" t="s">
        <v>804</v>
      </c>
      <c r="O47" s="337" t="e">
        <v>#N/A</v>
      </c>
      <c r="P47" s="337"/>
      <c r="Q47" s="337"/>
      <c r="R47" s="343">
        <v>1655.43</v>
      </c>
    </row>
    <row r="48" spans="1:18" x14ac:dyDescent="0.2">
      <c r="A48" s="342" t="s">
        <v>728</v>
      </c>
      <c r="B48" s="337" t="s">
        <v>793</v>
      </c>
      <c r="C48" s="337" t="s">
        <v>795</v>
      </c>
      <c r="D48" s="337" t="s">
        <v>798</v>
      </c>
      <c r="E48" s="337" t="s">
        <v>790</v>
      </c>
      <c r="F48" s="337" t="s">
        <v>771</v>
      </c>
      <c r="G48" s="337" t="s">
        <v>799</v>
      </c>
      <c r="H48" s="337" t="s">
        <v>800</v>
      </c>
      <c r="I48" s="337" t="s">
        <v>767</v>
      </c>
      <c r="J48" s="337" t="s">
        <v>765</v>
      </c>
      <c r="K48" s="337"/>
      <c r="L48" s="337"/>
      <c r="M48" s="337" t="s">
        <v>805</v>
      </c>
      <c r="N48" s="337" t="s">
        <v>806</v>
      </c>
      <c r="O48" s="337" t="e">
        <v>#N/A</v>
      </c>
      <c r="P48" s="337"/>
      <c r="Q48" s="337"/>
      <c r="R48" s="343">
        <v>-21910.99</v>
      </c>
    </row>
    <row r="49" spans="1:18" x14ac:dyDescent="0.2">
      <c r="A49" s="342" t="s">
        <v>730</v>
      </c>
      <c r="B49" s="337" t="s">
        <v>793</v>
      </c>
      <c r="C49" s="337" t="s">
        <v>795</v>
      </c>
      <c r="D49" s="337" t="s">
        <v>798</v>
      </c>
      <c r="E49" s="337" t="s">
        <v>790</v>
      </c>
      <c r="F49" s="337" t="s">
        <v>771</v>
      </c>
      <c r="G49" s="337" t="s">
        <v>799</v>
      </c>
      <c r="H49" s="337" t="s">
        <v>800</v>
      </c>
      <c r="I49" s="337" t="s">
        <v>767</v>
      </c>
      <c r="J49" s="337" t="s">
        <v>765</v>
      </c>
      <c r="K49" s="337"/>
      <c r="L49" s="337"/>
      <c r="M49" s="337" t="s">
        <v>805</v>
      </c>
      <c r="N49" s="337" t="s">
        <v>806</v>
      </c>
      <c r="O49" s="337" t="e">
        <v>#N/A</v>
      </c>
      <c r="P49" s="337"/>
      <c r="Q49" s="337"/>
      <c r="R49" s="343">
        <v>-21910.99</v>
      </c>
    </row>
    <row r="50" spans="1:18" x14ac:dyDescent="0.2">
      <c r="A50" s="342" t="s">
        <v>731</v>
      </c>
      <c r="B50" s="337" t="s">
        <v>793</v>
      </c>
      <c r="C50" s="337" t="s">
        <v>795</v>
      </c>
      <c r="D50" s="337" t="s">
        <v>798</v>
      </c>
      <c r="E50" s="337" t="s">
        <v>790</v>
      </c>
      <c r="F50" s="337" t="s">
        <v>771</v>
      </c>
      <c r="G50" s="337" t="s">
        <v>799</v>
      </c>
      <c r="H50" s="337" t="s">
        <v>800</v>
      </c>
      <c r="I50" s="337" t="s">
        <v>767</v>
      </c>
      <c r="J50" s="337" t="s">
        <v>765</v>
      </c>
      <c r="K50" s="337"/>
      <c r="L50" s="337"/>
      <c r="M50" s="337" t="s">
        <v>805</v>
      </c>
      <c r="N50" s="337" t="s">
        <v>806</v>
      </c>
      <c r="O50" s="337" t="e">
        <v>#N/A</v>
      </c>
      <c r="P50" s="337"/>
      <c r="Q50" s="337"/>
      <c r="R50" s="343">
        <v>-25130.880000000001</v>
      </c>
    </row>
    <row r="51" spans="1:18" x14ac:dyDescent="0.2">
      <c r="A51" s="342" t="s">
        <v>732</v>
      </c>
      <c r="B51" s="337" t="s">
        <v>793</v>
      </c>
      <c r="C51" s="337" t="s">
        <v>795</v>
      </c>
      <c r="D51" s="337" t="s">
        <v>798</v>
      </c>
      <c r="E51" s="337" t="s">
        <v>790</v>
      </c>
      <c r="F51" s="337" t="s">
        <v>771</v>
      </c>
      <c r="G51" s="337" t="s">
        <v>799</v>
      </c>
      <c r="H51" s="337" t="s">
        <v>800</v>
      </c>
      <c r="I51" s="337" t="s">
        <v>767</v>
      </c>
      <c r="J51" s="337" t="s">
        <v>765</v>
      </c>
      <c r="K51" s="337"/>
      <c r="L51" s="337"/>
      <c r="M51" s="337" t="s">
        <v>805</v>
      </c>
      <c r="N51" s="337" t="s">
        <v>806</v>
      </c>
      <c r="O51" s="337" t="e">
        <v>#N/A</v>
      </c>
      <c r="P51" s="337"/>
      <c r="Q51" s="337"/>
      <c r="R51" s="343">
        <v>-30431.93</v>
      </c>
    </row>
    <row r="52" spans="1:18" x14ac:dyDescent="0.2">
      <c r="A52" s="342" t="s">
        <v>726</v>
      </c>
      <c r="B52" s="337" t="s">
        <v>793</v>
      </c>
      <c r="C52" s="337" t="s">
        <v>795</v>
      </c>
      <c r="D52" s="337" t="s">
        <v>798</v>
      </c>
      <c r="E52" s="337" t="s">
        <v>790</v>
      </c>
      <c r="F52" s="337" t="s">
        <v>771</v>
      </c>
      <c r="G52" s="337" t="s">
        <v>799</v>
      </c>
      <c r="H52" s="337" t="s">
        <v>800</v>
      </c>
      <c r="I52" s="337" t="s">
        <v>767</v>
      </c>
      <c r="J52" s="337" t="s">
        <v>765</v>
      </c>
      <c r="K52" s="337"/>
      <c r="L52" s="337"/>
      <c r="M52" s="337" t="s">
        <v>805</v>
      </c>
      <c r="N52" s="337" t="s">
        <v>806</v>
      </c>
      <c r="O52" s="337" t="e">
        <v>#N/A</v>
      </c>
      <c r="P52" s="337"/>
      <c r="Q52" s="337"/>
      <c r="R52" s="343">
        <v>-87852.5</v>
      </c>
    </row>
    <row r="53" spans="1:18" x14ac:dyDescent="0.2">
      <c r="A53" s="342" t="s">
        <v>733</v>
      </c>
      <c r="B53" s="337" t="s">
        <v>793</v>
      </c>
      <c r="C53" s="337" t="s">
        <v>795</v>
      </c>
      <c r="D53" s="337" t="s">
        <v>798</v>
      </c>
      <c r="E53" s="337" t="s">
        <v>790</v>
      </c>
      <c r="F53" s="337" t="s">
        <v>771</v>
      </c>
      <c r="G53" s="337" t="s">
        <v>799</v>
      </c>
      <c r="H53" s="337" t="s">
        <v>800</v>
      </c>
      <c r="I53" s="337" t="s">
        <v>767</v>
      </c>
      <c r="J53" s="337" t="s">
        <v>765</v>
      </c>
      <c r="K53" s="337"/>
      <c r="L53" s="337"/>
      <c r="M53" s="337" t="s">
        <v>805</v>
      </c>
      <c r="N53" s="337" t="s">
        <v>806</v>
      </c>
      <c r="O53" s="337" t="e">
        <v>#N/A</v>
      </c>
      <c r="P53" s="337"/>
      <c r="Q53" s="337"/>
      <c r="R53" s="343">
        <v>-45215.3</v>
      </c>
    </row>
    <row r="54" spans="1:18" x14ac:dyDescent="0.2">
      <c r="A54" s="342" t="s">
        <v>734</v>
      </c>
      <c r="B54" s="337" t="s">
        <v>793</v>
      </c>
      <c r="C54" s="337" t="s">
        <v>795</v>
      </c>
      <c r="D54" s="337" t="s">
        <v>798</v>
      </c>
      <c r="E54" s="337" t="s">
        <v>790</v>
      </c>
      <c r="F54" s="337" t="s">
        <v>771</v>
      </c>
      <c r="G54" s="337" t="s">
        <v>799</v>
      </c>
      <c r="H54" s="337" t="s">
        <v>800</v>
      </c>
      <c r="I54" s="337" t="s">
        <v>767</v>
      </c>
      <c r="J54" s="337" t="s">
        <v>765</v>
      </c>
      <c r="K54" s="337"/>
      <c r="L54" s="337"/>
      <c r="M54" s="337" t="s">
        <v>805</v>
      </c>
      <c r="N54" s="337" t="s">
        <v>806</v>
      </c>
      <c r="O54" s="337" t="e">
        <v>#N/A</v>
      </c>
      <c r="P54" s="337"/>
      <c r="Q54" s="337"/>
      <c r="R54" s="343">
        <v>-42822.7</v>
      </c>
    </row>
    <row r="55" spans="1:18" x14ac:dyDescent="0.2">
      <c r="A55" s="342" t="s">
        <v>735</v>
      </c>
      <c r="B55" s="337" t="s">
        <v>793</v>
      </c>
      <c r="C55" s="337" t="s">
        <v>795</v>
      </c>
      <c r="D55" s="337" t="s">
        <v>798</v>
      </c>
      <c r="E55" s="337" t="s">
        <v>790</v>
      </c>
      <c r="F55" s="337" t="s">
        <v>771</v>
      </c>
      <c r="G55" s="337" t="s">
        <v>799</v>
      </c>
      <c r="H55" s="337" t="s">
        <v>800</v>
      </c>
      <c r="I55" s="337" t="s">
        <v>767</v>
      </c>
      <c r="J55" s="337" t="s">
        <v>765</v>
      </c>
      <c r="K55" s="337"/>
      <c r="L55" s="337"/>
      <c r="M55" s="337" t="s">
        <v>805</v>
      </c>
      <c r="N55" s="337" t="s">
        <v>806</v>
      </c>
      <c r="O55" s="337" t="e">
        <v>#N/A</v>
      </c>
      <c r="P55" s="337"/>
      <c r="Q55" s="337"/>
      <c r="R55" s="343">
        <v>-77479.570000000007</v>
      </c>
    </row>
    <row r="56" spans="1:18" x14ac:dyDescent="0.2">
      <c r="A56" s="342" t="s">
        <v>736</v>
      </c>
      <c r="B56" s="337" t="s">
        <v>793</v>
      </c>
      <c r="C56" s="337" t="s">
        <v>795</v>
      </c>
      <c r="D56" s="337" t="s">
        <v>798</v>
      </c>
      <c r="E56" s="337" t="s">
        <v>790</v>
      </c>
      <c r="F56" s="337" t="s">
        <v>771</v>
      </c>
      <c r="G56" s="337" t="s">
        <v>799</v>
      </c>
      <c r="H56" s="337" t="s">
        <v>800</v>
      </c>
      <c r="I56" s="337" t="s">
        <v>767</v>
      </c>
      <c r="J56" s="337" t="s">
        <v>765</v>
      </c>
      <c r="K56" s="337"/>
      <c r="L56" s="337"/>
      <c r="M56" s="337" t="s">
        <v>805</v>
      </c>
      <c r="N56" s="337" t="s">
        <v>806</v>
      </c>
      <c r="O56" s="337" t="e">
        <v>#N/A</v>
      </c>
      <c r="P56" s="337"/>
      <c r="Q56" s="337"/>
      <c r="R56" s="343">
        <v>-81867.679999999993</v>
      </c>
    </row>
    <row r="57" spans="1:18" x14ac:dyDescent="0.2">
      <c r="A57" s="342" t="s">
        <v>737</v>
      </c>
      <c r="B57" s="337" t="s">
        <v>793</v>
      </c>
      <c r="C57" s="337" t="s">
        <v>795</v>
      </c>
      <c r="D57" s="337" t="s">
        <v>798</v>
      </c>
      <c r="E57" s="337" t="s">
        <v>790</v>
      </c>
      <c r="F57" s="337" t="s">
        <v>771</v>
      </c>
      <c r="G57" s="337" t="s">
        <v>799</v>
      </c>
      <c r="H57" s="337" t="s">
        <v>800</v>
      </c>
      <c r="I57" s="337" t="s">
        <v>767</v>
      </c>
      <c r="J57" s="337" t="s">
        <v>765</v>
      </c>
      <c r="K57" s="337"/>
      <c r="L57" s="337"/>
      <c r="M57" s="337" t="s">
        <v>805</v>
      </c>
      <c r="N57" s="337" t="s">
        <v>806</v>
      </c>
      <c r="O57" s="337" t="e">
        <v>#N/A</v>
      </c>
      <c r="P57" s="337"/>
      <c r="Q57" s="337"/>
      <c r="R57" s="343">
        <v>-37612.5</v>
      </c>
    </row>
    <row r="58" spans="1:18" x14ac:dyDescent="0.2">
      <c r="A58" s="342" t="s">
        <v>738</v>
      </c>
      <c r="B58" s="337" t="s">
        <v>793</v>
      </c>
      <c r="C58" s="337" t="s">
        <v>795</v>
      </c>
      <c r="D58" s="337" t="s">
        <v>798</v>
      </c>
      <c r="E58" s="337" t="s">
        <v>790</v>
      </c>
      <c r="F58" s="337" t="s">
        <v>771</v>
      </c>
      <c r="G58" s="337" t="s">
        <v>799</v>
      </c>
      <c r="H58" s="337" t="s">
        <v>800</v>
      </c>
      <c r="I58" s="337" t="s">
        <v>767</v>
      </c>
      <c r="J58" s="337" t="s">
        <v>765</v>
      </c>
      <c r="K58" s="337"/>
      <c r="L58" s="337"/>
      <c r="M58" s="337" t="s">
        <v>805</v>
      </c>
      <c r="N58" s="337" t="s">
        <v>806</v>
      </c>
      <c r="O58" s="337" t="e">
        <v>#N/A</v>
      </c>
      <c r="P58" s="337"/>
      <c r="Q58" s="337"/>
      <c r="R58" s="343">
        <v>-72681.149999999994</v>
      </c>
    </row>
    <row r="59" spans="1:18" x14ac:dyDescent="0.2">
      <c r="A59" s="342" t="s">
        <v>727</v>
      </c>
      <c r="B59" s="337" t="s">
        <v>793</v>
      </c>
      <c r="C59" s="337" t="s">
        <v>795</v>
      </c>
      <c r="D59" s="337" t="s">
        <v>798</v>
      </c>
      <c r="E59" s="337" t="s">
        <v>790</v>
      </c>
      <c r="F59" s="337" t="s">
        <v>771</v>
      </c>
      <c r="G59" s="337" t="s">
        <v>799</v>
      </c>
      <c r="H59" s="337" t="s">
        <v>800</v>
      </c>
      <c r="I59" s="337" t="s">
        <v>767</v>
      </c>
      <c r="J59" s="337" t="s">
        <v>765</v>
      </c>
      <c r="K59" s="337"/>
      <c r="L59" s="337"/>
      <c r="M59" s="337" t="s">
        <v>805</v>
      </c>
      <c r="N59" s="337" t="s">
        <v>806</v>
      </c>
      <c r="O59" s="337" t="e">
        <v>#N/A</v>
      </c>
      <c r="P59" s="337"/>
      <c r="Q59" s="337"/>
      <c r="R59" s="343">
        <v>-107222.33</v>
      </c>
    </row>
    <row r="60" spans="1:18" x14ac:dyDescent="0.2">
      <c r="A60" s="342" t="s">
        <v>728</v>
      </c>
      <c r="B60" s="337" t="s">
        <v>793</v>
      </c>
      <c r="C60" s="337" t="s">
        <v>795</v>
      </c>
      <c r="D60" s="337" t="s">
        <v>798</v>
      </c>
      <c r="E60" s="337" t="s">
        <v>790</v>
      </c>
      <c r="F60" s="337" t="s">
        <v>771</v>
      </c>
      <c r="G60" s="337" t="s">
        <v>799</v>
      </c>
      <c r="H60" s="337" t="s">
        <v>800</v>
      </c>
      <c r="I60" s="337" t="s">
        <v>767</v>
      </c>
      <c r="J60" s="337" t="s">
        <v>765</v>
      </c>
      <c r="K60" s="337"/>
      <c r="L60" s="337"/>
      <c r="M60" s="337" t="s">
        <v>807</v>
      </c>
      <c r="N60" s="337" t="s">
        <v>760</v>
      </c>
      <c r="O60" s="337" t="e">
        <v>#N/A</v>
      </c>
      <c r="P60" s="337"/>
      <c r="Q60" s="337"/>
      <c r="R60" s="343">
        <v>-1217.1600000000001</v>
      </c>
    </row>
    <row r="61" spans="1:18" x14ac:dyDescent="0.2">
      <c r="A61" s="342" t="s">
        <v>730</v>
      </c>
      <c r="B61" s="337" t="s">
        <v>793</v>
      </c>
      <c r="C61" s="337" t="s">
        <v>795</v>
      </c>
      <c r="D61" s="337" t="s">
        <v>798</v>
      </c>
      <c r="E61" s="337" t="s">
        <v>790</v>
      </c>
      <c r="F61" s="337" t="s">
        <v>771</v>
      </c>
      <c r="G61" s="337" t="s">
        <v>799</v>
      </c>
      <c r="H61" s="337" t="s">
        <v>800</v>
      </c>
      <c r="I61" s="337" t="s">
        <v>767</v>
      </c>
      <c r="J61" s="337" t="s">
        <v>765</v>
      </c>
      <c r="K61" s="337"/>
      <c r="L61" s="337"/>
      <c r="M61" s="337" t="s">
        <v>807</v>
      </c>
      <c r="N61" s="337" t="s">
        <v>760</v>
      </c>
      <c r="O61" s="337" t="e">
        <v>#N/A</v>
      </c>
      <c r="P61" s="337"/>
      <c r="Q61" s="337"/>
      <c r="R61" s="343">
        <v>-2054.86</v>
      </c>
    </row>
    <row r="62" spans="1:18" x14ac:dyDescent="0.2">
      <c r="A62" s="342" t="s">
        <v>731</v>
      </c>
      <c r="B62" s="337" t="s">
        <v>793</v>
      </c>
      <c r="C62" s="337" t="s">
        <v>795</v>
      </c>
      <c r="D62" s="337" t="s">
        <v>798</v>
      </c>
      <c r="E62" s="337" t="s">
        <v>790</v>
      </c>
      <c r="F62" s="337" t="s">
        <v>771</v>
      </c>
      <c r="G62" s="337" t="s">
        <v>799</v>
      </c>
      <c r="H62" s="337" t="s">
        <v>800</v>
      </c>
      <c r="I62" s="337" t="s">
        <v>767</v>
      </c>
      <c r="J62" s="337" t="s">
        <v>765</v>
      </c>
      <c r="K62" s="337"/>
      <c r="L62" s="337"/>
      <c r="M62" s="337" t="s">
        <v>807</v>
      </c>
      <c r="N62" s="337" t="s">
        <v>760</v>
      </c>
      <c r="O62" s="337" t="e">
        <v>#N/A</v>
      </c>
      <c r="P62" s="337"/>
      <c r="Q62" s="337"/>
      <c r="R62" s="343">
        <v>-1202.5</v>
      </c>
    </row>
    <row r="63" spans="1:18" x14ac:dyDescent="0.2">
      <c r="A63" s="342" t="s">
        <v>732</v>
      </c>
      <c r="B63" s="337" t="s">
        <v>793</v>
      </c>
      <c r="C63" s="337" t="s">
        <v>795</v>
      </c>
      <c r="D63" s="337" t="s">
        <v>798</v>
      </c>
      <c r="E63" s="337" t="s">
        <v>790</v>
      </c>
      <c r="F63" s="337" t="s">
        <v>771</v>
      </c>
      <c r="G63" s="337" t="s">
        <v>799</v>
      </c>
      <c r="H63" s="337" t="s">
        <v>800</v>
      </c>
      <c r="I63" s="337" t="s">
        <v>767</v>
      </c>
      <c r="J63" s="337" t="s">
        <v>765</v>
      </c>
      <c r="K63" s="337"/>
      <c r="L63" s="337"/>
      <c r="M63" s="337" t="s">
        <v>807</v>
      </c>
      <c r="N63" s="337" t="s">
        <v>760</v>
      </c>
      <c r="O63" s="337" t="e">
        <v>#N/A</v>
      </c>
      <c r="P63" s="337"/>
      <c r="Q63" s="337"/>
      <c r="R63" s="343">
        <v>-1502.79</v>
      </c>
    </row>
    <row r="64" spans="1:18" x14ac:dyDescent="0.2">
      <c r="A64" s="342" t="s">
        <v>726</v>
      </c>
      <c r="B64" s="337" t="s">
        <v>793</v>
      </c>
      <c r="C64" s="337" t="s">
        <v>795</v>
      </c>
      <c r="D64" s="337" t="s">
        <v>798</v>
      </c>
      <c r="E64" s="337" t="s">
        <v>790</v>
      </c>
      <c r="F64" s="337" t="s">
        <v>771</v>
      </c>
      <c r="G64" s="337" t="s">
        <v>799</v>
      </c>
      <c r="H64" s="337" t="s">
        <v>800</v>
      </c>
      <c r="I64" s="337" t="s">
        <v>767</v>
      </c>
      <c r="J64" s="337" t="s">
        <v>765</v>
      </c>
      <c r="K64" s="337"/>
      <c r="L64" s="337"/>
      <c r="M64" s="337" t="s">
        <v>807</v>
      </c>
      <c r="N64" s="337" t="s">
        <v>760</v>
      </c>
      <c r="O64" s="337" t="e">
        <v>#N/A</v>
      </c>
      <c r="P64" s="337"/>
      <c r="Q64" s="337"/>
      <c r="R64" s="343">
        <v>-2692.72</v>
      </c>
    </row>
    <row r="65" spans="1:18" x14ac:dyDescent="0.2">
      <c r="A65" s="342" t="s">
        <v>733</v>
      </c>
      <c r="B65" s="337" t="s">
        <v>793</v>
      </c>
      <c r="C65" s="337" t="s">
        <v>795</v>
      </c>
      <c r="D65" s="337" t="s">
        <v>798</v>
      </c>
      <c r="E65" s="337" t="s">
        <v>790</v>
      </c>
      <c r="F65" s="337" t="s">
        <v>771</v>
      </c>
      <c r="G65" s="337" t="s">
        <v>799</v>
      </c>
      <c r="H65" s="337" t="s">
        <v>800</v>
      </c>
      <c r="I65" s="337" t="s">
        <v>767</v>
      </c>
      <c r="J65" s="337" t="s">
        <v>765</v>
      </c>
      <c r="K65" s="337"/>
      <c r="L65" s="337"/>
      <c r="M65" s="337" t="s">
        <v>807</v>
      </c>
      <c r="N65" s="337" t="s">
        <v>760</v>
      </c>
      <c r="O65" s="337" t="e">
        <v>#N/A</v>
      </c>
      <c r="P65" s="337"/>
      <c r="Q65" s="337"/>
      <c r="R65" s="343">
        <v>-1192.24</v>
      </c>
    </row>
    <row r="66" spans="1:18" x14ac:dyDescent="0.2">
      <c r="A66" s="342" t="s">
        <v>734</v>
      </c>
      <c r="B66" s="337" t="s">
        <v>793</v>
      </c>
      <c r="C66" s="337" t="s">
        <v>795</v>
      </c>
      <c r="D66" s="337" t="s">
        <v>798</v>
      </c>
      <c r="E66" s="337" t="s">
        <v>790</v>
      </c>
      <c r="F66" s="337" t="s">
        <v>771</v>
      </c>
      <c r="G66" s="337" t="s">
        <v>799</v>
      </c>
      <c r="H66" s="337" t="s">
        <v>800</v>
      </c>
      <c r="I66" s="337" t="s">
        <v>767</v>
      </c>
      <c r="J66" s="337" t="s">
        <v>765</v>
      </c>
      <c r="K66" s="337"/>
      <c r="L66" s="337"/>
      <c r="M66" s="337" t="s">
        <v>807</v>
      </c>
      <c r="N66" s="337" t="s">
        <v>760</v>
      </c>
      <c r="O66" s="337" t="e">
        <v>#N/A</v>
      </c>
      <c r="P66" s="337"/>
      <c r="Q66" s="337"/>
      <c r="R66" s="343">
        <v>-1193.79</v>
      </c>
    </row>
    <row r="67" spans="1:18" x14ac:dyDescent="0.2">
      <c r="A67" s="342" t="s">
        <v>735</v>
      </c>
      <c r="B67" s="337" t="s">
        <v>793</v>
      </c>
      <c r="C67" s="337" t="s">
        <v>795</v>
      </c>
      <c r="D67" s="337" t="s">
        <v>798</v>
      </c>
      <c r="E67" s="337" t="s">
        <v>790</v>
      </c>
      <c r="F67" s="337" t="s">
        <v>771</v>
      </c>
      <c r="G67" s="337" t="s">
        <v>799</v>
      </c>
      <c r="H67" s="337" t="s">
        <v>800</v>
      </c>
      <c r="I67" s="337" t="s">
        <v>767</v>
      </c>
      <c r="J67" s="337" t="s">
        <v>765</v>
      </c>
      <c r="K67" s="337"/>
      <c r="L67" s="337"/>
      <c r="M67" s="337" t="s">
        <v>807</v>
      </c>
      <c r="N67" s="337" t="s">
        <v>760</v>
      </c>
      <c r="O67" s="337" t="e">
        <v>#N/A</v>
      </c>
      <c r="P67" s="337"/>
      <c r="Q67" s="337"/>
      <c r="R67" s="343">
        <v>-1492.23</v>
      </c>
    </row>
    <row r="68" spans="1:18" x14ac:dyDescent="0.2">
      <c r="A68" s="342" t="s">
        <v>736</v>
      </c>
      <c r="B68" s="337" t="s">
        <v>793</v>
      </c>
      <c r="C68" s="337" t="s">
        <v>795</v>
      </c>
      <c r="D68" s="337" t="s">
        <v>798</v>
      </c>
      <c r="E68" s="337" t="s">
        <v>790</v>
      </c>
      <c r="F68" s="337" t="s">
        <v>771</v>
      </c>
      <c r="G68" s="337" t="s">
        <v>799</v>
      </c>
      <c r="H68" s="337" t="s">
        <v>800</v>
      </c>
      <c r="I68" s="337" t="s">
        <v>767</v>
      </c>
      <c r="J68" s="337" t="s">
        <v>765</v>
      </c>
      <c r="K68" s="337"/>
      <c r="L68" s="337"/>
      <c r="M68" s="337" t="s">
        <v>807</v>
      </c>
      <c r="N68" s="337" t="s">
        <v>760</v>
      </c>
      <c r="O68" s="337" t="e">
        <v>#N/A</v>
      </c>
      <c r="P68" s="337"/>
      <c r="Q68" s="337"/>
      <c r="R68" s="343">
        <v>-1333.32</v>
      </c>
    </row>
    <row r="69" spans="1:18" x14ac:dyDescent="0.2">
      <c r="A69" s="342" t="s">
        <v>737</v>
      </c>
      <c r="B69" s="337" t="s">
        <v>793</v>
      </c>
      <c r="C69" s="337" t="s">
        <v>795</v>
      </c>
      <c r="D69" s="337" t="s">
        <v>798</v>
      </c>
      <c r="E69" s="337" t="s">
        <v>790</v>
      </c>
      <c r="F69" s="337" t="s">
        <v>771</v>
      </c>
      <c r="G69" s="337" t="s">
        <v>799</v>
      </c>
      <c r="H69" s="337" t="s">
        <v>800</v>
      </c>
      <c r="I69" s="337" t="s">
        <v>767</v>
      </c>
      <c r="J69" s="337" t="s">
        <v>765</v>
      </c>
      <c r="K69" s="337"/>
      <c r="L69" s="337"/>
      <c r="M69" s="337" t="s">
        <v>807</v>
      </c>
      <c r="N69" s="337" t="s">
        <v>760</v>
      </c>
      <c r="O69" s="337" t="e">
        <v>#N/A</v>
      </c>
      <c r="P69" s="337"/>
      <c r="Q69" s="337"/>
      <c r="R69" s="343">
        <v>-1800.53</v>
      </c>
    </row>
    <row r="70" spans="1:18" x14ac:dyDescent="0.2">
      <c r="A70" s="342" t="s">
        <v>738</v>
      </c>
      <c r="B70" s="337" t="s">
        <v>793</v>
      </c>
      <c r="C70" s="337" t="s">
        <v>795</v>
      </c>
      <c r="D70" s="337" t="s">
        <v>798</v>
      </c>
      <c r="E70" s="337" t="s">
        <v>790</v>
      </c>
      <c r="F70" s="337" t="s">
        <v>771</v>
      </c>
      <c r="G70" s="337" t="s">
        <v>799</v>
      </c>
      <c r="H70" s="337" t="s">
        <v>800</v>
      </c>
      <c r="I70" s="337" t="s">
        <v>767</v>
      </c>
      <c r="J70" s="337" t="s">
        <v>765</v>
      </c>
      <c r="K70" s="337"/>
      <c r="L70" s="337"/>
      <c r="M70" s="337" t="s">
        <v>807</v>
      </c>
      <c r="N70" s="337" t="s">
        <v>760</v>
      </c>
      <c r="O70" s="337" t="e">
        <v>#N/A</v>
      </c>
      <c r="P70" s="337"/>
      <c r="Q70" s="337"/>
      <c r="R70" s="343">
        <v>-1502.08</v>
      </c>
    </row>
    <row r="71" spans="1:18" x14ac:dyDescent="0.2">
      <c r="A71" s="342" t="s">
        <v>727</v>
      </c>
      <c r="B71" s="337" t="s">
        <v>793</v>
      </c>
      <c r="C71" s="337" t="s">
        <v>795</v>
      </c>
      <c r="D71" s="337" t="s">
        <v>798</v>
      </c>
      <c r="E71" s="337" t="s">
        <v>790</v>
      </c>
      <c r="F71" s="337" t="s">
        <v>771</v>
      </c>
      <c r="G71" s="337" t="s">
        <v>799</v>
      </c>
      <c r="H71" s="337" t="s">
        <v>800</v>
      </c>
      <c r="I71" s="337" t="s">
        <v>767</v>
      </c>
      <c r="J71" s="337" t="s">
        <v>765</v>
      </c>
      <c r="K71" s="337"/>
      <c r="L71" s="337"/>
      <c r="M71" s="337" t="s">
        <v>807</v>
      </c>
      <c r="N71" s="337" t="s">
        <v>760</v>
      </c>
      <c r="O71" s="337" t="e">
        <v>#N/A</v>
      </c>
      <c r="P71" s="337"/>
      <c r="Q71" s="337"/>
      <c r="R71" s="343">
        <v>-1502.08</v>
      </c>
    </row>
    <row r="72" spans="1:18" x14ac:dyDescent="0.2">
      <c r="A72" s="342" t="s">
        <v>735</v>
      </c>
      <c r="B72" s="337" t="s">
        <v>793</v>
      </c>
      <c r="C72" s="337" t="s">
        <v>795</v>
      </c>
      <c r="D72" s="337" t="s">
        <v>798</v>
      </c>
      <c r="E72" s="337" t="s">
        <v>790</v>
      </c>
      <c r="F72" s="337" t="s">
        <v>771</v>
      </c>
      <c r="G72" s="337" t="s">
        <v>799</v>
      </c>
      <c r="H72" s="337" t="s">
        <v>800</v>
      </c>
      <c r="I72" s="337" t="s">
        <v>767</v>
      </c>
      <c r="J72" s="337" t="s">
        <v>765</v>
      </c>
      <c r="K72" s="337"/>
      <c r="L72" s="337"/>
      <c r="M72" s="337" t="s">
        <v>808</v>
      </c>
      <c r="N72" s="337" t="s">
        <v>809</v>
      </c>
      <c r="O72" s="337" t="e">
        <v>#N/A</v>
      </c>
      <c r="P72" s="337"/>
      <c r="Q72" s="337"/>
      <c r="R72" s="343">
        <v>-18544.97</v>
      </c>
    </row>
    <row r="73" spans="1:18" x14ac:dyDescent="0.2">
      <c r="A73" s="342" t="s">
        <v>726</v>
      </c>
      <c r="B73" s="337" t="s">
        <v>793</v>
      </c>
      <c r="C73" s="337" t="s">
        <v>795</v>
      </c>
      <c r="D73" s="337" t="s">
        <v>798</v>
      </c>
      <c r="E73" s="337" t="s">
        <v>790</v>
      </c>
      <c r="F73" s="337" t="s">
        <v>771</v>
      </c>
      <c r="G73" s="337" t="s">
        <v>799</v>
      </c>
      <c r="H73" s="337" t="s">
        <v>800</v>
      </c>
      <c r="I73" s="337" t="s">
        <v>767</v>
      </c>
      <c r="J73" s="337" t="s">
        <v>765</v>
      </c>
      <c r="K73" s="337"/>
      <c r="L73" s="337"/>
      <c r="M73" s="337" t="s">
        <v>810</v>
      </c>
      <c r="N73" s="337" t="s">
        <v>811</v>
      </c>
      <c r="O73" s="337" t="e">
        <v>#N/A</v>
      </c>
      <c r="P73" s="337"/>
      <c r="Q73" s="337"/>
      <c r="R73" s="343">
        <v>530.95000000000005</v>
      </c>
    </row>
    <row r="74" spans="1:18" x14ac:dyDescent="0.2">
      <c r="A74" s="342" t="s">
        <v>733</v>
      </c>
      <c r="B74" s="337" t="s">
        <v>793</v>
      </c>
      <c r="C74" s="337" t="s">
        <v>795</v>
      </c>
      <c r="D74" s="337" t="s">
        <v>798</v>
      </c>
      <c r="E74" s="337" t="s">
        <v>790</v>
      </c>
      <c r="F74" s="337" t="s">
        <v>771</v>
      </c>
      <c r="G74" s="337" t="s">
        <v>799</v>
      </c>
      <c r="H74" s="337" t="s">
        <v>800</v>
      </c>
      <c r="I74" s="337" t="s">
        <v>767</v>
      </c>
      <c r="J74" s="337" t="s">
        <v>765</v>
      </c>
      <c r="K74" s="337"/>
      <c r="L74" s="337"/>
      <c r="M74" s="337" t="s">
        <v>810</v>
      </c>
      <c r="N74" s="337" t="s">
        <v>811</v>
      </c>
      <c r="O74" s="337" t="e">
        <v>#N/A</v>
      </c>
      <c r="P74" s="337"/>
      <c r="Q74" s="337"/>
      <c r="R74" s="343">
        <v>-530.95000000000005</v>
      </c>
    </row>
    <row r="75" spans="1:18" x14ac:dyDescent="0.2">
      <c r="A75" s="342" t="s">
        <v>728</v>
      </c>
      <c r="B75" s="337" t="s">
        <v>793</v>
      </c>
      <c r="C75" s="337" t="s">
        <v>795</v>
      </c>
      <c r="D75" s="337" t="s">
        <v>798</v>
      </c>
      <c r="E75" s="337" t="s">
        <v>790</v>
      </c>
      <c r="F75" s="337" t="s">
        <v>771</v>
      </c>
      <c r="G75" s="337" t="s">
        <v>799</v>
      </c>
      <c r="H75" s="337" t="s">
        <v>800</v>
      </c>
      <c r="I75" s="337" t="s">
        <v>767</v>
      </c>
      <c r="J75" s="337" t="s">
        <v>765</v>
      </c>
      <c r="K75" s="337"/>
      <c r="L75" s="337"/>
      <c r="M75" s="337" t="s">
        <v>812</v>
      </c>
      <c r="N75" s="337" t="s">
        <v>759</v>
      </c>
      <c r="O75" s="337" t="e">
        <v>#N/A</v>
      </c>
      <c r="P75" s="337"/>
      <c r="Q75" s="337"/>
      <c r="R75" s="343">
        <v>-23226.63</v>
      </c>
    </row>
    <row r="76" spans="1:18" x14ac:dyDescent="0.2">
      <c r="A76" s="342" t="s">
        <v>730</v>
      </c>
      <c r="B76" s="337" t="s">
        <v>793</v>
      </c>
      <c r="C76" s="337" t="s">
        <v>795</v>
      </c>
      <c r="D76" s="337" t="s">
        <v>798</v>
      </c>
      <c r="E76" s="337" t="s">
        <v>790</v>
      </c>
      <c r="F76" s="337" t="s">
        <v>771</v>
      </c>
      <c r="G76" s="337" t="s">
        <v>799</v>
      </c>
      <c r="H76" s="337" t="s">
        <v>800</v>
      </c>
      <c r="I76" s="337" t="s">
        <v>767</v>
      </c>
      <c r="J76" s="337" t="s">
        <v>765</v>
      </c>
      <c r="K76" s="337"/>
      <c r="L76" s="337"/>
      <c r="M76" s="337" t="s">
        <v>812</v>
      </c>
      <c r="N76" s="337" t="s">
        <v>759</v>
      </c>
      <c r="O76" s="337" t="e">
        <v>#N/A</v>
      </c>
      <c r="P76" s="337"/>
      <c r="Q76" s="337"/>
      <c r="R76" s="343">
        <v>-7485</v>
      </c>
    </row>
    <row r="77" spans="1:18" x14ac:dyDescent="0.2">
      <c r="A77" s="342" t="s">
        <v>731</v>
      </c>
      <c r="B77" s="337" t="s">
        <v>793</v>
      </c>
      <c r="C77" s="337" t="s">
        <v>795</v>
      </c>
      <c r="D77" s="337" t="s">
        <v>798</v>
      </c>
      <c r="E77" s="337" t="s">
        <v>790</v>
      </c>
      <c r="F77" s="337" t="s">
        <v>771</v>
      </c>
      <c r="G77" s="337" t="s">
        <v>799</v>
      </c>
      <c r="H77" s="337" t="s">
        <v>800</v>
      </c>
      <c r="I77" s="337" t="s">
        <v>767</v>
      </c>
      <c r="J77" s="337" t="s">
        <v>765</v>
      </c>
      <c r="K77" s="337"/>
      <c r="L77" s="337"/>
      <c r="M77" s="337" t="s">
        <v>812</v>
      </c>
      <c r="N77" s="337" t="s">
        <v>759</v>
      </c>
      <c r="O77" s="337" t="e">
        <v>#N/A</v>
      </c>
      <c r="P77" s="337"/>
      <c r="Q77" s="337"/>
      <c r="R77" s="343">
        <v>-13478.64</v>
      </c>
    </row>
    <row r="78" spans="1:18" x14ac:dyDescent="0.2">
      <c r="A78" s="342" t="s">
        <v>732</v>
      </c>
      <c r="B78" s="337" t="s">
        <v>793</v>
      </c>
      <c r="C78" s="337" t="s">
        <v>795</v>
      </c>
      <c r="D78" s="337" t="s">
        <v>798</v>
      </c>
      <c r="E78" s="337" t="s">
        <v>790</v>
      </c>
      <c r="F78" s="337" t="s">
        <v>771</v>
      </c>
      <c r="G78" s="337" t="s">
        <v>799</v>
      </c>
      <c r="H78" s="337" t="s">
        <v>800</v>
      </c>
      <c r="I78" s="337" t="s">
        <v>767</v>
      </c>
      <c r="J78" s="337" t="s">
        <v>765</v>
      </c>
      <c r="K78" s="337"/>
      <c r="L78" s="337"/>
      <c r="M78" s="337" t="s">
        <v>812</v>
      </c>
      <c r="N78" s="337" t="s">
        <v>759</v>
      </c>
      <c r="O78" s="337" t="e">
        <v>#N/A</v>
      </c>
      <c r="P78" s="337"/>
      <c r="Q78" s="337"/>
      <c r="R78" s="343">
        <v>-25243.599999999999</v>
      </c>
    </row>
    <row r="79" spans="1:18" x14ac:dyDescent="0.2">
      <c r="A79" s="342" t="s">
        <v>726</v>
      </c>
      <c r="B79" s="337" t="s">
        <v>793</v>
      </c>
      <c r="C79" s="337" t="s">
        <v>795</v>
      </c>
      <c r="D79" s="337" t="s">
        <v>798</v>
      </c>
      <c r="E79" s="337" t="s">
        <v>790</v>
      </c>
      <c r="F79" s="337" t="s">
        <v>771</v>
      </c>
      <c r="G79" s="337" t="s">
        <v>799</v>
      </c>
      <c r="H79" s="337" t="s">
        <v>800</v>
      </c>
      <c r="I79" s="337" t="s">
        <v>767</v>
      </c>
      <c r="J79" s="337" t="s">
        <v>765</v>
      </c>
      <c r="K79" s="337"/>
      <c r="L79" s="337"/>
      <c r="M79" s="337" t="s">
        <v>812</v>
      </c>
      <c r="N79" s="337" t="s">
        <v>759</v>
      </c>
      <c r="O79" s="337" t="e">
        <v>#N/A</v>
      </c>
      <c r="P79" s="337"/>
      <c r="Q79" s="337"/>
      <c r="R79" s="343">
        <v>-9687.11</v>
      </c>
    </row>
    <row r="80" spans="1:18" x14ac:dyDescent="0.2">
      <c r="A80" s="342" t="s">
        <v>733</v>
      </c>
      <c r="B80" s="337" t="s">
        <v>793</v>
      </c>
      <c r="C80" s="337" t="s">
        <v>795</v>
      </c>
      <c r="D80" s="337" t="s">
        <v>798</v>
      </c>
      <c r="E80" s="337" t="s">
        <v>790</v>
      </c>
      <c r="F80" s="337" t="s">
        <v>771</v>
      </c>
      <c r="G80" s="337" t="s">
        <v>799</v>
      </c>
      <c r="H80" s="337" t="s">
        <v>800</v>
      </c>
      <c r="I80" s="337" t="s">
        <v>767</v>
      </c>
      <c r="J80" s="337" t="s">
        <v>765</v>
      </c>
      <c r="K80" s="337"/>
      <c r="L80" s="337"/>
      <c r="M80" s="337" t="s">
        <v>812</v>
      </c>
      <c r="N80" s="337" t="s">
        <v>759</v>
      </c>
      <c r="O80" s="337" t="e">
        <v>#N/A</v>
      </c>
      <c r="P80" s="337"/>
      <c r="Q80" s="337"/>
      <c r="R80" s="343">
        <v>-3.05</v>
      </c>
    </row>
    <row r="81" spans="1:18" x14ac:dyDescent="0.2">
      <c r="A81" s="342" t="s">
        <v>734</v>
      </c>
      <c r="B81" s="337" t="s">
        <v>793</v>
      </c>
      <c r="C81" s="337" t="s">
        <v>795</v>
      </c>
      <c r="D81" s="337" t="s">
        <v>798</v>
      </c>
      <c r="E81" s="337" t="s">
        <v>790</v>
      </c>
      <c r="F81" s="337" t="s">
        <v>771</v>
      </c>
      <c r="G81" s="337" t="s">
        <v>799</v>
      </c>
      <c r="H81" s="337" t="s">
        <v>800</v>
      </c>
      <c r="I81" s="337" t="s">
        <v>767</v>
      </c>
      <c r="J81" s="337" t="s">
        <v>765</v>
      </c>
      <c r="K81" s="337"/>
      <c r="L81" s="337"/>
      <c r="M81" s="337" t="s">
        <v>812</v>
      </c>
      <c r="N81" s="337" t="s">
        <v>759</v>
      </c>
      <c r="O81" s="337" t="e">
        <v>#N/A</v>
      </c>
      <c r="P81" s="337"/>
      <c r="Q81" s="337"/>
      <c r="R81" s="343">
        <v>-5020.26</v>
      </c>
    </row>
    <row r="82" spans="1:18" x14ac:dyDescent="0.2">
      <c r="A82" s="342" t="s">
        <v>735</v>
      </c>
      <c r="B82" s="337" t="s">
        <v>793</v>
      </c>
      <c r="C82" s="337" t="s">
        <v>795</v>
      </c>
      <c r="D82" s="337" t="s">
        <v>798</v>
      </c>
      <c r="E82" s="337" t="s">
        <v>790</v>
      </c>
      <c r="F82" s="337" t="s">
        <v>771</v>
      </c>
      <c r="G82" s="337" t="s">
        <v>799</v>
      </c>
      <c r="H82" s="337" t="s">
        <v>800</v>
      </c>
      <c r="I82" s="337" t="s">
        <v>767</v>
      </c>
      <c r="J82" s="337" t="s">
        <v>765</v>
      </c>
      <c r="K82" s="337"/>
      <c r="L82" s="337"/>
      <c r="M82" s="337" t="s">
        <v>812</v>
      </c>
      <c r="N82" s="337" t="s">
        <v>759</v>
      </c>
      <c r="O82" s="337" t="e">
        <v>#N/A</v>
      </c>
      <c r="P82" s="337"/>
      <c r="Q82" s="337"/>
      <c r="R82" s="343">
        <v>-49782.6</v>
      </c>
    </row>
    <row r="83" spans="1:18" x14ac:dyDescent="0.2">
      <c r="A83" s="342" t="s">
        <v>736</v>
      </c>
      <c r="B83" s="337" t="s">
        <v>793</v>
      </c>
      <c r="C83" s="337" t="s">
        <v>795</v>
      </c>
      <c r="D83" s="337" t="s">
        <v>798</v>
      </c>
      <c r="E83" s="337" t="s">
        <v>790</v>
      </c>
      <c r="F83" s="337" t="s">
        <v>771</v>
      </c>
      <c r="G83" s="337" t="s">
        <v>799</v>
      </c>
      <c r="H83" s="337" t="s">
        <v>800</v>
      </c>
      <c r="I83" s="337" t="s">
        <v>767</v>
      </c>
      <c r="J83" s="337" t="s">
        <v>765</v>
      </c>
      <c r="K83" s="337"/>
      <c r="L83" s="337"/>
      <c r="M83" s="337" t="s">
        <v>812</v>
      </c>
      <c r="N83" s="337" t="s">
        <v>759</v>
      </c>
      <c r="O83" s="337" t="e">
        <v>#N/A</v>
      </c>
      <c r="P83" s="337"/>
      <c r="Q83" s="337"/>
      <c r="R83" s="343">
        <v>-30016.35</v>
      </c>
    </row>
    <row r="84" spans="1:18" x14ac:dyDescent="0.2">
      <c r="A84" s="342" t="s">
        <v>737</v>
      </c>
      <c r="B84" s="337" t="s">
        <v>793</v>
      </c>
      <c r="C84" s="337" t="s">
        <v>795</v>
      </c>
      <c r="D84" s="337" t="s">
        <v>798</v>
      </c>
      <c r="E84" s="337" t="s">
        <v>790</v>
      </c>
      <c r="F84" s="337" t="s">
        <v>771</v>
      </c>
      <c r="G84" s="337" t="s">
        <v>799</v>
      </c>
      <c r="H84" s="337" t="s">
        <v>800</v>
      </c>
      <c r="I84" s="337" t="s">
        <v>767</v>
      </c>
      <c r="J84" s="337" t="s">
        <v>765</v>
      </c>
      <c r="K84" s="337"/>
      <c r="L84" s="337"/>
      <c r="M84" s="337" t="s">
        <v>812</v>
      </c>
      <c r="N84" s="337" t="s">
        <v>759</v>
      </c>
      <c r="O84" s="337" t="e">
        <v>#N/A</v>
      </c>
      <c r="P84" s="337"/>
      <c r="Q84" s="337"/>
      <c r="R84" s="343">
        <v>-7654.92</v>
      </c>
    </row>
    <row r="85" spans="1:18" x14ac:dyDescent="0.2">
      <c r="A85" s="342" t="s">
        <v>738</v>
      </c>
      <c r="B85" s="337" t="s">
        <v>793</v>
      </c>
      <c r="C85" s="337" t="s">
        <v>795</v>
      </c>
      <c r="D85" s="337" t="s">
        <v>798</v>
      </c>
      <c r="E85" s="337" t="s">
        <v>790</v>
      </c>
      <c r="F85" s="337" t="s">
        <v>771</v>
      </c>
      <c r="G85" s="337" t="s">
        <v>799</v>
      </c>
      <c r="H85" s="337" t="s">
        <v>800</v>
      </c>
      <c r="I85" s="337" t="s">
        <v>767</v>
      </c>
      <c r="J85" s="337" t="s">
        <v>765</v>
      </c>
      <c r="K85" s="337"/>
      <c r="L85" s="337"/>
      <c r="M85" s="337" t="s">
        <v>812</v>
      </c>
      <c r="N85" s="337" t="s">
        <v>759</v>
      </c>
      <c r="O85" s="337" t="e">
        <v>#N/A</v>
      </c>
      <c r="P85" s="337"/>
      <c r="Q85" s="337"/>
      <c r="R85" s="343">
        <v>-13268.22</v>
      </c>
    </row>
    <row r="86" spans="1:18" x14ac:dyDescent="0.2">
      <c r="A86" s="342" t="s">
        <v>727</v>
      </c>
      <c r="B86" s="337" t="s">
        <v>793</v>
      </c>
      <c r="C86" s="337" t="s">
        <v>795</v>
      </c>
      <c r="D86" s="337" t="s">
        <v>798</v>
      </c>
      <c r="E86" s="337" t="s">
        <v>790</v>
      </c>
      <c r="F86" s="337" t="s">
        <v>771</v>
      </c>
      <c r="G86" s="337" t="s">
        <v>799</v>
      </c>
      <c r="H86" s="337" t="s">
        <v>800</v>
      </c>
      <c r="I86" s="337" t="s">
        <v>767</v>
      </c>
      <c r="J86" s="337" t="s">
        <v>765</v>
      </c>
      <c r="K86" s="337"/>
      <c r="L86" s="337"/>
      <c r="M86" s="337" t="s">
        <v>812</v>
      </c>
      <c r="N86" s="337" t="s">
        <v>759</v>
      </c>
      <c r="O86" s="337" t="e">
        <v>#N/A</v>
      </c>
      <c r="P86" s="337"/>
      <c r="Q86" s="337"/>
      <c r="R86" s="343">
        <v>-5820.78</v>
      </c>
    </row>
    <row r="87" spans="1:18" x14ac:dyDescent="0.2">
      <c r="A87" s="342" t="s">
        <v>735</v>
      </c>
      <c r="B87" s="337" t="s">
        <v>793</v>
      </c>
      <c r="C87" s="337" t="s">
        <v>795</v>
      </c>
      <c r="D87" s="337" t="s">
        <v>798</v>
      </c>
      <c r="E87" s="337" t="s">
        <v>790</v>
      </c>
      <c r="F87" s="337" t="s">
        <v>771</v>
      </c>
      <c r="G87" s="337" t="s">
        <v>799</v>
      </c>
      <c r="H87" s="337" t="s">
        <v>800</v>
      </c>
      <c r="I87" s="337" t="s">
        <v>767</v>
      </c>
      <c r="J87" s="337" t="s">
        <v>765</v>
      </c>
      <c r="K87" s="337"/>
      <c r="L87" s="337"/>
      <c r="M87" s="337" t="s">
        <v>813</v>
      </c>
      <c r="N87" s="337" t="s">
        <v>814</v>
      </c>
      <c r="O87" s="337" t="e">
        <v>#N/A</v>
      </c>
      <c r="P87" s="337"/>
      <c r="Q87" s="337"/>
      <c r="R87" s="343">
        <v>-2857.22</v>
      </c>
    </row>
    <row r="88" spans="1:18" x14ac:dyDescent="0.2">
      <c r="A88" s="342" t="s">
        <v>728</v>
      </c>
      <c r="B88" s="337" t="s">
        <v>793</v>
      </c>
      <c r="C88" s="337" t="s">
        <v>795</v>
      </c>
      <c r="D88" s="337" t="s">
        <v>798</v>
      </c>
      <c r="E88" s="337" t="s">
        <v>790</v>
      </c>
      <c r="F88" s="337" t="s">
        <v>771</v>
      </c>
      <c r="G88" s="337" t="s">
        <v>799</v>
      </c>
      <c r="H88" s="337" t="s">
        <v>800</v>
      </c>
      <c r="I88" s="337" t="s">
        <v>767</v>
      </c>
      <c r="J88" s="337" t="s">
        <v>765</v>
      </c>
      <c r="K88" s="337"/>
      <c r="L88" s="337"/>
      <c r="M88" s="337" t="s">
        <v>815</v>
      </c>
      <c r="N88" s="337" t="s">
        <v>762</v>
      </c>
      <c r="O88" s="337" t="e">
        <v>#N/A</v>
      </c>
      <c r="P88" s="337"/>
      <c r="Q88" s="337"/>
      <c r="R88" s="343">
        <v>-9805.9599999999991</v>
      </c>
    </row>
    <row r="89" spans="1:18" x14ac:dyDescent="0.2">
      <c r="A89" s="342" t="s">
        <v>730</v>
      </c>
      <c r="B89" s="337" t="s">
        <v>793</v>
      </c>
      <c r="C89" s="337" t="s">
        <v>795</v>
      </c>
      <c r="D89" s="337" t="s">
        <v>798</v>
      </c>
      <c r="E89" s="337" t="s">
        <v>790</v>
      </c>
      <c r="F89" s="337" t="s">
        <v>771</v>
      </c>
      <c r="G89" s="337" t="s">
        <v>799</v>
      </c>
      <c r="H89" s="337" t="s">
        <v>800</v>
      </c>
      <c r="I89" s="337" t="s">
        <v>767</v>
      </c>
      <c r="J89" s="337" t="s">
        <v>765</v>
      </c>
      <c r="K89" s="337"/>
      <c r="L89" s="337"/>
      <c r="M89" s="337" t="s">
        <v>815</v>
      </c>
      <c r="N89" s="337" t="s">
        <v>762</v>
      </c>
      <c r="O89" s="337" t="e">
        <v>#N/A</v>
      </c>
      <c r="P89" s="337"/>
      <c r="Q89" s="337"/>
      <c r="R89" s="343">
        <v>-25532.01</v>
      </c>
    </row>
    <row r="90" spans="1:18" x14ac:dyDescent="0.2">
      <c r="A90" s="342" t="s">
        <v>731</v>
      </c>
      <c r="B90" s="337" t="s">
        <v>793</v>
      </c>
      <c r="C90" s="337" t="s">
        <v>795</v>
      </c>
      <c r="D90" s="337" t="s">
        <v>798</v>
      </c>
      <c r="E90" s="337" t="s">
        <v>790</v>
      </c>
      <c r="F90" s="337" t="s">
        <v>771</v>
      </c>
      <c r="G90" s="337" t="s">
        <v>799</v>
      </c>
      <c r="H90" s="337" t="s">
        <v>800</v>
      </c>
      <c r="I90" s="337" t="s">
        <v>767</v>
      </c>
      <c r="J90" s="337" t="s">
        <v>765</v>
      </c>
      <c r="K90" s="337"/>
      <c r="L90" s="337"/>
      <c r="M90" s="337" t="s">
        <v>815</v>
      </c>
      <c r="N90" s="337" t="s">
        <v>762</v>
      </c>
      <c r="O90" s="337" t="e">
        <v>#N/A</v>
      </c>
      <c r="P90" s="337"/>
      <c r="Q90" s="337"/>
      <c r="R90" s="343">
        <v>-22975.27</v>
      </c>
    </row>
    <row r="91" spans="1:18" x14ac:dyDescent="0.2">
      <c r="A91" s="342" t="s">
        <v>732</v>
      </c>
      <c r="B91" s="337" t="s">
        <v>793</v>
      </c>
      <c r="C91" s="337" t="s">
        <v>795</v>
      </c>
      <c r="D91" s="337" t="s">
        <v>798</v>
      </c>
      <c r="E91" s="337" t="s">
        <v>790</v>
      </c>
      <c r="F91" s="337" t="s">
        <v>771</v>
      </c>
      <c r="G91" s="337" t="s">
        <v>799</v>
      </c>
      <c r="H91" s="337" t="s">
        <v>800</v>
      </c>
      <c r="I91" s="337" t="s">
        <v>767</v>
      </c>
      <c r="J91" s="337" t="s">
        <v>765</v>
      </c>
      <c r="K91" s="337"/>
      <c r="L91" s="337"/>
      <c r="M91" s="337" t="s">
        <v>815</v>
      </c>
      <c r="N91" s="337" t="s">
        <v>762</v>
      </c>
      <c r="O91" s="337" t="e">
        <v>#N/A</v>
      </c>
      <c r="P91" s="337"/>
      <c r="Q91" s="337"/>
      <c r="R91" s="343">
        <v>-43307.46</v>
      </c>
    </row>
    <row r="92" spans="1:18" x14ac:dyDescent="0.2">
      <c r="A92" s="342" t="s">
        <v>726</v>
      </c>
      <c r="B92" s="337" t="s">
        <v>793</v>
      </c>
      <c r="C92" s="337" t="s">
        <v>795</v>
      </c>
      <c r="D92" s="337" t="s">
        <v>798</v>
      </c>
      <c r="E92" s="337" t="s">
        <v>790</v>
      </c>
      <c r="F92" s="337" t="s">
        <v>771</v>
      </c>
      <c r="G92" s="337" t="s">
        <v>799</v>
      </c>
      <c r="H92" s="337" t="s">
        <v>800</v>
      </c>
      <c r="I92" s="337" t="s">
        <v>767</v>
      </c>
      <c r="J92" s="337" t="s">
        <v>765</v>
      </c>
      <c r="K92" s="337"/>
      <c r="L92" s="337"/>
      <c r="M92" s="337" t="s">
        <v>815</v>
      </c>
      <c r="N92" s="337" t="s">
        <v>762</v>
      </c>
      <c r="O92" s="337" t="e">
        <v>#N/A</v>
      </c>
      <c r="P92" s="337"/>
      <c r="Q92" s="337"/>
      <c r="R92" s="343">
        <v>-29261.3</v>
      </c>
    </row>
    <row r="93" spans="1:18" x14ac:dyDescent="0.2">
      <c r="A93" s="342" t="s">
        <v>733</v>
      </c>
      <c r="B93" s="337" t="s">
        <v>793</v>
      </c>
      <c r="C93" s="337" t="s">
        <v>795</v>
      </c>
      <c r="D93" s="337" t="s">
        <v>798</v>
      </c>
      <c r="E93" s="337" t="s">
        <v>790</v>
      </c>
      <c r="F93" s="337" t="s">
        <v>771</v>
      </c>
      <c r="G93" s="337" t="s">
        <v>799</v>
      </c>
      <c r="H93" s="337" t="s">
        <v>800</v>
      </c>
      <c r="I93" s="337" t="s">
        <v>767</v>
      </c>
      <c r="J93" s="337" t="s">
        <v>765</v>
      </c>
      <c r="K93" s="337"/>
      <c r="L93" s="337"/>
      <c r="M93" s="337" t="s">
        <v>815</v>
      </c>
      <c r="N93" s="337" t="s">
        <v>762</v>
      </c>
      <c r="O93" s="337" t="e">
        <v>#N/A</v>
      </c>
      <c r="P93" s="337"/>
      <c r="Q93" s="337"/>
      <c r="R93" s="343">
        <v>-128541.52</v>
      </c>
    </row>
    <row r="94" spans="1:18" x14ac:dyDescent="0.2">
      <c r="A94" s="342" t="s">
        <v>734</v>
      </c>
      <c r="B94" s="337" t="s">
        <v>793</v>
      </c>
      <c r="C94" s="337" t="s">
        <v>795</v>
      </c>
      <c r="D94" s="337" t="s">
        <v>798</v>
      </c>
      <c r="E94" s="337" t="s">
        <v>790</v>
      </c>
      <c r="F94" s="337" t="s">
        <v>771</v>
      </c>
      <c r="G94" s="337" t="s">
        <v>799</v>
      </c>
      <c r="H94" s="337" t="s">
        <v>800</v>
      </c>
      <c r="I94" s="337" t="s">
        <v>767</v>
      </c>
      <c r="J94" s="337" t="s">
        <v>765</v>
      </c>
      <c r="K94" s="337"/>
      <c r="L94" s="337"/>
      <c r="M94" s="337" t="s">
        <v>815</v>
      </c>
      <c r="N94" s="337" t="s">
        <v>762</v>
      </c>
      <c r="O94" s="337" t="e">
        <v>#N/A</v>
      </c>
      <c r="P94" s="337"/>
      <c r="Q94" s="337"/>
      <c r="R94" s="343">
        <v>-7157.28</v>
      </c>
    </row>
    <row r="95" spans="1:18" x14ac:dyDescent="0.2">
      <c r="A95" s="342" t="s">
        <v>735</v>
      </c>
      <c r="B95" s="337" t="s">
        <v>793</v>
      </c>
      <c r="C95" s="337" t="s">
        <v>795</v>
      </c>
      <c r="D95" s="337" t="s">
        <v>798</v>
      </c>
      <c r="E95" s="337" t="s">
        <v>790</v>
      </c>
      <c r="F95" s="337" t="s">
        <v>771</v>
      </c>
      <c r="G95" s="337" t="s">
        <v>799</v>
      </c>
      <c r="H95" s="337" t="s">
        <v>800</v>
      </c>
      <c r="I95" s="337" t="s">
        <v>767</v>
      </c>
      <c r="J95" s="337" t="s">
        <v>765</v>
      </c>
      <c r="K95" s="337"/>
      <c r="L95" s="337"/>
      <c r="M95" s="337" t="s">
        <v>815</v>
      </c>
      <c r="N95" s="337" t="s">
        <v>762</v>
      </c>
      <c r="O95" s="337" t="e">
        <v>#N/A</v>
      </c>
      <c r="P95" s="337"/>
      <c r="Q95" s="337"/>
      <c r="R95" s="343">
        <v>-55948.28</v>
      </c>
    </row>
    <row r="96" spans="1:18" x14ac:dyDescent="0.2">
      <c r="A96" s="342" t="s">
        <v>736</v>
      </c>
      <c r="B96" s="337" t="s">
        <v>793</v>
      </c>
      <c r="C96" s="337" t="s">
        <v>795</v>
      </c>
      <c r="D96" s="337" t="s">
        <v>798</v>
      </c>
      <c r="E96" s="337" t="s">
        <v>790</v>
      </c>
      <c r="F96" s="337" t="s">
        <v>771</v>
      </c>
      <c r="G96" s="337" t="s">
        <v>799</v>
      </c>
      <c r="H96" s="337" t="s">
        <v>800</v>
      </c>
      <c r="I96" s="337" t="s">
        <v>767</v>
      </c>
      <c r="J96" s="337" t="s">
        <v>765</v>
      </c>
      <c r="K96" s="337"/>
      <c r="L96" s="337"/>
      <c r="M96" s="337" t="s">
        <v>815</v>
      </c>
      <c r="N96" s="337" t="s">
        <v>762</v>
      </c>
      <c r="O96" s="337" t="e">
        <v>#N/A</v>
      </c>
      <c r="P96" s="337"/>
      <c r="Q96" s="337"/>
      <c r="R96" s="343">
        <v>-56347.17</v>
      </c>
    </row>
    <row r="97" spans="1:18" x14ac:dyDescent="0.2">
      <c r="A97" s="342" t="s">
        <v>737</v>
      </c>
      <c r="B97" s="337" t="s">
        <v>793</v>
      </c>
      <c r="C97" s="337" t="s">
        <v>795</v>
      </c>
      <c r="D97" s="337" t="s">
        <v>798</v>
      </c>
      <c r="E97" s="337" t="s">
        <v>790</v>
      </c>
      <c r="F97" s="337" t="s">
        <v>771</v>
      </c>
      <c r="G97" s="337" t="s">
        <v>799</v>
      </c>
      <c r="H97" s="337" t="s">
        <v>800</v>
      </c>
      <c r="I97" s="337" t="s">
        <v>767</v>
      </c>
      <c r="J97" s="337" t="s">
        <v>765</v>
      </c>
      <c r="K97" s="337"/>
      <c r="L97" s="337"/>
      <c r="M97" s="337" t="s">
        <v>815</v>
      </c>
      <c r="N97" s="337" t="s">
        <v>762</v>
      </c>
      <c r="O97" s="337" t="e">
        <v>#N/A</v>
      </c>
      <c r="P97" s="337"/>
      <c r="Q97" s="337"/>
      <c r="R97" s="343">
        <v>-64379.54</v>
      </c>
    </row>
    <row r="98" spans="1:18" x14ac:dyDescent="0.2">
      <c r="A98" s="342" t="s">
        <v>738</v>
      </c>
      <c r="B98" s="337" t="s">
        <v>793</v>
      </c>
      <c r="C98" s="337" t="s">
        <v>795</v>
      </c>
      <c r="D98" s="337" t="s">
        <v>798</v>
      </c>
      <c r="E98" s="337" t="s">
        <v>790</v>
      </c>
      <c r="F98" s="337" t="s">
        <v>771</v>
      </c>
      <c r="G98" s="337" t="s">
        <v>799</v>
      </c>
      <c r="H98" s="337" t="s">
        <v>800</v>
      </c>
      <c r="I98" s="337" t="s">
        <v>767</v>
      </c>
      <c r="J98" s="337" t="s">
        <v>765</v>
      </c>
      <c r="K98" s="337"/>
      <c r="L98" s="337"/>
      <c r="M98" s="337" t="s">
        <v>815</v>
      </c>
      <c r="N98" s="337" t="s">
        <v>762</v>
      </c>
      <c r="O98" s="337" t="e">
        <v>#N/A</v>
      </c>
      <c r="P98" s="337"/>
      <c r="Q98" s="337"/>
      <c r="R98" s="343">
        <v>-7237.64</v>
      </c>
    </row>
    <row r="99" spans="1:18" x14ac:dyDescent="0.2">
      <c r="A99" s="342" t="s">
        <v>727</v>
      </c>
      <c r="B99" s="337" t="s">
        <v>793</v>
      </c>
      <c r="C99" s="337" t="s">
        <v>795</v>
      </c>
      <c r="D99" s="337" t="s">
        <v>798</v>
      </c>
      <c r="E99" s="337" t="s">
        <v>790</v>
      </c>
      <c r="F99" s="337" t="s">
        <v>771</v>
      </c>
      <c r="G99" s="337" t="s">
        <v>799</v>
      </c>
      <c r="H99" s="337" t="s">
        <v>800</v>
      </c>
      <c r="I99" s="337" t="s">
        <v>767</v>
      </c>
      <c r="J99" s="337" t="s">
        <v>765</v>
      </c>
      <c r="K99" s="337"/>
      <c r="L99" s="337"/>
      <c r="M99" s="337" t="s">
        <v>815</v>
      </c>
      <c r="N99" s="337" t="s">
        <v>762</v>
      </c>
      <c r="O99" s="337" t="e">
        <v>#N/A</v>
      </c>
      <c r="P99" s="337"/>
      <c r="Q99" s="337"/>
      <c r="R99" s="343">
        <v>-14548.12</v>
      </c>
    </row>
    <row r="100" spans="1:18" x14ac:dyDescent="0.2">
      <c r="A100" s="342" t="s">
        <v>728</v>
      </c>
      <c r="B100" s="337" t="s">
        <v>793</v>
      </c>
      <c r="C100" s="337" t="s">
        <v>795</v>
      </c>
      <c r="D100" s="337" t="s">
        <v>798</v>
      </c>
      <c r="E100" s="337" t="s">
        <v>790</v>
      </c>
      <c r="F100" s="337" t="s">
        <v>771</v>
      </c>
      <c r="G100" s="337" t="s">
        <v>799</v>
      </c>
      <c r="H100" s="337" t="s">
        <v>800</v>
      </c>
      <c r="I100" s="337" t="s">
        <v>767</v>
      </c>
      <c r="J100" s="337" t="s">
        <v>765</v>
      </c>
      <c r="K100" s="337"/>
      <c r="L100" s="337"/>
      <c r="M100" s="337" t="s">
        <v>816</v>
      </c>
      <c r="N100" s="337" t="s">
        <v>817</v>
      </c>
      <c r="O100" s="337" t="e">
        <v>#N/A</v>
      </c>
      <c r="P100" s="337"/>
      <c r="Q100" s="337"/>
      <c r="R100" s="343">
        <v>-4886.2</v>
      </c>
    </row>
    <row r="101" spans="1:18" x14ac:dyDescent="0.2">
      <c r="A101" s="342" t="s">
        <v>730</v>
      </c>
      <c r="B101" s="337" t="s">
        <v>793</v>
      </c>
      <c r="C101" s="337" t="s">
        <v>795</v>
      </c>
      <c r="D101" s="337" t="s">
        <v>798</v>
      </c>
      <c r="E101" s="337" t="s">
        <v>790</v>
      </c>
      <c r="F101" s="337" t="s">
        <v>771</v>
      </c>
      <c r="G101" s="337" t="s">
        <v>799</v>
      </c>
      <c r="H101" s="337" t="s">
        <v>800</v>
      </c>
      <c r="I101" s="337" t="s">
        <v>767</v>
      </c>
      <c r="J101" s="337" t="s">
        <v>765</v>
      </c>
      <c r="K101" s="337"/>
      <c r="L101" s="337"/>
      <c r="M101" s="337" t="s">
        <v>816</v>
      </c>
      <c r="N101" s="337" t="s">
        <v>817</v>
      </c>
      <c r="O101" s="337" t="e">
        <v>#N/A</v>
      </c>
      <c r="P101" s="337"/>
      <c r="Q101" s="337"/>
      <c r="R101" s="343">
        <v>-215954.6</v>
      </c>
    </row>
    <row r="102" spans="1:18" x14ac:dyDescent="0.2">
      <c r="A102" s="342" t="s">
        <v>731</v>
      </c>
      <c r="B102" s="337" t="s">
        <v>793</v>
      </c>
      <c r="C102" s="337" t="s">
        <v>795</v>
      </c>
      <c r="D102" s="337" t="s">
        <v>798</v>
      </c>
      <c r="E102" s="337" t="s">
        <v>790</v>
      </c>
      <c r="F102" s="337" t="s">
        <v>771</v>
      </c>
      <c r="G102" s="337" t="s">
        <v>799</v>
      </c>
      <c r="H102" s="337" t="s">
        <v>800</v>
      </c>
      <c r="I102" s="337" t="s">
        <v>767</v>
      </c>
      <c r="J102" s="337" t="s">
        <v>765</v>
      </c>
      <c r="K102" s="337"/>
      <c r="L102" s="337"/>
      <c r="M102" s="337" t="s">
        <v>816</v>
      </c>
      <c r="N102" s="337" t="s">
        <v>817</v>
      </c>
      <c r="O102" s="337" t="e">
        <v>#N/A</v>
      </c>
      <c r="P102" s="337"/>
      <c r="Q102" s="337"/>
      <c r="R102" s="343">
        <v>-160760.25</v>
      </c>
    </row>
    <row r="103" spans="1:18" x14ac:dyDescent="0.2">
      <c r="A103" s="342" t="s">
        <v>732</v>
      </c>
      <c r="B103" s="337" t="s">
        <v>793</v>
      </c>
      <c r="C103" s="337" t="s">
        <v>795</v>
      </c>
      <c r="D103" s="337" t="s">
        <v>798</v>
      </c>
      <c r="E103" s="337" t="s">
        <v>790</v>
      </c>
      <c r="F103" s="337" t="s">
        <v>771</v>
      </c>
      <c r="G103" s="337" t="s">
        <v>799</v>
      </c>
      <c r="H103" s="337" t="s">
        <v>800</v>
      </c>
      <c r="I103" s="337" t="s">
        <v>767</v>
      </c>
      <c r="J103" s="337" t="s">
        <v>765</v>
      </c>
      <c r="K103" s="337"/>
      <c r="L103" s="337"/>
      <c r="M103" s="337" t="s">
        <v>816</v>
      </c>
      <c r="N103" s="337" t="s">
        <v>817</v>
      </c>
      <c r="O103" s="337" t="e">
        <v>#N/A</v>
      </c>
      <c r="P103" s="337"/>
      <c r="Q103" s="337"/>
      <c r="R103" s="343">
        <v>-5717.78</v>
      </c>
    </row>
    <row r="104" spans="1:18" x14ac:dyDescent="0.2">
      <c r="A104" s="342" t="s">
        <v>726</v>
      </c>
      <c r="B104" s="337" t="s">
        <v>793</v>
      </c>
      <c r="C104" s="337" t="s">
        <v>795</v>
      </c>
      <c r="D104" s="337" t="s">
        <v>798</v>
      </c>
      <c r="E104" s="337" t="s">
        <v>790</v>
      </c>
      <c r="F104" s="337" t="s">
        <v>771</v>
      </c>
      <c r="G104" s="337" t="s">
        <v>799</v>
      </c>
      <c r="H104" s="337" t="s">
        <v>800</v>
      </c>
      <c r="I104" s="337" t="s">
        <v>767</v>
      </c>
      <c r="J104" s="337" t="s">
        <v>765</v>
      </c>
      <c r="K104" s="337"/>
      <c r="L104" s="337"/>
      <c r="M104" s="337" t="s">
        <v>816</v>
      </c>
      <c r="N104" s="337" t="s">
        <v>817</v>
      </c>
      <c r="O104" s="337" t="e">
        <v>#N/A</v>
      </c>
      <c r="P104" s="337"/>
      <c r="Q104" s="337"/>
      <c r="R104" s="343">
        <v>-161107.76999999999</v>
      </c>
    </row>
    <row r="105" spans="1:18" x14ac:dyDescent="0.2">
      <c r="A105" s="342" t="s">
        <v>733</v>
      </c>
      <c r="B105" s="337" t="s">
        <v>793</v>
      </c>
      <c r="C105" s="337" t="s">
        <v>795</v>
      </c>
      <c r="D105" s="337" t="s">
        <v>798</v>
      </c>
      <c r="E105" s="337" t="s">
        <v>790</v>
      </c>
      <c r="F105" s="337" t="s">
        <v>771</v>
      </c>
      <c r="G105" s="337" t="s">
        <v>799</v>
      </c>
      <c r="H105" s="337" t="s">
        <v>800</v>
      </c>
      <c r="I105" s="337" t="s">
        <v>767</v>
      </c>
      <c r="J105" s="337" t="s">
        <v>765</v>
      </c>
      <c r="K105" s="337"/>
      <c r="L105" s="337"/>
      <c r="M105" s="337" t="s">
        <v>816</v>
      </c>
      <c r="N105" s="337" t="s">
        <v>817</v>
      </c>
      <c r="O105" s="337" t="e">
        <v>#N/A</v>
      </c>
      <c r="P105" s="337"/>
      <c r="Q105" s="337"/>
      <c r="R105" s="343">
        <v>-5370.26</v>
      </c>
    </row>
    <row r="106" spans="1:18" x14ac:dyDescent="0.2">
      <c r="A106" s="342" t="s">
        <v>734</v>
      </c>
      <c r="B106" s="337" t="s">
        <v>793</v>
      </c>
      <c r="C106" s="337" t="s">
        <v>795</v>
      </c>
      <c r="D106" s="337" t="s">
        <v>798</v>
      </c>
      <c r="E106" s="337" t="s">
        <v>790</v>
      </c>
      <c r="F106" s="337" t="s">
        <v>771</v>
      </c>
      <c r="G106" s="337" t="s">
        <v>799</v>
      </c>
      <c r="H106" s="337" t="s">
        <v>800</v>
      </c>
      <c r="I106" s="337" t="s">
        <v>767</v>
      </c>
      <c r="J106" s="337" t="s">
        <v>765</v>
      </c>
      <c r="K106" s="337"/>
      <c r="L106" s="337"/>
      <c r="M106" s="337" t="s">
        <v>816</v>
      </c>
      <c r="N106" s="337" t="s">
        <v>817</v>
      </c>
      <c r="O106" s="337" t="e">
        <v>#N/A</v>
      </c>
      <c r="P106" s="337"/>
      <c r="Q106" s="337"/>
      <c r="R106" s="343">
        <v>-359.11</v>
      </c>
    </row>
    <row r="107" spans="1:18" x14ac:dyDescent="0.2">
      <c r="A107" s="342" t="s">
        <v>735</v>
      </c>
      <c r="B107" s="337" t="s">
        <v>793</v>
      </c>
      <c r="C107" s="337" t="s">
        <v>795</v>
      </c>
      <c r="D107" s="337" t="s">
        <v>798</v>
      </c>
      <c r="E107" s="337" t="s">
        <v>790</v>
      </c>
      <c r="F107" s="337" t="s">
        <v>771</v>
      </c>
      <c r="G107" s="337" t="s">
        <v>799</v>
      </c>
      <c r="H107" s="337" t="s">
        <v>800</v>
      </c>
      <c r="I107" s="337" t="s">
        <v>767</v>
      </c>
      <c r="J107" s="337" t="s">
        <v>765</v>
      </c>
      <c r="K107" s="337"/>
      <c r="L107" s="337"/>
      <c r="M107" s="337" t="s">
        <v>816</v>
      </c>
      <c r="N107" s="337" t="s">
        <v>817</v>
      </c>
      <c r="O107" s="337" t="e">
        <v>#N/A</v>
      </c>
      <c r="P107" s="337"/>
      <c r="Q107" s="337"/>
      <c r="R107" s="343">
        <v>16145.53</v>
      </c>
    </row>
    <row r="108" spans="1:18" x14ac:dyDescent="0.2">
      <c r="A108" s="342" t="s">
        <v>736</v>
      </c>
      <c r="B108" s="337" t="s">
        <v>793</v>
      </c>
      <c r="C108" s="337" t="s">
        <v>795</v>
      </c>
      <c r="D108" s="337" t="s">
        <v>798</v>
      </c>
      <c r="E108" s="337" t="s">
        <v>790</v>
      </c>
      <c r="F108" s="337" t="s">
        <v>771</v>
      </c>
      <c r="G108" s="337" t="s">
        <v>799</v>
      </c>
      <c r="H108" s="337" t="s">
        <v>800</v>
      </c>
      <c r="I108" s="337" t="s">
        <v>767</v>
      </c>
      <c r="J108" s="337" t="s">
        <v>765</v>
      </c>
      <c r="K108" s="337"/>
      <c r="L108" s="337"/>
      <c r="M108" s="337" t="s">
        <v>816</v>
      </c>
      <c r="N108" s="337" t="s">
        <v>817</v>
      </c>
      <c r="O108" s="337" t="e">
        <v>#N/A</v>
      </c>
      <c r="P108" s="337"/>
      <c r="Q108" s="337"/>
      <c r="R108" s="343">
        <v>-16145.53</v>
      </c>
    </row>
    <row r="109" spans="1:18" x14ac:dyDescent="0.2">
      <c r="A109" s="342" t="s">
        <v>737</v>
      </c>
      <c r="B109" s="337" t="s">
        <v>793</v>
      </c>
      <c r="C109" s="337" t="s">
        <v>795</v>
      </c>
      <c r="D109" s="337" t="s">
        <v>798</v>
      </c>
      <c r="E109" s="337" t="s">
        <v>790</v>
      </c>
      <c r="F109" s="337" t="s">
        <v>771</v>
      </c>
      <c r="G109" s="337" t="s">
        <v>799</v>
      </c>
      <c r="H109" s="337" t="s">
        <v>800</v>
      </c>
      <c r="I109" s="337" t="s">
        <v>767</v>
      </c>
      <c r="J109" s="337" t="s">
        <v>765</v>
      </c>
      <c r="K109" s="337"/>
      <c r="L109" s="337"/>
      <c r="M109" s="337" t="s">
        <v>816</v>
      </c>
      <c r="N109" s="337" t="s">
        <v>817</v>
      </c>
      <c r="O109" s="337" t="e">
        <v>#N/A</v>
      </c>
      <c r="P109" s="337"/>
      <c r="Q109" s="337"/>
      <c r="R109" s="343">
        <v>105702.46</v>
      </c>
    </row>
    <row r="110" spans="1:18" x14ac:dyDescent="0.2">
      <c r="A110" s="342" t="s">
        <v>738</v>
      </c>
      <c r="B110" s="337" t="s">
        <v>793</v>
      </c>
      <c r="C110" s="337" t="s">
        <v>795</v>
      </c>
      <c r="D110" s="337" t="s">
        <v>798</v>
      </c>
      <c r="E110" s="337" t="s">
        <v>790</v>
      </c>
      <c r="F110" s="337" t="s">
        <v>771</v>
      </c>
      <c r="G110" s="337" t="s">
        <v>799</v>
      </c>
      <c r="H110" s="337" t="s">
        <v>800</v>
      </c>
      <c r="I110" s="337" t="s">
        <v>767</v>
      </c>
      <c r="J110" s="337" t="s">
        <v>765</v>
      </c>
      <c r="K110" s="337"/>
      <c r="L110" s="337"/>
      <c r="M110" s="337" t="s">
        <v>816</v>
      </c>
      <c r="N110" s="337" t="s">
        <v>817</v>
      </c>
      <c r="O110" s="337" t="e">
        <v>#N/A</v>
      </c>
      <c r="P110" s="337"/>
      <c r="Q110" s="337"/>
      <c r="R110" s="343">
        <v>-53619.39</v>
      </c>
    </row>
    <row r="111" spans="1:18" x14ac:dyDescent="0.2">
      <c r="A111" s="342" t="s">
        <v>727</v>
      </c>
      <c r="B111" s="337" t="s">
        <v>793</v>
      </c>
      <c r="C111" s="337" t="s">
        <v>795</v>
      </c>
      <c r="D111" s="337" t="s">
        <v>798</v>
      </c>
      <c r="E111" s="337" t="s">
        <v>790</v>
      </c>
      <c r="F111" s="337" t="s">
        <v>771</v>
      </c>
      <c r="G111" s="337" t="s">
        <v>799</v>
      </c>
      <c r="H111" s="337" t="s">
        <v>800</v>
      </c>
      <c r="I111" s="337" t="s">
        <v>767</v>
      </c>
      <c r="J111" s="337" t="s">
        <v>765</v>
      </c>
      <c r="K111" s="337"/>
      <c r="L111" s="337"/>
      <c r="M111" s="337" t="s">
        <v>816</v>
      </c>
      <c r="N111" s="337" t="s">
        <v>817</v>
      </c>
      <c r="O111" s="337" t="e">
        <v>#N/A</v>
      </c>
      <c r="P111" s="337"/>
      <c r="Q111" s="337"/>
      <c r="R111" s="343">
        <v>71920.850000000006</v>
      </c>
    </row>
    <row r="112" spans="1:18" x14ac:dyDescent="0.2">
      <c r="A112" s="342" t="s">
        <v>728</v>
      </c>
      <c r="B112" s="337" t="s">
        <v>793</v>
      </c>
      <c r="C112" s="337" t="s">
        <v>795</v>
      </c>
      <c r="D112" s="337" t="s">
        <v>798</v>
      </c>
      <c r="E112" s="337" t="s">
        <v>790</v>
      </c>
      <c r="F112" s="337" t="s">
        <v>771</v>
      </c>
      <c r="G112" s="337" t="s">
        <v>799</v>
      </c>
      <c r="H112" s="337" t="s">
        <v>800</v>
      </c>
      <c r="I112" s="337" t="s">
        <v>767</v>
      </c>
      <c r="J112" s="337" t="s">
        <v>765</v>
      </c>
      <c r="K112" s="337"/>
      <c r="L112" s="337"/>
      <c r="M112" s="337" t="s">
        <v>818</v>
      </c>
      <c r="N112" s="337" t="s">
        <v>763</v>
      </c>
      <c r="O112" s="337" t="e">
        <v>#N/A</v>
      </c>
      <c r="P112" s="337"/>
      <c r="Q112" s="337"/>
      <c r="R112" s="343">
        <v>-1436.27</v>
      </c>
    </row>
    <row r="113" spans="1:18" x14ac:dyDescent="0.2">
      <c r="A113" s="342" t="s">
        <v>730</v>
      </c>
      <c r="B113" s="337" t="s">
        <v>793</v>
      </c>
      <c r="C113" s="337" t="s">
        <v>795</v>
      </c>
      <c r="D113" s="337" t="s">
        <v>798</v>
      </c>
      <c r="E113" s="337" t="s">
        <v>790</v>
      </c>
      <c r="F113" s="337" t="s">
        <v>771</v>
      </c>
      <c r="G113" s="337" t="s">
        <v>799</v>
      </c>
      <c r="H113" s="337" t="s">
        <v>800</v>
      </c>
      <c r="I113" s="337" t="s">
        <v>767</v>
      </c>
      <c r="J113" s="337" t="s">
        <v>765</v>
      </c>
      <c r="K113" s="337"/>
      <c r="L113" s="337"/>
      <c r="M113" s="337" t="s">
        <v>818</v>
      </c>
      <c r="N113" s="337" t="s">
        <v>763</v>
      </c>
      <c r="O113" s="337" t="e">
        <v>#N/A</v>
      </c>
      <c r="P113" s="337"/>
      <c r="Q113" s="337"/>
      <c r="R113" s="343">
        <v>493.49</v>
      </c>
    </row>
    <row r="114" spans="1:18" x14ac:dyDescent="0.2">
      <c r="A114" s="342" t="s">
        <v>731</v>
      </c>
      <c r="B114" s="337" t="s">
        <v>793</v>
      </c>
      <c r="C114" s="337" t="s">
        <v>795</v>
      </c>
      <c r="D114" s="337" t="s">
        <v>798</v>
      </c>
      <c r="E114" s="337" t="s">
        <v>790</v>
      </c>
      <c r="F114" s="337" t="s">
        <v>771</v>
      </c>
      <c r="G114" s="337" t="s">
        <v>799</v>
      </c>
      <c r="H114" s="337" t="s">
        <v>800</v>
      </c>
      <c r="I114" s="337" t="s">
        <v>767</v>
      </c>
      <c r="J114" s="337" t="s">
        <v>765</v>
      </c>
      <c r="K114" s="337"/>
      <c r="L114" s="337"/>
      <c r="M114" s="337" t="s">
        <v>818</v>
      </c>
      <c r="N114" s="337" t="s">
        <v>763</v>
      </c>
      <c r="O114" s="337" t="e">
        <v>#N/A</v>
      </c>
      <c r="P114" s="337"/>
      <c r="Q114" s="337"/>
      <c r="R114" s="343">
        <v>-10269.620000000001</v>
      </c>
    </row>
    <row r="115" spans="1:18" x14ac:dyDescent="0.2">
      <c r="A115" s="342" t="s">
        <v>732</v>
      </c>
      <c r="B115" s="337" t="s">
        <v>793</v>
      </c>
      <c r="C115" s="337" t="s">
        <v>795</v>
      </c>
      <c r="D115" s="337" t="s">
        <v>798</v>
      </c>
      <c r="E115" s="337" t="s">
        <v>790</v>
      </c>
      <c r="F115" s="337" t="s">
        <v>771</v>
      </c>
      <c r="G115" s="337" t="s">
        <v>799</v>
      </c>
      <c r="H115" s="337" t="s">
        <v>800</v>
      </c>
      <c r="I115" s="337" t="s">
        <v>767</v>
      </c>
      <c r="J115" s="337" t="s">
        <v>765</v>
      </c>
      <c r="K115" s="337"/>
      <c r="L115" s="337"/>
      <c r="M115" s="337" t="s">
        <v>818</v>
      </c>
      <c r="N115" s="337" t="s">
        <v>763</v>
      </c>
      <c r="O115" s="337" t="e">
        <v>#N/A</v>
      </c>
      <c r="P115" s="337"/>
      <c r="Q115" s="337"/>
      <c r="R115" s="343">
        <v>4963.24</v>
      </c>
    </row>
    <row r="116" spans="1:18" x14ac:dyDescent="0.2">
      <c r="A116" s="342" t="s">
        <v>726</v>
      </c>
      <c r="B116" s="337" t="s">
        <v>793</v>
      </c>
      <c r="C116" s="337" t="s">
        <v>795</v>
      </c>
      <c r="D116" s="337" t="s">
        <v>798</v>
      </c>
      <c r="E116" s="337" t="s">
        <v>790</v>
      </c>
      <c r="F116" s="337" t="s">
        <v>771</v>
      </c>
      <c r="G116" s="337" t="s">
        <v>799</v>
      </c>
      <c r="H116" s="337" t="s">
        <v>800</v>
      </c>
      <c r="I116" s="337" t="s">
        <v>767</v>
      </c>
      <c r="J116" s="337" t="s">
        <v>765</v>
      </c>
      <c r="K116" s="337"/>
      <c r="L116" s="337"/>
      <c r="M116" s="337" t="s">
        <v>818</v>
      </c>
      <c r="N116" s="337" t="s">
        <v>763</v>
      </c>
      <c r="O116" s="337" t="e">
        <v>#N/A</v>
      </c>
      <c r="P116" s="337"/>
      <c r="Q116" s="337"/>
      <c r="R116" s="343">
        <v>-858.45</v>
      </c>
    </row>
    <row r="117" spans="1:18" x14ac:dyDescent="0.2">
      <c r="A117" s="342" t="s">
        <v>733</v>
      </c>
      <c r="B117" s="337" t="s">
        <v>793</v>
      </c>
      <c r="C117" s="337" t="s">
        <v>795</v>
      </c>
      <c r="D117" s="337" t="s">
        <v>798</v>
      </c>
      <c r="E117" s="337" t="s">
        <v>790</v>
      </c>
      <c r="F117" s="337" t="s">
        <v>771</v>
      </c>
      <c r="G117" s="337" t="s">
        <v>799</v>
      </c>
      <c r="H117" s="337" t="s">
        <v>800</v>
      </c>
      <c r="I117" s="337" t="s">
        <v>767</v>
      </c>
      <c r="J117" s="337" t="s">
        <v>765</v>
      </c>
      <c r="K117" s="337"/>
      <c r="L117" s="337"/>
      <c r="M117" s="337" t="s">
        <v>818</v>
      </c>
      <c r="N117" s="337" t="s">
        <v>763</v>
      </c>
      <c r="O117" s="337" t="e">
        <v>#N/A</v>
      </c>
      <c r="P117" s="337"/>
      <c r="Q117" s="337"/>
      <c r="R117" s="343">
        <v>-1633.28</v>
      </c>
    </row>
    <row r="118" spans="1:18" x14ac:dyDescent="0.2">
      <c r="A118" s="342" t="s">
        <v>734</v>
      </c>
      <c r="B118" s="337" t="s">
        <v>793</v>
      </c>
      <c r="C118" s="337" t="s">
        <v>795</v>
      </c>
      <c r="D118" s="337" t="s">
        <v>798</v>
      </c>
      <c r="E118" s="337" t="s">
        <v>790</v>
      </c>
      <c r="F118" s="337" t="s">
        <v>771</v>
      </c>
      <c r="G118" s="337" t="s">
        <v>799</v>
      </c>
      <c r="H118" s="337" t="s">
        <v>800</v>
      </c>
      <c r="I118" s="337" t="s">
        <v>767</v>
      </c>
      <c r="J118" s="337" t="s">
        <v>765</v>
      </c>
      <c r="K118" s="337"/>
      <c r="L118" s="337"/>
      <c r="M118" s="337" t="s">
        <v>818</v>
      </c>
      <c r="N118" s="337" t="s">
        <v>763</v>
      </c>
      <c r="O118" s="337" t="e">
        <v>#N/A</v>
      </c>
      <c r="P118" s="337"/>
      <c r="Q118" s="337"/>
      <c r="R118" s="343">
        <v>-9900.51</v>
      </c>
    </row>
    <row r="119" spans="1:18" x14ac:dyDescent="0.2">
      <c r="A119" s="342" t="s">
        <v>735</v>
      </c>
      <c r="B119" s="337" t="s">
        <v>793</v>
      </c>
      <c r="C119" s="337" t="s">
        <v>795</v>
      </c>
      <c r="D119" s="337" t="s">
        <v>798</v>
      </c>
      <c r="E119" s="337" t="s">
        <v>790</v>
      </c>
      <c r="F119" s="337" t="s">
        <v>771</v>
      </c>
      <c r="G119" s="337" t="s">
        <v>799</v>
      </c>
      <c r="H119" s="337" t="s">
        <v>800</v>
      </c>
      <c r="I119" s="337" t="s">
        <v>767</v>
      </c>
      <c r="J119" s="337" t="s">
        <v>765</v>
      </c>
      <c r="K119" s="337"/>
      <c r="L119" s="337"/>
      <c r="M119" s="337" t="s">
        <v>818</v>
      </c>
      <c r="N119" s="337" t="s">
        <v>763</v>
      </c>
      <c r="O119" s="337" t="e">
        <v>#N/A</v>
      </c>
      <c r="P119" s="337"/>
      <c r="Q119" s="337"/>
      <c r="R119" s="343">
        <v>-209.06</v>
      </c>
    </row>
    <row r="120" spans="1:18" x14ac:dyDescent="0.2">
      <c r="A120" s="342" t="s">
        <v>736</v>
      </c>
      <c r="B120" s="337" t="s">
        <v>793</v>
      </c>
      <c r="C120" s="337" t="s">
        <v>795</v>
      </c>
      <c r="D120" s="337" t="s">
        <v>798</v>
      </c>
      <c r="E120" s="337" t="s">
        <v>790</v>
      </c>
      <c r="F120" s="337" t="s">
        <v>771</v>
      </c>
      <c r="G120" s="337" t="s">
        <v>799</v>
      </c>
      <c r="H120" s="337" t="s">
        <v>800</v>
      </c>
      <c r="I120" s="337" t="s">
        <v>767</v>
      </c>
      <c r="J120" s="337" t="s">
        <v>765</v>
      </c>
      <c r="K120" s="337"/>
      <c r="L120" s="337"/>
      <c r="M120" s="337" t="s">
        <v>818</v>
      </c>
      <c r="N120" s="337" t="s">
        <v>763</v>
      </c>
      <c r="O120" s="337" t="e">
        <v>#N/A</v>
      </c>
      <c r="P120" s="337"/>
      <c r="Q120" s="337"/>
      <c r="R120" s="343">
        <v>-490.21</v>
      </c>
    </row>
    <row r="121" spans="1:18" x14ac:dyDescent="0.2">
      <c r="A121" s="342" t="s">
        <v>737</v>
      </c>
      <c r="B121" s="337" t="s">
        <v>793</v>
      </c>
      <c r="C121" s="337" t="s">
        <v>795</v>
      </c>
      <c r="D121" s="337" t="s">
        <v>798</v>
      </c>
      <c r="E121" s="337" t="s">
        <v>790</v>
      </c>
      <c r="F121" s="337" t="s">
        <v>771</v>
      </c>
      <c r="G121" s="337" t="s">
        <v>799</v>
      </c>
      <c r="H121" s="337" t="s">
        <v>800</v>
      </c>
      <c r="I121" s="337" t="s">
        <v>767</v>
      </c>
      <c r="J121" s="337" t="s">
        <v>765</v>
      </c>
      <c r="K121" s="337"/>
      <c r="L121" s="337"/>
      <c r="M121" s="337" t="s">
        <v>818</v>
      </c>
      <c r="N121" s="337" t="s">
        <v>763</v>
      </c>
      <c r="O121" s="337" t="e">
        <v>#N/A</v>
      </c>
      <c r="P121" s="337"/>
      <c r="Q121" s="337"/>
      <c r="R121" s="343">
        <v>-11211.75</v>
      </c>
    </row>
    <row r="122" spans="1:18" x14ac:dyDescent="0.2">
      <c r="A122" s="342" t="s">
        <v>738</v>
      </c>
      <c r="B122" s="337" t="s">
        <v>793</v>
      </c>
      <c r="C122" s="337" t="s">
        <v>795</v>
      </c>
      <c r="D122" s="337" t="s">
        <v>798</v>
      </c>
      <c r="E122" s="337" t="s">
        <v>790</v>
      </c>
      <c r="F122" s="337" t="s">
        <v>771</v>
      </c>
      <c r="G122" s="337" t="s">
        <v>799</v>
      </c>
      <c r="H122" s="337" t="s">
        <v>800</v>
      </c>
      <c r="I122" s="337" t="s">
        <v>767</v>
      </c>
      <c r="J122" s="337" t="s">
        <v>765</v>
      </c>
      <c r="K122" s="337"/>
      <c r="L122" s="337"/>
      <c r="M122" s="337" t="s">
        <v>818</v>
      </c>
      <c r="N122" s="337" t="s">
        <v>763</v>
      </c>
      <c r="O122" s="337" t="e">
        <v>#N/A</v>
      </c>
      <c r="P122" s="337"/>
      <c r="Q122" s="337"/>
      <c r="R122" s="343">
        <v>1965.82</v>
      </c>
    </row>
    <row r="123" spans="1:18" x14ac:dyDescent="0.2">
      <c r="A123" s="342" t="s">
        <v>727</v>
      </c>
      <c r="B123" s="337" t="s">
        <v>793</v>
      </c>
      <c r="C123" s="337" t="s">
        <v>795</v>
      </c>
      <c r="D123" s="337" t="s">
        <v>798</v>
      </c>
      <c r="E123" s="337" t="s">
        <v>790</v>
      </c>
      <c r="F123" s="337" t="s">
        <v>771</v>
      </c>
      <c r="G123" s="337" t="s">
        <v>799</v>
      </c>
      <c r="H123" s="337" t="s">
        <v>800</v>
      </c>
      <c r="I123" s="337" t="s">
        <v>767</v>
      </c>
      <c r="J123" s="337" t="s">
        <v>765</v>
      </c>
      <c r="K123" s="337"/>
      <c r="L123" s="337"/>
      <c r="M123" s="337" t="s">
        <v>818</v>
      </c>
      <c r="N123" s="337" t="s">
        <v>763</v>
      </c>
      <c r="O123" s="337" t="e">
        <v>#N/A</v>
      </c>
      <c r="P123" s="337"/>
      <c r="Q123" s="337"/>
      <c r="R123" s="343">
        <v>548.79999999999995</v>
      </c>
    </row>
    <row r="124" spans="1:18" x14ac:dyDescent="0.2">
      <c r="A124" s="342" t="s">
        <v>735</v>
      </c>
      <c r="B124" s="337" t="s">
        <v>793</v>
      </c>
      <c r="C124" s="337" t="s">
        <v>795</v>
      </c>
      <c r="D124" s="337" t="s">
        <v>798</v>
      </c>
      <c r="E124" s="337" t="s">
        <v>790</v>
      </c>
      <c r="F124" s="337" t="s">
        <v>771</v>
      </c>
      <c r="G124" s="337" t="s">
        <v>799</v>
      </c>
      <c r="H124" s="337" t="s">
        <v>800</v>
      </c>
      <c r="I124" s="337" t="s">
        <v>767</v>
      </c>
      <c r="J124" s="337" t="s">
        <v>765</v>
      </c>
      <c r="K124" s="337"/>
      <c r="L124" s="337"/>
      <c r="M124" s="337" t="s">
        <v>819</v>
      </c>
      <c r="N124" s="337" t="s">
        <v>820</v>
      </c>
      <c r="O124" s="337" t="e">
        <v>#N/A</v>
      </c>
      <c r="P124" s="337"/>
      <c r="Q124" s="337"/>
      <c r="R124" s="343">
        <v>-16750.3</v>
      </c>
    </row>
    <row r="125" spans="1:18" x14ac:dyDescent="0.2">
      <c r="A125" s="342" t="s">
        <v>736</v>
      </c>
      <c r="B125" s="337" t="s">
        <v>793</v>
      </c>
      <c r="C125" s="337" t="s">
        <v>795</v>
      </c>
      <c r="D125" s="337" t="s">
        <v>798</v>
      </c>
      <c r="E125" s="337" t="s">
        <v>790</v>
      </c>
      <c r="F125" s="337" t="s">
        <v>771</v>
      </c>
      <c r="G125" s="337" t="s">
        <v>799</v>
      </c>
      <c r="H125" s="337" t="s">
        <v>800</v>
      </c>
      <c r="I125" s="337" t="s">
        <v>767</v>
      </c>
      <c r="J125" s="337" t="s">
        <v>765</v>
      </c>
      <c r="K125" s="337"/>
      <c r="L125" s="337"/>
      <c r="M125" s="337" t="s">
        <v>819</v>
      </c>
      <c r="N125" s="337" t="s">
        <v>820</v>
      </c>
      <c r="O125" s="337" t="e">
        <v>#N/A</v>
      </c>
      <c r="P125" s="337"/>
      <c r="Q125" s="337"/>
      <c r="R125" s="343">
        <v>-17344.97</v>
      </c>
    </row>
    <row r="126" spans="1:18" x14ac:dyDescent="0.2">
      <c r="A126" s="342" t="s">
        <v>737</v>
      </c>
      <c r="B126" s="337" t="s">
        <v>793</v>
      </c>
      <c r="C126" s="337" t="s">
        <v>795</v>
      </c>
      <c r="D126" s="337" t="s">
        <v>798</v>
      </c>
      <c r="E126" s="337" t="s">
        <v>790</v>
      </c>
      <c r="F126" s="337" t="s">
        <v>771</v>
      </c>
      <c r="G126" s="337" t="s">
        <v>799</v>
      </c>
      <c r="H126" s="337" t="s">
        <v>800</v>
      </c>
      <c r="I126" s="337" t="s">
        <v>767</v>
      </c>
      <c r="J126" s="337" t="s">
        <v>765</v>
      </c>
      <c r="K126" s="337"/>
      <c r="L126" s="337"/>
      <c r="M126" s="337" t="s">
        <v>819</v>
      </c>
      <c r="N126" s="337" t="s">
        <v>820</v>
      </c>
      <c r="O126" s="337" t="e">
        <v>#N/A</v>
      </c>
      <c r="P126" s="337"/>
      <c r="Q126" s="337"/>
      <c r="R126" s="343">
        <v>-1200</v>
      </c>
    </row>
    <row r="127" spans="1:18" x14ac:dyDescent="0.2">
      <c r="A127" s="342" t="s">
        <v>738</v>
      </c>
      <c r="B127" s="337" t="s">
        <v>793</v>
      </c>
      <c r="C127" s="337" t="s">
        <v>795</v>
      </c>
      <c r="D127" s="337" t="s">
        <v>798</v>
      </c>
      <c r="E127" s="337" t="s">
        <v>790</v>
      </c>
      <c r="F127" s="337" t="s">
        <v>771</v>
      </c>
      <c r="G127" s="337" t="s">
        <v>799</v>
      </c>
      <c r="H127" s="337" t="s">
        <v>800</v>
      </c>
      <c r="I127" s="337" t="s">
        <v>767</v>
      </c>
      <c r="J127" s="337" t="s">
        <v>765</v>
      </c>
      <c r="K127" s="337"/>
      <c r="L127" s="337"/>
      <c r="M127" s="337" t="s">
        <v>819</v>
      </c>
      <c r="N127" s="337" t="s">
        <v>820</v>
      </c>
      <c r="O127" s="337" t="e">
        <v>#N/A</v>
      </c>
      <c r="P127" s="337"/>
      <c r="Q127" s="337"/>
      <c r="R127" s="343">
        <v>-18114.11</v>
      </c>
    </row>
    <row r="128" spans="1:18" x14ac:dyDescent="0.2">
      <c r="A128" s="342" t="s">
        <v>728</v>
      </c>
      <c r="B128" s="337" t="s">
        <v>793</v>
      </c>
      <c r="C128" s="337" t="s">
        <v>795</v>
      </c>
      <c r="D128" s="337" t="s">
        <v>798</v>
      </c>
      <c r="E128" s="337" t="s">
        <v>790</v>
      </c>
      <c r="F128" s="337" t="s">
        <v>771</v>
      </c>
      <c r="G128" s="337" t="s">
        <v>799</v>
      </c>
      <c r="H128" s="337" t="s">
        <v>800</v>
      </c>
      <c r="I128" s="337" t="s">
        <v>767</v>
      </c>
      <c r="J128" s="337" t="s">
        <v>765</v>
      </c>
      <c r="K128" s="337"/>
      <c r="L128" s="337"/>
      <c r="M128" s="337" t="s">
        <v>821</v>
      </c>
      <c r="N128" s="337" t="s">
        <v>757</v>
      </c>
      <c r="O128" s="337" t="e">
        <v>#N/A</v>
      </c>
      <c r="P128" s="337"/>
      <c r="Q128" s="337"/>
      <c r="R128" s="343">
        <v>-1168.9100000000001</v>
      </c>
    </row>
    <row r="129" spans="1:18" x14ac:dyDescent="0.2">
      <c r="A129" s="342" t="s">
        <v>730</v>
      </c>
      <c r="B129" s="337" t="s">
        <v>793</v>
      </c>
      <c r="C129" s="337" t="s">
        <v>795</v>
      </c>
      <c r="D129" s="337" t="s">
        <v>798</v>
      </c>
      <c r="E129" s="337" t="s">
        <v>790</v>
      </c>
      <c r="F129" s="337" t="s">
        <v>771</v>
      </c>
      <c r="G129" s="337" t="s">
        <v>799</v>
      </c>
      <c r="H129" s="337" t="s">
        <v>800</v>
      </c>
      <c r="I129" s="337" t="s">
        <v>767</v>
      </c>
      <c r="J129" s="337" t="s">
        <v>765</v>
      </c>
      <c r="K129" s="337"/>
      <c r="L129" s="337"/>
      <c r="M129" s="337" t="s">
        <v>821</v>
      </c>
      <c r="N129" s="337" t="s">
        <v>757</v>
      </c>
      <c r="O129" s="337" t="e">
        <v>#N/A</v>
      </c>
      <c r="P129" s="337"/>
      <c r="Q129" s="337"/>
      <c r="R129" s="343">
        <v>-1520.8</v>
      </c>
    </row>
    <row r="130" spans="1:18" x14ac:dyDescent="0.2">
      <c r="A130" s="342" t="s">
        <v>731</v>
      </c>
      <c r="B130" s="337" t="s">
        <v>793</v>
      </c>
      <c r="C130" s="337" t="s">
        <v>795</v>
      </c>
      <c r="D130" s="337" t="s">
        <v>798</v>
      </c>
      <c r="E130" s="337" t="s">
        <v>790</v>
      </c>
      <c r="F130" s="337" t="s">
        <v>771</v>
      </c>
      <c r="G130" s="337" t="s">
        <v>799</v>
      </c>
      <c r="H130" s="337" t="s">
        <v>800</v>
      </c>
      <c r="I130" s="337" t="s">
        <v>767</v>
      </c>
      <c r="J130" s="337" t="s">
        <v>765</v>
      </c>
      <c r="K130" s="337"/>
      <c r="L130" s="337"/>
      <c r="M130" s="337" t="s">
        <v>821</v>
      </c>
      <c r="N130" s="337" t="s">
        <v>757</v>
      </c>
      <c r="O130" s="337" t="e">
        <v>#N/A</v>
      </c>
      <c r="P130" s="337"/>
      <c r="Q130" s="337"/>
      <c r="R130" s="343">
        <v>-1318.74</v>
      </c>
    </row>
    <row r="131" spans="1:18" x14ac:dyDescent="0.2">
      <c r="A131" s="342" t="s">
        <v>732</v>
      </c>
      <c r="B131" s="337" t="s">
        <v>793</v>
      </c>
      <c r="C131" s="337" t="s">
        <v>795</v>
      </c>
      <c r="D131" s="337" t="s">
        <v>798</v>
      </c>
      <c r="E131" s="337" t="s">
        <v>790</v>
      </c>
      <c r="F131" s="337" t="s">
        <v>771</v>
      </c>
      <c r="G131" s="337" t="s">
        <v>799</v>
      </c>
      <c r="H131" s="337" t="s">
        <v>800</v>
      </c>
      <c r="I131" s="337" t="s">
        <v>767</v>
      </c>
      <c r="J131" s="337" t="s">
        <v>765</v>
      </c>
      <c r="K131" s="337"/>
      <c r="L131" s="337"/>
      <c r="M131" s="337" t="s">
        <v>821</v>
      </c>
      <c r="N131" s="337" t="s">
        <v>757</v>
      </c>
      <c r="O131" s="337" t="e">
        <v>#N/A</v>
      </c>
      <c r="P131" s="337"/>
      <c r="Q131" s="337"/>
      <c r="R131" s="343">
        <v>-1489.81</v>
      </c>
    </row>
    <row r="132" spans="1:18" x14ac:dyDescent="0.2">
      <c r="A132" s="342" t="s">
        <v>726</v>
      </c>
      <c r="B132" s="337" t="s">
        <v>793</v>
      </c>
      <c r="C132" s="337" t="s">
        <v>795</v>
      </c>
      <c r="D132" s="337" t="s">
        <v>798</v>
      </c>
      <c r="E132" s="337" t="s">
        <v>790</v>
      </c>
      <c r="F132" s="337" t="s">
        <v>771</v>
      </c>
      <c r="G132" s="337" t="s">
        <v>799</v>
      </c>
      <c r="H132" s="337" t="s">
        <v>800</v>
      </c>
      <c r="I132" s="337" t="s">
        <v>767</v>
      </c>
      <c r="J132" s="337" t="s">
        <v>765</v>
      </c>
      <c r="K132" s="337"/>
      <c r="L132" s="337"/>
      <c r="M132" s="337" t="s">
        <v>821</v>
      </c>
      <c r="N132" s="337" t="s">
        <v>757</v>
      </c>
      <c r="O132" s="337" t="e">
        <v>#N/A</v>
      </c>
      <c r="P132" s="337"/>
      <c r="Q132" s="337"/>
      <c r="R132" s="343">
        <v>-1444.95</v>
      </c>
    </row>
    <row r="133" spans="1:18" x14ac:dyDescent="0.2">
      <c r="A133" s="342" t="s">
        <v>733</v>
      </c>
      <c r="B133" s="337" t="s">
        <v>793</v>
      </c>
      <c r="C133" s="337" t="s">
        <v>795</v>
      </c>
      <c r="D133" s="337" t="s">
        <v>798</v>
      </c>
      <c r="E133" s="337" t="s">
        <v>790</v>
      </c>
      <c r="F133" s="337" t="s">
        <v>771</v>
      </c>
      <c r="G133" s="337" t="s">
        <v>799</v>
      </c>
      <c r="H133" s="337" t="s">
        <v>800</v>
      </c>
      <c r="I133" s="337" t="s">
        <v>767</v>
      </c>
      <c r="J133" s="337" t="s">
        <v>765</v>
      </c>
      <c r="K133" s="337"/>
      <c r="L133" s="337"/>
      <c r="M133" s="337" t="s">
        <v>821</v>
      </c>
      <c r="N133" s="337" t="s">
        <v>757</v>
      </c>
      <c r="O133" s="337" t="e">
        <v>#N/A</v>
      </c>
      <c r="P133" s="337"/>
      <c r="Q133" s="337"/>
      <c r="R133" s="343">
        <v>-1403.83</v>
      </c>
    </row>
    <row r="134" spans="1:18" x14ac:dyDescent="0.2">
      <c r="A134" s="342" t="s">
        <v>734</v>
      </c>
      <c r="B134" s="337" t="s">
        <v>793</v>
      </c>
      <c r="C134" s="337" t="s">
        <v>795</v>
      </c>
      <c r="D134" s="337" t="s">
        <v>798</v>
      </c>
      <c r="E134" s="337" t="s">
        <v>790</v>
      </c>
      <c r="F134" s="337" t="s">
        <v>771</v>
      </c>
      <c r="G134" s="337" t="s">
        <v>799</v>
      </c>
      <c r="H134" s="337" t="s">
        <v>800</v>
      </c>
      <c r="I134" s="337" t="s">
        <v>767</v>
      </c>
      <c r="J134" s="337" t="s">
        <v>765</v>
      </c>
      <c r="K134" s="337"/>
      <c r="L134" s="337"/>
      <c r="M134" s="337" t="s">
        <v>821</v>
      </c>
      <c r="N134" s="337" t="s">
        <v>757</v>
      </c>
      <c r="O134" s="337" t="e">
        <v>#N/A</v>
      </c>
      <c r="P134" s="337"/>
      <c r="Q134" s="337"/>
      <c r="R134" s="343">
        <v>-2611.42</v>
      </c>
    </row>
    <row r="135" spans="1:18" x14ac:dyDescent="0.2">
      <c r="A135" s="342" t="s">
        <v>735</v>
      </c>
      <c r="B135" s="337" t="s">
        <v>793</v>
      </c>
      <c r="C135" s="337" t="s">
        <v>795</v>
      </c>
      <c r="D135" s="337" t="s">
        <v>798</v>
      </c>
      <c r="E135" s="337" t="s">
        <v>790</v>
      </c>
      <c r="F135" s="337" t="s">
        <v>771</v>
      </c>
      <c r="G135" s="337" t="s">
        <v>799</v>
      </c>
      <c r="H135" s="337" t="s">
        <v>800</v>
      </c>
      <c r="I135" s="337" t="s">
        <v>767</v>
      </c>
      <c r="J135" s="337" t="s">
        <v>765</v>
      </c>
      <c r="K135" s="337"/>
      <c r="L135" s="337"/>
      <c r="M135" s="337" t="s">
        <v>821</v>
      </c>
      <c r="N135" s="337" t="s">
        <v>757</v>
      </c>
      <c r="O135" s="337" t="e">
        <v>#N/A</v>
      </c>
      <c r="P135" s="337"/>
      <c r="Q135" s="337"/>
      <c r="R135" s="343">
        <v>-2611.42</v>
      </c>
    </row>
    <row r="136" spans="1:18" x14ac:dyDescent="0.2">
      <c r="A136" s="342" t="s">
        <v>736</v>
      </c>
      <c r="B136" s="337" t="s">
        <v>793</v>
      </c>
      <c r="C136" s="337" t="s">
        <v>795</v>
      </c>
      <c r="D136" s="337" t="s">
        <v>798</v>
      </c>
      <c r="E136" s="337" t="s">
        <v>790</v>
      </c>
      <c r="F136" s="337" t="s">
        <v>771</v>
      </c>
      <c r="G136" s="337" t="s">
        <v>799</v>
      </c>
      <c r="H136" s="337" t="s">
        <v>800</v>
      </c>
      <c r="I136" s="337" t="s">
        <v>767</v>
      </c>
      <c r="J136" s="337" t="s">
        <v>765</v>
      </c>
      <c r="K136" s="337"/>
      <c r="L136" s="337"/>
      <c r="M136" s="337" t="s">
        <v>821</v>
      </c>
      <c r="N136" s="337" t="s">
        <v>757</v>
      </c>
      <c r="O136" s="337" t="e">
        <v>#N/A</v>
      </c>
      <c r="P136" s="337"/>
      <c r="Q136" s="337"/>
      <c r="R136" s="343">
        <v>-2611.42</v>
      </c>
    </row>
    <row r="137" spans="1:18" x14ac:dyDescent="0.2">
      <c r="A137" s="342" t="s">
        <v>737</v>
      </c>
      <c r="B137" s="337" t="s">
        <v>793</v>
      </c>
      <c r="C137" s="337" t="s">
        <v>795</v>
      </c>
      <c r="D137" s="337" t="s">
        <v>798</v>
      </c>
      <c r="E137" s="337" t="s">
        <v>790</v>
      </c>
      <c r="F137" s="337" t="s">
        <v>771</v>
      </c>
      <c r="G137" s="337" t="s">
        <v>799</v>
      </c>
      <c r="H137" s="337" t="s">
        <v>800</v>
      </c>
      <c r="I137" s="337" t="s">
        <v>767</v>
      </c>
      <c r="J137" s="337" t="s">
        <v>765</v>
      </c>
      <c r="K137" s="337"/>
      <c r="L137" s="337"/>
      <c r="M137" s="337" t="s">
        <v>821</v>
      </c>
      <c r="N137" s="337" t="s">
        <v>757</v>
      </c>
      <c r="O137" s="337" t="e">
        <v>#N/A</v>
      </c>
      <c r="P137" s="337"/>
      <c r="Q137" s="337"/>
      <c r="R137" s="343">
        <v>-2123.2800000000002</v>
      </c>
    </row>
    <row r="138" spans="1:18" x14ac:dyDescent="0.2">
      <c r="A138" s="342" t="s">
        <v>738</v>
      </c>
      <c r="B138" s="337" t="s">
        <v>793</v>
      </c>
      <c r="C138" s="337" t="s">
        <v>795</v>
      </c>
      <c r="D138" s="337" t="s">
        <v>798</v>
      </c>
      <c r="E138" s="337" t="s">
        <v>790</v>
      </c>
      <c r="F138" s="337" t="s">
        <v>771</v>
      </c>
      <c r="G138" s="337" t="s">
        <v>799</v>
      </c>
      <c r="H138" s="337" t="s">
        <v>800</v>
      </c>
      <c r="I138" s="337" t="s">
        <v>767</v>
      </c>
      <c r="J138" s="337" t="s">
        <v>765</v>
      </c>
      <c r="K138" s="337"/>
      <c r="L138" s="337"/>
      <c r="M138" s="337" t="s">
        <v>821</v>
      </c>
      <c r="N138" s="337" t="s">
        <v>757</v>
      </c>
      <c r="O138" s="337" t="e">
        <v>#N/A</v>
      </c>
      <c r="P138" s="337"/>
      <c r="Q138" s="337"/>
      <c r="R138" s="343">
        <v>-1597.7</v>
      </c>
    </row>
    <row r="139" spans="1:18" x14ac:dyDescent="0.2">
      <c r="A139" s="342" t="s">
        <v>727</v>
      </c>
      <c r="B139" s="337" t="s">
        <v>793</v>
      </c>
      <c r="C139" s="337" t="s">
        <v>795</v>
      </c>
      <c r="D139" s="337" t="s">
        <v>798</v>
      </c>
      <c r="E139" s="337" t="s">
        <v>790</v>
      </c>
      <c r="F139" s="337" t="s">
        <v>771</v>
      </c>
      <c r="G139" s="337" t="s">
        <v>799</v>
      </c>
      <c r="H139" s="337" t="s">
        <v>800</v>
      </c>
      <c r="I139" s="337" t="s">
        <v>767</v>
      </c>
      <c r="J139" s="337" t="s">
        <v>765</v>
      </c>
      <c r="K139" s="337"/>
      <c r="L139" s="337"/>
      <c r="M139" s="337" t="s">
        <v>821</v>
      </c>
      <c r="N139" s="337" t="s">
        <v>757</v>
      </c>
      <c r="O139" s="337" t="e">
        <v>#N/A</v>
      </c>
      <c r="P139" s="337"/>
      <c r="Q139" s="337"/>
      <c r="R139" s="343">
        <v>-1491.82</v>
      </c>
    </row>
    <row r="140" spans="1:18" x14ac:dyDescent="0.2">
      <c r="A140" s="342" t="s">
        <v>737</v>
      </c>
      <c r="B140" s="337" t="s">
        <v>793</v>
      </c>
      <c r="C140" s="337" t="s">
        <v>795</v>
      </c>
      <c r="D140" s="337" t="s">
        <v>798</v>
      </c>
      <c r="E140" s="337" t="s">
        <v>790</v>
      </c>
      <c r="F140" s="337" t="s">
        <v>771</v>
      </c>
      <c r="G140" s="337" t="s">
        <v>799</v>
      </c>
      <c r="H140" s="337" t="s">
        <v>800</v>
      </c>
      <c r="I140" s="337" t="s">
        <v>767</v>
      </c>
      <c r="J140" s="337" t="s">
        <v>765</v>
      </c>
      <c r="K140" s="337"/>
      <c r="L140" s="337"/>
      <c r="M140" s="337" t="s">
        <v>822</v>
      </c>
      <c r="N140" s="337" t="s">
        <v>764</v>
      </c>
      <c r="O140" s="337" t="e">
        <v>#N/A</v>
      </c>
      <c r="P140" s="337"/>
      <c r="Q140" s="337"/>
      <c r="R140" s="343">
        <v>-17621.68</v>
      </c>
    </row>
    <row r="141" spans="1:18" x14ac:dyDescent="0.2">
      <c r="A141" s="342" t="s">
        <v>737</v>
      </c>
      <c r="B141" s="337" t="s">
        <v>793</v>
      </c>
      <c r="C141" s="337" t="s">
        <v>795</v>
      </c>
      <c r="D141" s="337" t="s">
        <v>798</v>
      </c>
      <c r="E141" s="337" t="s">
        <v>790</v>
      </c>
      <c r="F141" s="337" t="s">
        <v>771</v>
      </c>
      <c r="G141" s="337" t="s">
        <v>799</v>
      </c>
      <c r="H141" s="337" t="s">
        <v>800</v>
      </c>
      <c r="I141" s="337" t="s">
        <v>767</v>
      </c>
      <c r="J141" s="337" t="s">
        <v>765</v>
      </c>
      <c r="K141" s="337"/>
      <c r="L141" s="337"/>
      <c r="M141" s="337" t="s">
        <v>823</v>
      </c>
      <c r="N141" s="337" t="s">
        <v>780</v>
      </c>
      <c r="O141" s="337" t="e">
        <v>#N/A</v>
      </c>
      <c r="P141" s="337"/>
      <c r="Q141" s="337"/>
      <c r="R141" s="343">
        <v>-101826.22</v>
      </c>
    </row>
    <row r="142" spans="1:18" x14ac:dyDescent="0.2">
      <c r="A142" s="342" t="s">
        <v>738</v>
      </c>
      <c r="B142" s="337" t="s">
        <v>793</v>
      </c>
      <c r="C142" s="337" t="s">
        <v>795</v>
      </c>
      <c r="D142" s="337" t="s">
        <v>798</v>
      </c>
      <c r="E142" s="337" t="s">
        <v>790</v>
      </c>
      <c r="F142" s="337" t="s">
        <v>771</v>
      </c>
      <c r="G142" s="337" t="s">
        <v>799</v>
      </c>
      <c r="H142" s="337" t="s">
        <v>800</v>
      </c>
      <c r="I142" s="337" t="s">
        <v>767</v>
      </c>
      <c r="J142" s="337" t="s">
        <v>765</v>
      </c>
      <c r="K142" s="337"/>
      <c r="L142" s="337"/>
      <c r="M142" s="337" t="s">
        <v>823</v>
      </c>
      <c r="N142" s="337" t="s">
        <v>780</v>
      </c>
      <c r="O142" s="337" t="e">
        <v>#N/A</v>
      </c>
      <c r="P142" s="337"/>
      <c r="Q142" s="337"/>
      <c r="R142" s="343">
        <v>-53638.86</v>
      </c>
    </row>
    <row r="143" spans="1:18" x14ac:dyDescent="0.2">
      <c r="A143" s="342" t="s">
        <v>727</v>
      </c>
      <c r="B143" s="337" t="s">
        <v>793</v>
      </c>
      <c r="C143" s="337" t="s">
        <v>795</v>
      </c>
      <c r="D143" s="337" t="s">
        <v>798</v>
      </c>
      <c r="E143" s="337" t="s">
        <v>790</v>
      </c>
      <c r="F143" s="337" t="s">
        <v>771</v>
      </c>
      <c r="G143" s="337" t="s">
        <v>799</v>
      </c>
      <c r="H143" s="337" t="s">
        <v>800</v>
      </c>
      <c r="I143" s="337" t="s">
        <v>767</v>
      </c>
      <c r="J143" s="337" t="s">
        <v>765</v>
      </c>
      <c r="K143" s="337"/>
      <c r="L143" s="337"/>
      <c r="M143" s="337" t="s">
        <v>823</v>
      </c>
      <c r="N143" s="337" t="s">
        <v>780</v>
      </c>
      <c r="O143" s="337" t="e">
        <v>#N/A</v>
      </c>
      <c r="P143" s="337"/>
      <c r="Q143" s="337"/>
      <c r="R143" s="343">
        <v>-120127.67999999999</v>
      </c>
    </row>
    <row r="144" spans="1:18" x14ac:dyDescent="0.2">
      <c r="A144" s="342" t="s">
        <v>728</v>
      </c>
      <c r="B144" s="337" t="s">
        <v>793</v>
      </c>
      <c r="C144" s="337" t="s">
        <v>795</v>
      </c>
      <c r="D144" s="337" t="s">
        <v>798</v>
      </c>
      <c r="E144" s="337" t="s">
        <v>790</v>
      </c>
      <c r="F144" s="337" t="s">
        <v>771</v>
      </c>
      <c r="G144" s="337" t="s">
        <v>799</v>
      </c>
      <c r="H144" s="337" t="s">
        <v>800</v>
      </c>
      <c r="I144" s="337" t="s">
        <v>767</v>
      </c>
      <c r="J144" s="337" t="s">
        <v>765</v>
      </c>
      <c r="K144" s="337"/>
      <c r="L144" s="337"/>
      <c r="M144" s="337" t="s">
        <v>824</v>
      </c>
      <c r="N144" s="337" t="s">
        <v>761</v>
      </c>
      <c r="O144" s="337" t="e">
        <v>#N/A</v>
      </c>
      <c r="P144" s="337"/>
      <c r="Q144" s="337"/>
      <c r="R144" s="343">
        <v>-120221.37</v>
      </c>
    </row>
    <row r="145" spans="1:18" x14ac:dyDescent="0.2">
      <c r="A145" s="342" t="s">
        <v>730</v>
      </c>
      <c r="B145" s="337" t="s">
        <v>793</v>
      </c>
      <c r="C145" s="337" t="s">
        <v>795</v>
      </c>
      <c r="D145" s="337" t="s">
        <v>798</v>
      </c>
      <c r="E145" s="337" t="s">
        <v>790</v>
      </c>
      <c r="F145" s="337" t="s">
        <v>771</v>
      </c>
      <c r="G145" s="337" t="s">
        <v>799</v>
      </c>
      <c r="H145" s="337" t="s">
        <v>800</v>
      </c>
      <c r="I145" s="337" t="s">
        <v>767</v>
      </c>
      <c r="J145" s="337" t="s">
        <v>765</v>
      </c>
      <c r="K145" s="337"/>
      <c r="L145" s="337"/>
      <c r="M145" s="337" t="s">
        <v>824</v>
      </c>
      <c r="N145" s="337" t="s">
        <v>761</v>
      </c>
      <c r="O145" s="337" t="e">
        <v>#N/A</v>
      </c>
      <c r="P145" s="337"/>
      <c r="Q145" s="337"/>
      <c r="R145" s="343">
        <v>-645063.4</v>
      </c>
    </row>
    <row r="146" spans="1:18" x14ac:dyDescent="0.2">
      <c r="A146" s="342" t="s">
        <v>731</v>
      </c>
      <c r="B146" s="337" t="s">
        <v>793</v>
      </c>
      <c r="C146" s="337" t="s">
        <v>795</v>
      </c>
      <c r="D146" s="337" t="s">
        <v>798</v>
      </c>
      <c r="E146" s="337" t="s">
        <v>790</v>
      </c>
      <c r="F146" s="337" t="s">
        <v>771</v>
      </c>
      <c r="G146" s="337" t="s">
        <v>799</v>
      </c>
      <c r="H146" s="337" t="s">
        <v>800</v>
      </c>
      <c r="I146" s="337" t="s">
        <v>767</v>
      </c>
      <c r="J146" s="337" t="s">
        <v>765</v>
      </c>
      <c r="K146" s="337"/>
      <c r="L146" s="337"/>
      <c r="M146" s="337" t="s">
        <v>824</v>
      </c>
      <c r="N146" s="337" t="s">
        <v>761</v>
      </c>
      <c r="O146" s="337" t="e">
        <v>#N/A</v>
      </c>
      <c r="P146" s="337"/>
      <c r="Q146" s="337"/>
      <c r="R146" s="343">
        <v>-368020.13</v>
      </c>
    </row>
    <row r="147" spans="1:18" x14ac:dyDescent="0.2">
      <c r="A147" s="342" t="s">
        <v>732</v>
      </c>
      <c r="B147" s="337" t="s">
        <v>793</v>
      </c>
      <c r="C147" s="337" t="s">
        <v>795</v>
      </c>
      <c r="D147" s="337" t="s">
        <v>798</v>
      </c>
      <c r="E147" s="337" t="s">
        <v>790</v>
      </c>
      <c r="F147" s="337" t="s">
        <v>771</v>
      </c>
      <c r="G147" s="337" t="s">
        <v>799</v>
      </c>
      <c r="H147" s="337" t="s">
        <v>800</v>
      </c>
      <c r="I147" s="337" t="s">
        <v>767</v>
      </c>
      <c r="J147" s="337" t="s">
        <v>765</v>
      </c>
      <c r="K147" s="337"/>
      <c r="L147" s="337"/>
      <c r="M147" s="337" t="s">
        <v>824</v>
      </c>
      <c r="N147" s="337" t="s">
        <v>761</v>
      </c>
      <c r="O147" s="337" t="e">
        <v>#N/A</v>
      </c>
      <c r="P147" s="337"/>
      <c r="Q147" s="337"/>
      <c r="R147" s="343">
        <v>-257137.92000000001</v>
      </c>
    </row>
    <row r="148" spans="1:18" x14ac:dyDescent="0.2">
      <c r="A148" s="342" t="s">
        <v>726</v>
      </c>
      <c r="B148" s="337" t="s">
        <v>793</v>
      </c>
      <c r="C148" s="337" t="s">
        <v>795</v>
      </c>
      <c r="D148" s="337" t="s">
        <v>798</v>
      </c>
      <c r="E148" s="337" t="s">
        <v>790</v>
      </c>
      <c r="F148" s="337" t="s">
        <v>771</v>
      </c>
      <c r="G148" s="337" t="s">
        <v>799</v>
      </c>
      <c r="H148" s="337" t="s">
        <v>800</v>
      </c>
      <c r="I148" s="337" t="s">
        <v>767</v>
      </c>
      <c r="J148" s="337" t="s">
        <v>765</v>
      </c>
      <c r="K148" s="337"/>
      <c r="L148" s="337"/>
      <c r="M148" s="337" t="s">
        <v>824</v>
      </c>
      <c r="N148" s="337" t="s">
        <v>761</v>
      </c>
      <c r="O148" s="337" t="e">
        <v>#N/A</v>
      </c>
      <c r="P148" s="337"/>
      <c r="Q148" s="337"/>
      <c r="R148" s="343">
        <v>-223550.05</v>
      </c>
    </row>
    <row r="149" spans="1:18" x14ac:dyDescent="0.2">
      <c r="A149" s="342" t="s">
        <v>733</v>
      </c>
      <c r="B149" s="337" t="s">
        <v>793</v>
      </c>
      <c r="C149" s="337" t="s">
        <v>795</v>
      </c>
      <c r="D149" s="337" t="s">
        <v>798</v>
      </c>
      <c r="E149" s="337" t="s">
        <v>790</v>
      </c>
      <c r="F149" s="337" t="s">
        <v>771</v>
      </c>
      <c r="G149" s="337" t="s">
        <v>799</v>
      </c>
      <c r="H149" s="337" t="s">
        <v>800</v>
      </c>
      <c r="I149" s="337" t="s">
        <v>767</v>
      </c>
      <c r="J149" s="337" t="s">
        <v>765</v>
      </c>
      <c r="K149" s="337"/>
      <c r="L149" s="337"/>
      <c r="M149" s="337" t="s">
        <v>824</v>
      </c>
      <c r="N149" s="337" t="s">
        <v>761</v>
      </c>
      <c r="O149" s="337" t="e">
        <v>#N/A</v>
      </c>
      <c r="P149" s="337"/>
      <c r="Q149" s="337"/>
      <c r="R149" s="343">
        <v>-347180.3</v>
      </c>
    </row>
    <row r="150" spans="1:18" x14ac:dyDescent="0.2">
      <c r="A150" s="342" t="s">
        <v>734</v>
      </c>
      <c r="B150" s="337" t="s">
        <v>793</v>
      </c>
      <c r="C150" s="337" t="s">
        <v>795</v>
      </c>
      <c r="D150" s="337" t="s">
        <v>798</v>
      </c>
      <c r="E150" s="337" t="s">
        <v>790</v>
      </c>
      <c r="F150" s="337" t="s">
        <v>771</v>
      </c>
      <c r="G150" s="337" t="s">
        <v>799</v>
      </c>
      <c r="H150" s="337" t="s">
        <v>800</v>
      </c>
      <c r="I150" s="337" t="s">
        <v>767</v>
      </c>
      <c r="J150" s="337" t="s">
        <v>765</v>
      </c>
      <c r="K150" s="337"/>
      <c r="L150" s="337"/>
      <c r="M150" s="337" t="s">
        <v>824</v>
      </c>
      <c r="N150" s="337" t="s">
        <v>761</v>
      </c>
      <c r="O150" s="337" t="e">
        <v>#N/A</v>
      </c>
      <c r="P150" s="337"/>
      <c r="Q150" s="337"/>
      <c r="R150" s="343">
        <v>-749477.92</v>
      </c>
    </row>
    <row r="151" spans="1:18" x14ac:dyDescent="0.2">
      <c r="A151" s="342" t="s">
        <v>735</v>
      </c>
      <c r="B151" s="337" t="s">
        <v>793</v>
      </c>
      <c r="C151" s="337" t="s">
        <v>795</v>
      </c>
      <c r="D151" s="337" t="s">
        <v>798</v>
      </c>
      <c r="E151" s="337" t="s">
        <v>790</v>
      </c>
      <c r="F151" s="337" t="s">
        <v>771</v>
      </c>
      <c r="G151" s="337" t="s">
        <v>799</v>
      </c>
      <c r="H151" s="337" t="s">
        <v>800</v>
      </c>
      <c r="I151" s="337" t="s">
        <v>767</v>
      </c>
      <c r="J151" s="337" t="s">
        <v>765</v>
      </c>
      <c r="K151" s="337"/>
      <c r="L151" s="337"/>
      <c r="M151" s="337" t="s">
        <v>824</v>
      </c>
      <c r="N151" s="337" t="s">
        <v>761</v>
      </c>
      <c r="O151" s="337" t="e">
        <v>#N/A</v>
      </c>
      <c r="P151" s="337"/>
      <c r="Q151" s="337"/>
      <c r="R151" s="343">
        <v>-686264.44</v>
      </c>
    </row>
    <row r="152" spans="1:18" x14ac:dyDescent="0.2">
      <c r="A152" s="342" t="s">
        <v>736</v>
      </c>
      <c r="B152" s="337" t="s">
        <v>793</v>
      </c>
      <c r="C152" s="337" t="s">
        <v>795</v>
      </c>
      <c r="D152" s="337" t="s">
        <v>798</v>
      </c>
      <c r="E152" s="337" t="s">
        <v>790</v>
      </c>
      <c r="F152" s="337" t="s">
        <v>771</v>
      </c>
      <c r="G152" s="337" t="s">
        <v>799</v>
      </c>
      <c r="H152" s="337" t="s">
        <v>800</v>
      </c>
      <c r="I152" s="337" t="s">
        <v>767</v>
      </c>
      <c r="J152" s="337" t="s">
        <v>765</v>
      </c>
      <c r="K152" s="337"/>
      <c r="L152" s="337"/>
      <c r="M152" s="337" t="s">
        <v>824</v>
      </c>
      <c r="N152" s="337" t="s">
        <v>761</v>
      </c>
      <c r="O152" s="337" t="e">
        <v>#N/A</v>
      </c>
      <c r="P152" s="337"/>
      <c r="Q152" s="337"/>
      <c r="R152" s="343">
        <v>-629686.61</v>
      </c>
    </row>
    <row r="153" spans="1:18" x14ac:dyDescent="0.2">
      <c r="A153" s="342" t="s">
        <v>737</v>
      </c>
      <c r="B153" s="337" t="s">
        <v>793</v>
      </c>
      <c r="C153" s="337" t="s">
        <v>795</v>
      </c>
      <c r="D153" s="337" t="s">
        <v>798</v>
      </c>
      <c r="E153" s="337" t="s">
        <v>790</v>
      </c>
      <c r="F153" s="337" t="s">
        <v>771</v>
      </c>
      <c r="G153" s="337" t="s">
        <v>799</v>
      </c>
      <c r="H153" s="337" t="s">
        <v>800</v>
      </c>
      <c r="I153" s="337" t="s">
        <v>767</v>
      </c>
      <c r="J153" s="337" t="s">
        <v>765</v>
      </c>
      <c r="K153" s="337"/>
      <c r="L153" s="337"/>
      <c r="M153" s="337" t="s">
        <v>824</v>
      </c>
      <c r="N153" s="337" t="s">
        <v>761</v>
      </c>
      <c r="O153" s="337" t="e">
        <v>#N/A</v>
      </c>
      <c r="P153" s="337"/>
      <c r="Q153" s="337"/>
      <c r="R153" s="343">
        <v>-440499.46</v>
      </c>
    </row>
    <row r="154" spans="1:18" x14ac:dyDescent="0.2">
      <c r="A154" s="342" t="s">
        <v>738</v>
      </c>
      <c r="B154" s="337" t="s">
        <v>793</v>
      </c>
      <c r="C154" s="337" t="s">
        <v>795</v>
      </c>
      <c r="D154" s="337" t="s">
        <v>798</v>
      </c>
      <c r="E154" s="337" t="s">
        <v>790</v>
      </c>
      <c r="F154" s="337" t="s">
        <v>771</v>
      </c>
      <c r="G154" s="337" t="s">
        <v>799</v>
      </c>
      <c r="H154" s="337" t="s">
        <v>800</v>
      </c>
      <c r="I154" s="337" t="s">
        <v>767</v>
      </c>
      <c r="J154" s="337" t="s">
        <v>765</v>
      </c>
      <c r="K154" s="337"/>
      <c r="L154" s="337"/>
      <c r="M154" s="337" t="s">
        <v>824</v>
      </c>
      <c r="N154" s="337" t="s">
        <v>761</v>
      </c>
      <c r="O154" s="337" t="e">
        <v>#N/A</v>
      </c>
      <c r="P154" s="337"/>
      <c r="Q154" s="337"/>
      <c r="R154" s="343">
        <v>-534910.13</v>
      </c>
    </row>
    <row r="155" spans="1:18" x14ac:dyDescent="0.2">
      <c r="A155" s="342" t="s">
        <v>727</v>
      </c>
      <c r="B155" s="337" t="s">
        <v>793</v>
      </c>
      <c r="C155" s="337" t="s">
        <v>795</v>
      </c>
      <c r="D155" s="337" t="s">
        <v>798</v>
      </c>
      <c r="E155" s="337" t="s">
        <v>790</v>
      </c>
      <c r="F155" s="337" t="s">
        <v>771</v>
      </c>
      <c r="G155" s="337" t="s">
        <v>799</v>
      </c>
      <c r="H155" s="337" t="s">
        <v>800</v>
      </c>
      <c r="I155" s="337" t="s">
        <v>767</v>
      </c>
      <c r="J155" s="337" t="s">
        <v>765</v>
      </c>
      <c r="K155" s="337"/>
      <c r="L155" s="337"/>
      <c r="M155" s="337" t="s">
        <v>824</v>
      </c>
      <c r="N155" s="337" t="s">
        <v>761</v>
      </c>
      <c r="O155" s="337" t="e">
        <v>#N/A</v>
      </c>
      <c r="P155" s="337"/>
      <c r="Q155" s="337"/>
      <c r="R155" s="343">
        <v>-403502.25</v>
      </c>
    </row>
    <row r="156" spans="1:18" x14ac:dyDescent="0.2">
      <c r="A156" s="342" t="s">
        <v>728</v>
      </c>
      <c r="B156" s="337" t="s">
        <v>793</v>
      </c>
      <c r="C156" s="337" t="s">
        <v>795</v>
      </c>
      <c r="D156" s="337" t="s">
        <v>798</v>
      </c>
      <c r="E156" s="337" t="s">
        <v>790</v>
      </c>
      <c r="F156" s="337" t="s">
        <v>771</v>
      </c>
      <c r="G156" s="337" t="s">
        <v>799</v>
      </c>
      <c r="H156" s="337" t="s">
        <v>800</v>
      </c>
      <c r="I156" s="337" t="s">
        <v>767</v>
      </c>
      <c r="J156" s="337" t="s">
        <v>765</v>
      </c>
      <c r="K156" s="337"/>
      <c r="L156" s="337"/>
      <c r="M156" s="337" t="s">
        <v>825</v>
      </c>
      <c r="N156" s="337" t="s">
        <v>781</v>
      </c>
      <c r="O156" s="337" t="e">
        <v>#N/A</v>
      </c>
      <c r="P156" s="337"/>
      <c r="Q156" s="337"/>
      <c r="R156" s="343">
        <v>-9034.16</v>
      </c>
    </row>
    <row r="157" spans="1:18" x14ac:dyDescent="0.2">
      <c r="A157" s="342" t="s">
        <v>730</v>
      </c>
      <c r="B157" s="337" t="s">
        <v>793</v>
      </c>
      <c r="C157" s="337" t="s">
        <v>795</v>
      </c>
      <c r="D157" s="337" t="s">
        <v>798</v>
      </c>
      <c r="E157" s="337" t="s">
        <v>790</v>
      </c>
      <c r="F157" s="337" t="s">
        <v>771</v>
      </c>
      <c r="G157" s="337" t="s">
        <v>799</v>
      </c>
      <c r="H157" s="337" t="s">
        <v>800</v>
      </c>
      <c r="I157" s="337" t="s">
        <v>767</v>
      </c>
      <c r="J157" s="337" t="s">
        <v>765</v>
      </c>
      <c r="K157" s="337"/>
      <c r="L157" s="337"/>
      <c r="M157" s="337" t="s">
        <v>825</v>
      </c>
      <c r="N157" s="337" t="s">
        <v>781</v>
      </c>
      <c r="O157" s="337" t="e">
        <v>#N/A</v>
      </c>
      <c r="P157" s="337"/>
      <c r="Q157" s="337"/>
      <c r="R157" s="343">
        <v>-6711.47</v>
      </c>
    </row>
    <row r="158" spans="1:18" x14ac:dyDescent="0.2">
      <c r="A158" s="342" t="s">
        <v>731</v>
      </c>
      <c r="B158" s="337" t="s">
        <v>793</v>
      </c>
      <c r="C158" s="337" t="s">
        <v>795</v>
      </c>
      <c r="D158" s="337" t="s">
        <v>798</v>
      </c>
      <c r="E158" s="337" t="s">
        <v>790</v>
      </c>
      <c r="F158" s="337" t="s">
        <v>771</v>
      </c>
      <c r="G158" s="337" t="s">
        <v>799</v>
      </c>
      <c r="H158" s="337" t="s">
        <v>800</v>
      </c>
      <c r="I158" s="337" t="s">
        <v>767</v>
      </c>
      <c r="J158" s="337" t="s">
        <v>765</v>
      </c>
      <c r="K158" s="337"/>
      <c r="L158" s="337"/>
      <c r="M158" s="337" t="s">
        <v>825</v>
      </c>
      <c r="N158" s="337" t="s">
        <v>781</v>
      </c>
      <c r="O158" s="337" t="e">
        <v>#N/A</v>
      </c>
      <c r="P158" s="337"/>
      <c r="Q158" s="337"/>
      <c r="R158" s="343">
        <v>-2820.98</v>
      </c>
    </row>
    <row r="159" spans="1:18" x14ac:dyDescent="0.2">
      <c r="A159" s="342" t="s">
        <v>732</v>
      </c>
      <c r="B159" s="337" t="s">
        <v>793</v>
      </c>
      <c r="C159" s="337" t="s">
        <v>795</v>
      </c>
      <c r="D159" s="337" t="s">
        <v>798</v>
      </c>
      <c r="E159" s="337" t="s">
        <v>790</v>
      </c>
      <c r="F159" s="337" t="s">
        <v>771</v>
      </c>
      <c r="G159" s="337" t="s">
        <v>799</v>
      </c>
      <c r="H159" s="337" t="s">
        <v>800</v>
      </c>
      <c r="I159" s="337" t="s">
        <v>767</v>
      </c>
      <c r="J159" s="337" t="s">
        <v>765</v>
      </c>
      <c r="K159" s="337"/>
      <c r="L159" s="337"/>
      <c r="M159" s="337" t="s">
        <v>825</v>
      </c>
      <c r="N159" s="337" t="s">
        <v>781</v>
      </c>
      <c r="O159" s="337" t="e">
        <v>#N/A</v>
      </c>
      <c r="P159" s="337"/>
      <c r="Q159" s="337"/>
      <c r="R159" s="343">
        <v>-9411.73</v>
      </c>
    </row>
    <row r="160" spans="1:18" x14ac:dyDescent="0.2">
      <c r="A160" s="342" t="s">
        <v>726</v>
      </c>
      <c r="B160" s="337" t="s">
        <v>793</v>
      </c>
      <c r="C160" s="337" t="s">
        <v>795</v>
      </c>
      <c r="D160" s="337" t="s">
        <v>798</v>
      </c>
      <c r="E160" s="337" t="s">
        <v>790</v>
      </c>
      <c r="F160" s="337" t="s">
        <v>771</v>
      </c>
      <c r="G160" s="337" t="s">
        <v>799</v>
      </c>
      <c r="H160" s="337" t="s">
        <v>800</v>
      </c>
      <c r="I160" s="337" t="s">
        <v>767</v>
      </c>
      <c r="J160" s="337" t="s">
        <v>765</v>
      </c>
      <c r="K160" s="337"/>
      <c r="L160" s="337"/>
      <c r="M160" s="337" t="s">
        <v>825</v>
      </c>
      <c r="N160" s="337" t="s">
        <v>781</v>
      </c>
      <c r="O160" s="337" t="e">
        <v>#N/A</v>
      </c>
      <c r="P160" s="337"/>
      <c r="Q160" s="337"/>
      <c r="R160" s="343">
        <v>-13653.94</v>
      </c>
    </row>
    <row r="161" spans="1:18" x14ac:dyDescent="0.2">
      <c r="A161" s="342" t="s">
        <v>733</v>
      </c>
      <c r="B161" s="337" t="s">
        <v>793</v>
      </c>
      <c r="C161" s="337" t="s">
        <v>795</v>
      </c>
      <c r="D161" s="337" t="s">
        <v>798</v>
      </c>
      <c r="E161" s="337" t="s">
        <v>790</v>
      </c>
      <c r="F161" s="337" t="s">
        <v>771</v>
      </c>
      <c r="G161" s="337" t="s">
        <v>799</v>
      </c>
      <c r="H161" s="337" t="s">
        <v>800</v>
      </c>
      <c r="I161" s="337" t="s">
        <v>767</v>
      </c>
      <c r="J161" s="337" t="s">
        <v>765</v>
      </c>
      <c r="K161" s="337"/>
      <c r="L161" s="337"/>
      <c r="M161" s="337" t="s">
        <v>825</v>
      </c>
      <c r="N161" s="337" t="s">
        <v>781</v>
      </c>
      <c r="O161" s="337" t="e">
        <v>#N/A</v>
      </c>
      <c r="P161" s="337"/>
      <c r="Q161" s="337"/>
      <c r="R161" s="343">
        <v>-4856.9399999999996</v>
      </c>
    </row>
    <row r="162" spans="1:18" x14ac:dyDescent="0.2">
      <c r="A162" s="342" t="s">
        <v>734</v>
      </c>
      <c r="B162" s="337" t="s">
        <v>793</v>
      </c>
      <c r="C162" s="337" t="s">
        <v>795</v>
      </c>
      <c r="D162" s="337" t="s">
        <v>798</v>
      </c>
      <c r="E162" s="337" t="s">
        <v>790</v>
      </c>
      <c r="F162" s="337" t="s">
        <v>771</v>
      </c>
      <c r="G162" s="337" t="s">
        <v>799</v>
      </c>
      <c r="H162" s="337" t="s">
        <v>800</v>
      </c>
      <c r="I162" s="337" t="s">
        <v>767</v>
      </c>
      <c r="J162" s="337" t="s">
        <v>765</v>
      </c>
      <c r="K162" s="337"/>
      <c r="L162" s="337"/>
      <c r="M162" s="337" t="s">
        <v>825</v>
      </c>
      <c r="N162" s="337" t="s">
        <v>781</v>
      </c>
      <c r="O162" s="337" t="e">
        <v>#N/A</v>
      </c>
      <c r="P162" s="337"/>
      <c r="Q162" s="337"/>
      <c r="R162" s="343">
        <v>-16450.86</v>
      </c>
    </row>
    <row r="163" spans="1:18" x14ac:dyDescent="0.2">
      <c r="A163" s="342" t="s">
        <v>735</v>
      </c>
      <c r="B163" s="337" t="s">
        <v>793</v>
      </c>
      <c r="C163" s="337" t="s">
        <v>795</v>
      </c>
      <c r="D163" s="337" t="s">
        <v>798</v>
      </c>
      <c r="E163" s="337" t="s">
        <v>790</v>
      </c>
      <c r="F163" s="337" t="s">
        <v>771</v>
      </c>
      <c r="G163" s="337" t="s">
        <v>799</v>
      </c>
      <c r="H163" s="337" t="s">
        <v>800</v>
      </c>
      <c r="I163" s="337" t="s">
        <v>767</v>
      </c>
      <c r="J163" s="337" t="s">
        <v>765</v>
      </c>
      <c r="K163" s="337"/>
      <c r="L163" s="337"/>
      <c r="M163" s="337" t="s">
        <v>825</v>
      </c>
      <c r="N163" s="337" t="s">
        <v>781</v>
      </c>
      <c r="O163" s="337" t="e">
        <v>#N/A</v>
      </c>
      <c r="P163" s="337"/>
      <c r="Q163" s="337"/>
      <c r="R163" s="343">
        <v>-2420.5700000000002</v>
      </c>
    </row>
    <row r="164" spans="1:18" x14ac:dyDescent="0.2">
      <c r="A164" s="342" t="s">
        <v>736</v>
      </c>
      <c r="B164" s="337" t="s">
        <v>793</v>
      </c>
      <c r="C164" s="337" t="s">
        <v>795</v>
      </c>
      <c r="D164" s="337" t="s">
        <v>798</v>
      </c>
      <c r="E164" s="337" t="s">
        <v>790</v>
      </c>
      <c r="F164" s="337" t="s">
        <v>771</v>
      </c>
      <c r="G164" s="337" t="s">
        <v>799</v>
      </c>
      <c r="H164" s="337" t="s">
        <v>800</v>
      </c>
      <c r="I164" s="337" t="s">
        <v>767</v>
      </c>
      <c r="J164" s="337" t="s">
        <v>765</v>
      </c>
      <c r="K164" s="337"/>
      <c r="L164" s="337"/>
      <c r="M164" s="337" t="s">
        <v>825</v>
      </c>
      <c r="N164" s="337" t="s">
        <v>781</v>
      </c>
      <c r="O164" s="337" t="e">
        <v>#N/A</v>
      </c>
      <c r="P164" s="337"/>
      <c r="Q164" s="337"/>
      <c r="R164" s="343">
        <v>-1536.51</v>
      </c>
    </row>
    <row r="165" spans="1:18" x14ac:dyDescent="0.2">
      <c r="A165" s="342" t="s">
        <v>737</v>
      </c>
      <c r="B165" s="337" t="s">
        <v>793</v>
      </c>
      <c r="C165" s="337" t="s">
        <v>795</v>
      </c>
      <c r="D165" s="337" t="s">
        <v>798</v>
      </c>
      <c r="E165" s="337" t="s">
        <v>790</v>
      </c>
      <c r="F165" s="337" t="s">
        <v>771</v>
      </c>
      <c r="G165" s="337" t="s">
        <v>799</v>
      </c>
      <c r="H165" s="337" t="s">
        <v>800</v>
      </c>
      <c r="I165" s="337" t="s">
        <v>767</v>
      </c>
      <c r="J165" s="337" t="s">
        <v>765</v>
      </c>
      <c r="K165" s="337"/>
      <c r="L165" s="337"/>
      <c r="M165" s="337" t="s">
        <v>825</v>
      </c>
      <c r="N165" s="337" t="s">
        <v>781</v>
      </c>
      <c r="O165" s="337" t="e">
        <v>#N/A</v>
      </c>
      <c r="P165" s="337"/>
      <c r="Q165" s="337"/>
      <c r="R165" s="343">
        <v>-15102.07</v>
      </c>
    </row>
    <row r="166" spans="1:18" x14ac:dyDescent="0.2">
      <c r="A166" s="342" t="s">
        <v>738</v>
      </c>
      <c r="B166" s="337" t="s">
        <v>793</v>
      </c>
      <c r="C166" s="337" t="s">
        <v>795</v>
      </c>
      <c r="D166" s="337" t="s">
        <v>798</v>
      </c>
      <c r="E166" s="337" t="s">
        <v>790</v>
      </c>
      <c r="F166" s="337" t="s">
        <v>771</v>
      </c>
      <c r="G166" s="337" t="s">
        <v>799</v>
      </c>
      <c r="H166" s="337" t="s">
        <v>800</v>
      </c>
      <c r="I166" s="337" t="s">
        <v>767</v>
      </c>
      <c r="J166" s="337" t="s">
        <v>765</v>
      </c>
      <c r="K166" s="337"/>
      <c r="L166" s="337"/>
      <c r="M166" s="337" t="s">
        <v>825</v>
      </c>
      <c r="N166" s="337" t="s">
        <v>781</v>
      </c>
      <c r="O166" s="337" t="e">
        <v>#N/A</v>
      </c>
      <c r="P166" s="337"/>
      <c r="Q166" s="337"/>
      <c r="R166" s="343">
        <v>-15293.83</v>
      </c>
    </row>
    <row r="167" spans="1:18" x14ac:dyDescent="0.2">
      <c r="A167" s="342" t="s">
        <v>727</v>
      </c>
      <c r="B167" s="337" t="s">
        <v>793</v>
      </c>
      <c r="C167" s="337" t="s">
        <v>795</v>
      </c>
      <c r="D167" s="337" t="s">
        <v>798</v>
      </c>
      <c r="E167" s="337" t="s">
        <v>790</v>
      </c>
      <c r="F167" s="337" t="s">
        <v>771</v>
      </c>
      <c r="G167" s="337" t="s">
        <v>799</v>
      </c>
      <c r="H167" s="337" t="s">
        <v>800</v>
      </c>
      <c r="I167" s="337" t="s">
        <v>767</v>
      </c>
      <c r="J167" s="337" t="s">
        <v>765</v>
      </c>
      <c r="K167" s="337"/>
      <c r="L167" s="337"/>
      <c r="M167" s="337" t="s">
        <v>825</v>
      </c>
      <c r="N167" s="337" t="s">
        <v>781</v>
      </c>
      <c r="O167" s="337" t="e">
        <v>#N/A</v>
      </c>
      <c r="P167" s="337"/>
      <c r="Q167" s="337"/>
      <c r="R167" s="343">
        <v>-9888.2900000000009</v>
      </c>
    </row>
    <row r="168" spans="1:18" x14ac:dyDescent="0.2">
      <c r="A168" s="342" t="s">
        <v>728</v>
      </c>
      <c r="B168" s="337" t="s">
        <v>793</v>
      </c>
      <c r="C168" s="337" t="s">
        <v>795</v>
      </c>
      <c r="D168" s="337" t="s">
        <v>798</v>
      </c>
      <c r="E168" s="337" t="s">
        <v>790</v>
      </c>
      <c r="F168" s="337" t="s">
        <v>771</v>
      </c>
      <c r="G168" s="337" t="s">
        <v>799</v>
      </c>
      <c r="H168" s="337" t="s">
        <v>800</v>
      </c>
      <c r="I168" s="337" t="s">
        <v>767</v>
      </c>
      <c r="J168" s="337" t="s">
        <v>765</v>
      </c>
      <c r="K168" s="337"/>
      <c r="L168" s="337"/>
      <c r="M168" s="337" t="s">
        <v>826</v>
      </c>
      <c r="N168" s="337" t="s">
        <v>758</v>
      </c>
      <c r="O168" s="337" t="e">
        <v>#N/A</v>
      </c>
      <c r="P168" s="337"/>
      <c r="Q168" s="337"/>
      <c r="R168" s="343">
        <v>-172.2</v>
      </c>
    </row>
    <row r="169" spans="1:18" x14ac:dyDescent="0.2">
      <c r="A169" s="342" t="s">
        <v>730</v>
      </c>
      <c r="B169" s="337" t="s">
        <v>793</v>
      </c>
      <c r="C169" s="337" t="s">
        <v>795</v>
      </c>
      <c r="D169" s="337" t="s">
        <v>798</v>
      </c>
      <c r="E169" s="337" t="s">
        <v>790</v>
      </c>
      <c r="F169" s="337" t="s">
        <v>771</v>
      </c>
      <c r="G169" s="337" t="s">
        <v>799</v>
      </c>
      <c r="H169" s="337" t="s">
        <v>800</v>
      </c>
      <c r="I169" s="337" t="s">
        <v>767</v>
      </c>
      <c r="J169" s="337" t="s">
        <v>765</v>
      </c>
      <c r="K169" s="337"/>
      <c r="L169" s="337"/>
      <c r="M169" s="337" t="s">
        <v>826</v>
      </c>
      <c r="N169" s="337" t="s">
        <v>758</v>
      </c>
      <c r="O169" s="337" t="e">
        <v>#N/A</v>
      </c>
      <c r="P169" s="337"/>
      <c r="Q169" s="337"/>
      <c r="R169" s="343">
        <v>-930.61</v>
      </c>
    </row>
    <row r="170" spans="1:18" x14ac:dyDescent="0.2">
      <c r="A170" s="342" t="s">
        <v>731</v>
      </c>
      <c r="B170" s="337" t="s">
        <v>793</v>
      </c>
      <c r="C170" s="337" t="s">
        <v>795</v>
      </c>
      <c r="D170" s="337" t="s">
        <v>798</v>
      </c>
      <c r="E170" s="337" t="s">
        <v>790</v>
      </c>
      <c r="F170" s="337" t="s">
        <v>771</v>
      </c>
      <c r="G170" s="337" t="s">
        <v>799</v>
      </c>
      <c r="H170" s="337" t="s">
        <v>800</v>
      </c>
      <c r="I170" s="337" t="s">
        <v>767</v>
      </c>
      <c r="J170" s="337" t="s">
        <v>765</v>
      </c>
      <c r="K170" s="337"/>
      <c r="L170" s="337"/>
      <c r="M170" s="337" t="s">
        <v>826</v>
      </c>
      <c r="N170" s="337" t="s">
        <v>758</v>
      </c>
      <c r="O170" s="337" t="e">
        <v>#N/A</v>
      </c>
      <c r="P170" s="337"/>
      <c r="Q170" s="337"/>
      <c r="R170" s="343">
        <v>-1030.2</v>
      </c>
    </row>
    <row r="171" spans="1:18" x14ac:dyDescent="0.2">
      <c r="A171" s="342" t="s">
        <v>732</v>
      </c>
      <c r="B171" s="337" t="s">
        <v>793</v>
      </c>
      <c r="C171" s="337" t="s">
        <v>795</v>
      </c>
      <c r="D171" s="337" t="s">
        <v>798</v>
      </c>
      <c r="E171" s="337" t="s">
        <v>790</v>
      </c>
      <c r="F171" s="337" t="s">
        <v>771</v>
      </c>
      <c r="G171" s="337" t="s">
        <v>799</v>
      </c>
      <c r="H171" s="337" t="s">
        <v>800</v>
      </c>
      <c r="I171" s="337" t="s">
        <v>767</v>
      </c>
      <c r="J171" s="337" t="s">
        <v>765</v>
      </c>
      <c r="K171" s="337"/>
      <c r="L171" s="337"/>
      <c r="M171" s="337" t="s">
        <v>826</v>
      </c>
      <c r="N171" s="337" t="s">
        <v>758</v>
      </c>
      <c r="O171" s="337" t="e">
        <v>#N/A</v>
      </c>
      <c r="P171" s="337"/>
      <c r="Q171" s="337"/>
      <c r="R171" s="343">
        <v>-1226.22</v>
      </c>
    </row>
    <row r="172" spans="1:18" x14ac:dyDescent="0.2">
      <c r="A172" s="342" t="s">
        <v>726</v>
      </c>
      <c r="B172" s="337" t="s">
        <v>793</v>
      </c>
      <c r="C172" s="337" t="s">
        <v>795</v>
      </c>
      <c r="D172" s="337" t="s">
        <v>798</v>
      </c>
      <c r="E172" s="337" t="s">
        <v>790</v>
      </c>
      <c r="F172" s="337" t="s">
        <v>771</v>
      </c>
      <c r="G172" s="337" t="s">
        <v>799</v>
      </c>
      <c r="H172" s="337" t="s">
        <v>800</v>
      </c>
      <c r="I172" s="337" t="s">
        <v>767</v>
      </c>
      <c r="J172" s="337" t="s">
        <v>765</v>
      </c>
      <c r="K172" s="337"/>
      <c r="L172" s="337"/>
      <c r="M172" s="337" t="s">
        <v>826</v>
      </c>
      <c r="N172" s="337" t="s">
        <v>758</v>
      </c>
      <c r="O172" s="337" t="e">
        <v>#N/A</v>
      </c>
      <c r="P172" s="337"/>
      <c r="Q172" s="337"/>
      <c r="R172" s="343">
        <v>-1339.66</v>
      </c>
    </row>
    <row r="173" spans="1:18" x14ac:dyDescent="0.2">
      <c r="A173" s="342" t="s">
        <v>733</v>
      </c>
      <c r="B173" s="337" t="s">
        <v>793</v>
      </c>
      <c r="C173" s="337" t="s">
        <v>795</v>
      </c>
      <c r="D173" s="337" t="s">
        <v>798</v>
      </c>
      <c r="E173" s="337" t="s">
        <v>790</v>
      </c>
      <c r="F173" s="337" t="s">
        <v>771</v>
      </c>
      <c r="G173" s="337" t="s">
        <v>799</v>
      </c>
      <c r="H173" s="337" t="s">
        <v>800</v>
      </c>
      <c r="I173" s="337" t="s">
        <v>767</v>
      </c>
      <c r="J173" s="337" t="s">
        <v>765</v>
      </c>
      <c r="K173" s="337"/>
      <c r="L173" s="337"/>
      <c r="M173" s="337" t="s">
        <v>826</v>
      </c>
      <c r="N173" s="337" t="s">
        <v>758</v>
      </c>
      <c r="O173" s="337" t="e">
        <v>#N/A</v>
      </c>
      <c r="P173" s="337"/>
      <c r="Q173" s="337"/>
      <c r="R173" s="343">
        <v>-7987.12</v>
      </c>
    </row>
    <row r="174" spans="1:18" x14ac:dyDescent="0.2">
      <c r="A174" s="342" t="s">
        <v>734</v>
      </c>
      <c r="B174" s="337" t="s">
        <v>793</v>
      </c>
      <c r="C174" s="337" t="s">
        <v>795</v>
      </c>
      <c r="D174" s="337" t="s">
        <v>798</v>
      </c>
      <c r="E174" s="337" t="s">
        <v>790</v>
      </c>
      <c r="F174" s="337" t="s">
        <v>771</v>
      </c>
      <c r="G174" s="337" t="s">
        <v>799</v>
      </c>
      <c r="H174" s="337" t="s">
        <v>800</v>
      </c>
      <c r="I174" s="337" t="s">
        <v>767</v>
      </c>
      <c r="J174" s="337" t="s">
        <v>765</v>
      </c>
      <c r="K174" s="337"/>
      <c r="L174" s="337"/>
      <c r="M174" s="337" t="s">
        <v>826</v>
      </c>
      <c r="N174" s="337" t="s">
        <v>758</v>
      </c>
      <c r="O174" s="337" t="e">
        <v>#N/A</v>
      </c>
      <c r="P174" s="337"/>
      <c r="Q174" s="337"/>
      <c r="R174" s="343">
        <v>-943.01</v>
      </c>
    </row>
    <row r="175" spans="1:18" x14ac:dyDescent="0.2">
      <c r="A175" s="342" t="s">
        <v>735</v>
      </c>
      <c r="B175" s="337" t="s">
        <v>793</v>
      </c>
      <c r="C175" s="337" t="s">
        <v>795</v>
      </c>
      <c r="D175" s="337" t="s">
        <v>798</v>
      </c>
      <c r="E175" s="337" t="s">
        <v>790</v>
      </c>
      <c r="F175" s="337" t="s">
        <v>771</v>
      </c>
      <c r="G175" s="337" t="s">
        <v>799</v>
      </c>
      <c r="H175" s="337" t="s">
        <v>800</v>
      </c>
      <c r="I175" s="337" t="s">
        <v>767</v>
      </c>
      <c r="J175" s="337" t="s">
        <v>765</v>
      </c>
      <c r="K175" s="337"/>
      <c r="L175" s="337"/>
      <c r="M175" s="337" t="s">
        <v>826</v>
      </c>
      <c r="N175" s="337" t="s">
        <v>758</v>
      </c>
      <c r="O175" s="337" t="e">
        <v>#N/A</v>
      </c>
      <c r="P175" s="337"/>
      <c r="Q175" s="337"/>
      <c r="R175" s="343">
        <v>-1716.28</v>
      </c>
    </row>
    <row r="176" spans="1:18" x14ac:dyDescent="0.2">
      <c r="A176" s="342" t="s">
        <v>736</v>
      </c>
      <c r="B176" s="337" t="s">
        <v>793</v>
      </c>
      <c r="C176" s="337" t="s">
        <v>795</v>
      </c>
      <c r="D176" s="337" t="s">
        <v>798</v>
      </c>
      <c r="E176" s="337" t="s">
        <v>790</v>
      </c>
      <c r="F176" s="337" t="s">
        <v>771</v>
      </c>
      <c r="G176" s="337" t="s">
        <v>799</v>
      </c>
      <c r="H176" s="337" t="s">
        <v>800</v>
      </c>
      <c r="I176" s="337" t="s">
        <v>767</v>
      </c>
      <c r="J176" s="337" t="s">
        <v>765</v>
      </c>
      <c r="K176" s="337"/>
      <c r="L176" s="337"/>
      <c r="M176" s="337" t="s">
        <v>826</v>
      </c>
      <c r="N176" s="337" t="s">
        <v>758</v>
      </c>
      <c r="O176" s="337" t="e">
        <v>#N/A</v>
      </c>
      <c r="P176" s="337"/>
      <c r="Q176" s="337"/>
      <c r="R176" s="343">
        <v>-1382.49</v>
      </c>
    </row>
    <row r="177" spans="1:18" x14ac:dyDescent="0.2">
      <c r="A177" s="342" t="s">
        <v>737</v>
      </c>
      <c r="B177" s="337" t="s">
        <v>793</v>
      </c>
      <c r="C177" s="337" t="s">
        <v>795</v>
      </c>
      <c r="D177" s="337" t="s">
        <v>798</v>
      </c>
      <c r="E177" s="337" t="s">
        <v>790</v>
      </c>
      <c r="F177" s="337" t="s">
        <v>771</v>
      </c>
      <c r="G177" s="337" t="s">
        <v>799</v>
      </c>
      <c r="H177" s="337" t="s">
        <v>800</v>
      </c>
      <c r="I177" s="337" t="s">
        <v>767</v>
      </c>
      <c r="J177" s="337" t="s">
        <v>765</v>
      </c>
      <c r="K177" s="337"/>
      <c r="L177" s="337"/>
      <c r="M177" s="337" t="s">
        <v>826</v>
      </c>
      <c r="N177" s="337" t="s">
        <v>758</v>
      </c>
      <c r="O177" s="337" t="e">
        <v>#N/A</v>
      </c>
      <c r="P177" s="337"/>
      <c r="Q177" s="337"/>
      <c r="R177" s="343">
        <v>-3859.38</v>
      </c>
    </row>
    <row r="178" spans="1:18" x14ac:dyDescent="0.2">
      <c r="A178" s="342" t="s">
        <v>738</v>
      </c>
      <c r="B178" s="337" t="s">
        <v>793</v>
      </c>
      <c r="C178" s="337" t="s">
        <v>795</v>
      </c>
      <c r="D178" s="337" t="s">
        <v>798</v>
      </c>
      <c r="E178" s="337" t="s">
        <v>790</v>
      </c>
      <c r="F178" s="337" t="s">
        <v>771</v>
      </c>
      <c r="G178" s="337" t="s">
        <v>799</v>
      </c>
      <c r="H178" s="337" t="s">
        <v>800</v>
      </c>
      <c r="I178" s="337" t="s">
        <v>767</v>
      </c>
      <c r="J178" s="337" t="s">
        <v>765</v>
      </c>
      <c r="K178" s="337"/>
      <c r="L178" s="337"/>
      <c r="M178" s="337" t="s">
        <v>826</v>
      </c>
      <c r="N178" s="337" t="s">
        <v>758</v>
      </c>
      <c r="O178" s="337" t="e">
        <v>#N/A</v>
      </c>
      <c r="P178" s="337"/>
      <c r="Q178" s="337"/>
      <c r="R178" s="343">
        <v>-2299.1</v>
      </c>
    </row>
    <row r="179" spans="1:18" x14ac:dyDescent="0.2">
      <c r="A179" s="342" t="s">
        <v>727</v>
      </c>
      <c r="B179" s="337" t="s">
        <v>793</v>
      </c>
      <c r="C179" s="337" t="s">
        <v>795</v>
      </c>
      <c r="D179" s="337" t="s">
        <v>798</v>
      </c>
      <c r="E179" s="337" t="s">
        <v>790</v>
      </c>
      <c r="F179" s="337" t="s">
        <v>771</v>
      </c>
      <c r="G179" s="337" t="s">
        <v>799</v>
      </c>
      <c r="H179" s="337" t="s">
        <v>800</v>
      </c>
      <c r="I179" s="337" t="s">
        <v>767</v>
      </c>
      <c r="J179" s="337" t="s">
        <v>765</v>
      </c>
      <c r="K179" s="337"/>
      <c r="L179" s="337"/>
      <c r="M179" s="337" t="s">
        <v>826</v>
      </c>
      <c r="N179" s="337" t="s">
        <v>758</v>
      </c>
      <c r="O179" s="337" t="e">
        <v>#N/A</v>
      </c>
      <c r="P179" s="337"/>
      <c r="Q179" s="337"/>
      <c r="R179" s="343">
        <v>25.76</v>
      </c>
    </row>
    <row r="180" spans="1:18" x14ac:dyDescent="0.2">
      <c r="A180" s="342" t="s">
        <v>728</v>
      </c>
      <c r="B180" s="337" t="s">
        <v>793</v>
      </c>
      <c r="C180" s="337" t="s">
        <v>795</v>
      </c>
      <c r="D180" s="337" t="s">
        <v>798</v>
      </c>
      <c r="E180" s="337" t="s">
        <v>790</v>
      </c>
      <c r="F180" s="337" t="s">
        <v>771</v>
      </c>
      <c r="G180" s="337" t="s">
        <v>799</v>
      </c>
      <c r="H180" s="337" t="s">
        <v>800</v>
      </c>
      <c r="I180" s="337" t="s">
        <v>767</v>
      </c>
      <c r="J180" s="337" t="s">
        <v>765</v>
      </c>
      <c r="K180" s="337"/>
      <c r="L180" s="337"/>
      <c r="M180" s="337" t="s">
        <v>827</v>
      </c>
      <c r="N180" s="337" t="s">
        <v>828</v>
      </c>
      <c r="O180" s="337" t="e">
        <v>#N/A</v>
      </c>
      <c r="P180" s="337"/>
      <c r="Q180" s="337"/>
      <c r="R180" s="343">
        <v>-5540.31</v>
      </c>
    </row>
    <row r="181" spans="1:18" x14ac:dyDescent="0.2">
      <c r="A181" s="342" t="s">
        <v>730</v>
      </c>
      <c r="B181" s="337" t="s">
        <v>793</v>
      </c>
      <c r="C181" s="337" t="s">
        <v>795</v>
      </c>
      <c r="D181" s="337" t="s">
        <v>798</v>
      </c>
      <c r="E181" s="337" t="s">
        <v>790</v>
      </c>
      <c r="F181" s="337" t="s">
        <v>771</v>
      </c>
      <c r="G181" s="337" t="s">
        <v>799</v>
      </c>
      <c r="H181" s="337" t="s">
        <v>800</v>
      </c>
      <c r="I181" s="337" t="s">
        <v>767</v>
      </c>
      <c r="J181" s="337" t="s">
        <v>765</v>
      </c>
      <c r="K181" s="337"/>
      <c r="L181" s="337"/>
      <c r="M181" s="337" t="s">
        <v>827</v>
      </c>
      <c r="N181" s="337" t="s">
        <v>828</v>
      </c>
      <c r="O181" s="337" t="e">
        <v>#N/A</v>
      </c>
      <c r="P181" s="337"/>
      <c r="Q181" s="337"/>
      <c r="R181" s="343">
        <v>-83465.14</v>
      </c>
    </row>
    <row r="182" spans="1:18" x14ac:dyDescent="0.2">
      <c r="A182" s="342" t="s">
        <v>731</v>
      </c>
      <c r="B182" s="337" t="s">
        <v>793</v>
      </c>
      <c r="C182" s="337" t="s">
        <v>795</v>
      </c>
      <c r="D182" s="337" t="s">
        <v>798</v>
      </c>
      <c r="E182" s="337" t="s">
        <v>790</v>
      </c>
      <c r="F182" s="337" t="s">
        <v>771</v>
      </c>
      <c r="G182" s="337" t="s">
        <v>799</v>
      </c>
      <c r="H182" s="337" t="s">
        <v>800</v>
      </c>
      <c r="I182" s="337" t="s">
        <v>767</v>
      </c>
      <c r="J182" s="337" t="s">
        <v>765</v>
      </c>
      <c r="K182" s="337"/>
      <c r="L182" s="337"/>
      <c r="M182" s="337" t="s">
        <v>827</v>
      </c>
      <c r="N182" s="337" t="s">
        <v>828</v>
      </c>
      <c r="O182" s="337" t="e">
        <v>#N/A</v>
      </c>
      <c r="P182" s="337"/>
      <c r="Q182" s="337"/>
      <c r="R182" s="343">
        <v>-28390.720000000001</v>
      </c>
    </row>
    <row r="183" spans="1:18" x14ac:dyDescent="0.2">
      <c r="A183" s="342" t="s">
        <v>732</v>
      </c>
      <c r="B183" s="337" t="s">
        <v>793</v>
      </c>
      <c r="C183" s="337" t="s">
        <v>795</v>
      </c>
      <c r="D183" s="337" t="s">
        <v>798</v>
      </c>
      <c r="E183" s="337" t="s">
        <v>790</v>
      </c>
      <c r="F183" s="337" t="s">
        <v>771</v>
      </c>
      <c r="G183" s="337" t="s">
        <v>799</v>
      </c>
      <c r="H183" s="337" t="s">
        <v>800</v>
      </c>
      <c r="I183" s="337" t="s">
        <v>767</v>
      </c>
      <c r="J183" s="337" t="s">
        <v>765</v>
      </c>
      <c r="K183" s="337"/>
      <c r="L183" s="337"/>
      <c r="M183" s="337" t="s">
        <v>827</v>
      </c>
      <c r="N183" s="337" t="s">
        <v>828</v>
      </c>
      <c r="O183" s="337" t="e">
        <v>#N/A</v>
      </c>
      <c r="P183" s="337"/>
      <c r="Q183" s="337"/>
      <c r="R183" s="343">
        <v>-21962.54</v>
      </c>
    </row>
    <row r="184" spans="1:18" x14ac:dyDescent="0.2">
      <c r="A184" s="342" t="s">
        <v>726</v>
      </c>
      <c r="B184" s="337" t="s">
        <v>793</v>
      </c>
      <c r="C184" s="337" t="s">
        <v>795</v>
      </c>
      <c r="D184" s="337" t="s">
        <v>798</v>
      </c>
      <c r="E184" s="337" t="s">
        <v>790</v>
      </c>
      <c r="F184" s="337" t="s">
        <v>771</v>
      </c>
      <c r="G184" s="337" t="s">
        <v>799</v>
      </c>
      <c r="H184" s="337" t="s">
        <v>800</v>
      </c>
      <c r="I184" s="337" t="s">
        <v>767</v>
      </c>
      <c r="J184" s="337" t="s">
        <v>765</v>
      </c>
      <c r="K184" s="337"/>
      <c r="L184" s="337"/>
      <c r="M184" s="337" t="s">
        <v>827</v>
      </c>
      <c r="N184" s="337" t="s">
        <v>828</v>
      </c>
      <c r="O184" s="337" t="e">
        <v>#N/A</v>
      </c>
      <c r="P184" s="337"/>
      <c r="Q184" s="337"/>
      <c r="R184" s="343">
        <v>-14073.96</v>
      </c>
    </row>
    <row r="185" spans="1:18" x14ac:dyDescent="0.2">
      <c r="A185" s="342" t="s">
        <v>733</v>
      </c>
      <c r="B185" s="337" t="s">
        <v>793</v>
      </c>
      <c r="C185" s="337" t="s">
        <v>795</v>
      </c>
      <c r="D185" s="337" t="s">
        <v>798</v>
      </c>
      <c r="E185" s="337" t="s">
        <v>790</v>
      </c>
      <c r="F185" s="337" t="s">
        <v>771</v>
      </c>
      <c r="G185" s="337" t="s">
        <v>799</v>
      </c>
      <c r="H185" s="337" t="s">
        <v>800</v>
      </c>
      <c r="I185" s="337" t="s">
        <v>767</v>
      </c>
      <c r="J185" s="337" t="s">
        <v>765</v>
      </c>
      <c r="K185" s="337"/>
      <c r="L185" s="337"/>
      <c r="M185" s="337" t="s">
        <v>827</v>
      </c>
      <c r="N185" s="337" t="s">
        <v>828</v>
      </c>
      <c r="O185" s="337" t="e">
        <v>#N/A</v>
      </c>
      <c r="P185" s="337"/>
      <c r="Q185" s="337"/>
      <c r="R185" s="343">
        <v>-8313.83</v>
      </c>
    </row>
    <row r="186" spans="1:18" x14ac:dyDescent="0.2">
      <c r="A186" s="342" t="s">
        <v>734</v>
      </c>
      <c r="B186" s="337" t="s">
        <v>793</v>
      </c>
      <c r="C186" s="337" t="s">
        <v>795</v>
      </c>
      <c r="D186" s="337" t="s">
        <v>798</v>
      </c>
      <c r="E186" s="337" t="s">
        <v>790</v>
      </c>
      <c r="F186" s="337" t="s">
        <v>771</v>
      </c>
      <c r="G186" s="337" t="s">
        <v>799</v>
      </c>
      <c r="H186" s="337" t="s">
        <v>800</v>
      </c>
      <c r="I186" s="337" t="s">
        <v>767</v>
      </c>
      <c r="J186" s="337" t="s">
        <v>765</v>
      </c>
      <c r="K186" s="337"/>
      <c r="L186" s="337"/>
      <c r="M186" s="337" t="s">
        <v>827</v>
      </c>
      <c r="N186" s="337" t="s">
        <v>828</v>
      </c>
      <c r="O186" s="337" t="e">
        <v>#N/A</v>
      </c>
      <c r="P186" s="337"/>
      <c r="Q186" s="337"/>
      <c r="R186" s="343">
        <v>-140222.85999999999</v>
      </c>
    </row>
    <row r="187" spans="1:18" x14ac:dyDescent="0.2">
      <c r="A187" s="342" t="s">
        <v>735</v>
      </c>
      <c r="B187" s="337" t="s">
        <v>793</v>
      </c>
      <c r="C187" s="337" t="s">
        <v>795</v>
      </c>
      <c r="D187" s="337" t="s">
        <v>798</v>
      </c>
      <c r="E187" s="337" t="s">
        <v>790</v>
      </c>
      <c r="F187" s="337" t="s">
        <v>771</v>
      </c>
      <c r="G187" s="337" t="s">
        <v>799</v>
      </c>
      <c r="H187" s="337" t="s">
        <v>800</v>
      </c>
      <c r="I187" s="337" t="s">
        <v>767</v>
      </c>
      <c r="J187" s="337" t="s">
        <v>765</v>
      </c>
      <c r="K187" s="337"/>
      <c r="L187" s="337"/>
      <c r="M187" s="337" t="s">
        <v>827</v>
      </c>
      <c r="N187" s="337" t="s">
        <v>828</v>
      </c>
      <c r="O187" s="337" t="e">
        <v>#N/A</v>
      </c>
      <c r="P187" s="337"/>
      <c r="Q187" s="337"/>
      <c r="R187" s="343">
        <v>-41478.49</v>
      </c>
    </row>
    <row r="188" spans="1:18" x14ac:dyDescent="0.2">
      <c r="A188" s="342" t="s">
        <v>736</v>
      </c>
      <c r="B188" s="337" t="s">
        <v>793</v>
      </c>
      <c r="C188" s="337" t="s">
        <v>795</v>
      </c>
      <c r="D188" s="337" t="s">
        <v>798</v>
      </c>
      <c r="E188" s="337" t="s">
        <v>790</v>
      </c>
      <c r="F188" s="337" t="s">
        <v>771</v>
      </c>
      <c r="G188" s="337" t="s">
        <v>799</v>
      </c>
      <c r="H188" s="337" t="s">
        <v>800</v>
      </c>
      <c r="I188" s="337" t="s">
        <v>767</v>
      </c>
      <c r="J188" s="337" t="s">
        <v>765</v>
      </c>
      <c r="K188" s="337"/>
      <c r="L188" s="337"/>
      <c r="M188" s="337" t="s">
        <v>827</v>
      </c>
      <c r="N188" s="337" t="s">
        <v>828</v>
      </c>
      <c r="O188" s="337" t="e">
        <v>#N/A</v>
      </c>
      <c r="P188" s="337"/>
      <c r="Q188" s="337"/>
      <c r="R188" s="343">
        <v>-321954.99</v>
      </c>
    </row>
    <row r="189" spans="1:18" x14ac:dyDescent="0.2">
      <c r="A189" s="342" t="s">
        <v>737</v>
      </c>
      <c r="B189" s="337" t="s">
        <v>793</v>
      </c>
      <c r="C189" s="337" t="s">
        <v>795</v>
      </c>
      <c r="D189" s="337" t="s">
        <v>798</v>
      </c>
      <c r="E189" s="337" t="s">
        <v>790</v>
      </c>
      <c r="F189" s="337" t="s">
        <v>771</v>
      </c>
      <c r="G189" s="337" t="s">
        <v>799</v>
      </c>
      <c r="H189" s="337" t="s">
        <v>800</v>
      </c>
      <c r="I189" s="337" t="s">
        <v>767</v>
      </c>
      <c r="J189" s="337" t="s">
        <v>765</v>
      </c>
      <c r="K189" s="337"/>
      <c r="L189" s="337"/>
      <c r="M189" s="337" t="s">
        <v>827</v>
      </c>
      <c r="N189" s="337" t="s">
        <v>828</v>
      </c>
      <c r="O189" s="337" t="e">
        <v>#N/A</v>
      </c>
      <c r="P189" s="337"/>
      <c r="Q189" s="337"/>
      <c r="R189" s="343">
        <v>-37862.949999999997</v>
      </c>
    </row>
    <row r="190" spans="1:18" x14ac:dyDescent="0.2">
      <c r="A190" s="342" t="s">
        <v>738</v>
      </c>
      <c r="B190" s="337" t="s">
        <v>793</v>
      </c>
      <c r="C190" s="337" t="s">
        <v>795</v>
      </c>
      <c r="D190" s="337" t="s">
        <v>798</v>
      </c>
      <c r="E190" s="337" t="s">
        <v>790</v>
      </c>
      <c r="F190" s="337" t="s">
        <v>771</v>
      </c>
      <c r="G190" s="337" t="s">
        <v>799</v>
      </c>
      <c r="H190" s="337" t="s">
        <v>800</v>
      </c>
      <c r="I190" s="337" t="s">
        <v>767</v>
      </c>
      <c r="J190" s="337" t="s">
        <v>765</v>
      </c>
      <c r="K190" s="337"/>
      <c r="L190" s="337"/>
      <c r="M190" s="337" t="s">
        <v>827</v>
      </c>
      <c r="N190" s="337" t="s">
        <v>828</v>
      </c>
      <c r="O190" s="337" t="e">
        <v>#N/A</v>
      </c>
      <c r="P190" s="337"/>
      <c r="Q190" s="337"/>
      <c r="R190" s="343">
        <v>-13438.16</v>
      </c>
    </row>
    <row r="191" spans="1:18" hidden="1" x14ac:dyDescent="0.2">
      <c r="A191" s="342" t="s">
        <v>727</v>
      </c>
      <c r="B191" s="337" t="s">
        <v>793</v>
      </c>
      <c r="C191" s="337" t="s">
        <v>795</v>
      </c>
      <c r="D191" s="337" t="s">
        <v>798</v>
      </c>
      <c r="E191" s="337" t="s">
        <v>790</v>
      </c>
      <c r="F191" s="337" t="s">
        <v>771</v>
      </c>
      <c r="G191" s="337" t="s">
        <v>799</v>
      </c>
      <c r="H191" s="337" t="s">
        <v>800</v>
      </c>
      <c r="I191" s="337" t="s">
        <v>767</v>
      </c>
      <c r="J191" s="337" t="s">
        <v>765</v>
      </c>
      <c r="K191" s="337"/>
      <c r="L191" s="337"/>
      <c r="M191" s="337" t="s">
        <v>827</v>
      </c>
      <c r="N191" s="337" t="s">
        <v>828</v>
      </c>
      <c r="O191" s="337" t="e">
        <v>#N/A</v>
      </c>
      <c r="P191" s="337"/>
      <c r="Q191" s="337"/>
      <c r="R191" s="343">
        <v>-24853.48</v>
      </c>
    </row>
    <row r="192" spans="1:18" x14ac:dyDescent="0.2">
      <c r="A192" s="342" t="s">
        <v>732</v>
      </c>
      <c r="B192" s="337" t="s">
        <v>793</v>
      </c>
      <c r="C192" s="337" t="s">
        <v>795</v>
      </c>
      <c r="D192" s="337" t="s">
        <v>798</v>
      </c>
      <c r="E192" s="337" t="s">
        <v>790</v>
      </c>
      <c r="F192" s="337" t="s">
        <v>771</v>
      </c>
      <c r="G192" s="337" t="s">
        <v>799</v>
      </c>
      <c r="H192" s="337" t="s">
        <v>800</v>
      </c>
      <c r="I192" s="337" t="s">
        <v>767</v>
      </c>
      <c r="J192" s="337" t="s">
        <v>765</v>
      </c>
      <c r="K192" s="337"/>
      <c r="L192" s="337"/>
      <c r="M192" s="337" t="s">
        <v>829</v>
      </c>
      <c r="N192" s="337" t="s">
        <v>830</v>
      </c>
      <c r="O192" s="337" t="e">
        <v>#N/A</v>
      </c>
      <c r="P192" s="337"/>
      <c r="Q192" s="337"/>
      <c r="R192" s="343">
        <v>-868.32</v>
      </c>
    </row>
    <row r="193" spans="1:18" x14ac:dyDescent="0.2">
      <c r="A193" s="342" t="s">
        <v>726</v>
      </c>
      <c r="B193" s="337" t="s">
        <v>793</v>
      </c>
      <c r="C193" s="337" t="s">
        <v>795</v>
      </c>
      <c r="D193" s="337" t="s">
        <v>798</v>
      </c>
      <c r="E193" s="337" t="s">
        <v>790</v>
      </c>
      <c r="F193" s="337" t="s">
        <v>771</v>
      </c>
      <c r="G193" s="337" t="s">
        <v>799</v>
      </c>
      <c r="H193" s="337" t="s">
        <v>800</v>
      </c>
      <c r="I193" s="337" t="s">
        <v>767</v>
      </c>
      <c r="J193" s="337" t="s">
        <v>765</v>
      </c>
      <c r="K193" s="337"/>
      <c r="L193" s="337"/>
      <c r="M193" s="337" t="s">
        <v>829</v>
      </c>
      <c r="N193" s="337" t="s">
        <v>830</v>
      </c>
      <c r="O193" s="337" t="e">
        <v>#N/A</v>
      </c>
      <c r="P193" s="337"/>
      <c r="Q193" s="337"/>
      <c r="R193" s="343">
        <v>-160.94</v>
      </c>
    </row>
    <row r="194" spans="1:18" x14ac:dyDescent="0.2">
      <c r="A194" s="342" t="s">
        <v>734</v>
      </c>
      <c r="B194" s="337" t="s">
        <v>793</v>
      </c>
      <c r="C194" s="337" t="s">
        <v>795</v>
      </c>
      <c r="D194" s="337" t="s">
        <v>798</v>
      </c>
      <c r="E194" s="337" t="s">
        <v>790</v>
      </c>
      <c r="F194" s="337" t="s">
        <v>771</v>
      </c>
      <c r="G194" s="337" t="s">
        <v>799</v>
      </c>
      <c r="H194" s="337" t="s">
        <v>800</v>
      </c>
      <c r="I194" s="337" t="s">
        <v>767</v>
      </c>
      <c r="J194" s="337" t="s">
        <v>765</v>
      </c>
      <c r="K194" s="337"/>
      <c r="L194" s="337"/>
      <c r="M194" s="337" t="s">
        <v>829</v>
      </c>
      <c r="N194" s="337" t="s">
        <v>830</v>
      </c>
      <c r="O194" s="337" t="e">
        <v>#N/A</v>
      </c>
      <c r="P194" s="337"/>
      <c r="Q194" s="337"/>
      <c r="R194" s="343">
        <v>-78.05</v>
      </c>
    </row>
    <row r="195" spans="1:18" x14ac:dyDescent="0.2">
      <c r="A195" s="342" t="s">
        <v>735</v>
      </c>
      <c r="B195" s="337" t="s">
        <v>793</v>
      </c>
      <c r="C195" s="337" t="s">
        <v>795</v>
      </c>
      <c r="D195" s="337" t="s">
        <v>798</v>
      </c>
      <c r="E195" s="337" t="s">
        <v>790</v>
      </c>
      <c r="F195" s="337" t="s">
        <v>771</v>
      </c>
      <c r="G195" s="337" t="s">
        <v>799</v>
      </c>
      <c r="H195" s="337" t="s">
        <v>800</v>
      </c>
      <c r="I195" s="337" t="s">
        <v>767</v>
      </c>
      <c r="J195" s="337" t="s">
        <v>765</v>
      </c>
      <c r="K195" s="337"/>
      <c r="L195" s="337"/>
      <c r="M195" s="337" t="s">
        <v>829</v>
      </c>
      <c r="N195" s="337" t="s">
        <v>830</v>
      </c>
      <c r="O195" s="337" t="e">
        <v>#N/A</v>
      </c>
      <c r="P195" s="337"/>
      <c r="Q195" s="337"/>
      <c r="R195" s="343">
        <v>-108.52</v>
      </c>
    </row>
    <row r="196" spans="1:18" x14ac:dyDescent="0.2">
      <c r="A196" s="342" t="s">
        <v>736</v>
      </c>
      <c r="B196" s="337" t="s">
        <v>793</v>
      </c>
      <c r="C196" s="337" t="s">
        <v>795</v>
      </c>
      <c r="D196" s="337" t="s">
        <v>798</v>
      </c>
      <c r="E196" s="337" t="s">
        <v>790</v>
      </c>
      <c r="F196" s="337" t="s">
        <v>771</v>
      </c>
      <c r="G196" s="337" t="s">
        <v>799</v>
      </c>
      <c r="H196" s="337" t="s">
        <v>800</v>
      </c>
      <c r="I196" s="337" t="s">
        <v>767</v>
      </c>
      <c r="J196" s="337" t="s">
        <v>765</v>
      </c>
      <c r="K196" s="337"/>
      <c r="L196" s="337"/>
      <c r="M196" s="337" t="s">
        <v>829</v>
      </c>
      <c r="N196" s="337" t="s">
        <v>830</v>
      </c>
      <c r="O196" s="337" t="e">
        <v>#N/A</v>
      </c>
      <c r="P196" s="337"/>
      <c r="Q196" s="337"/>
      <c r="R196" s="343">
        <v>-89.64</v>
      </c>
    </row>
    <row r="197" spans="1:18" x14ac:dyDescent="0.2">
      <c r="A197" s="342" t="s">
        <v>738</v>
      </c>
      <c r="B197" s="337" t="s">
        <v>793</v>
      </c>
      <c r="C197" s="337" t="s">
        <v>795</v>
      </c>
      <c r="D197" s="337" t="s">
        <v>798</v>
      </c>
      <c r="E197" s="337" t="s">
        <v>790</v>
      </c>
      <c r="F197" s="337" t="s">
        <v>771</v>
      </c>
      <c r="G197" s="337" t="s">
        <v>799</v>
      </c>
      <c r="H197" s="337" t="s">
        <v>800</v>
      </c>
      <c r="I197" s="337" t="s">
        <v>767</v>
      </c>
      <c r="J197" s="337" t="s">
        <v>765</v>
      </c>
      <c r="K197" s="337"/>
      <c r="L197" s="337"/>
      <c r="M197" s="337" t="s">
        <v>829</v>
      </c>
      <c r="N197" s="337" t="s">
        <v>830</v>
      </c>
      <c r="O197" s="337" t="e">
        <v>#N/A</v>
      </c>
      <c r="P197" s="337"/>
      <c r="Q197" s="337"/>
      <c r="R197" s="343">
        <v>-362.47</v>
      </c>
    </row>
    <row r="198" spans="1:18" x14ac:dyDescent="0.2">
      <c r="A198" s="342" t="s">
        <v>728</v>
      </c>
      <c r="B198" s="337" t="s">
        <v>793</v>
      </c>
      <c r="C198" s="337" t="s">
        <v>795</v>
      </c>
      <c r="D198" s="337" t="s">
        <v>798</v>
      </c>
      <c r="E198" s="337" t="s">
        <v>790</v>
      </c>
      <c r="F198" s="337" t="s">
        <v>771</v>
      </c>
      <c r="G198" s="337" t="s">
        <v>799</v>
      </c>
      <c r="H198" s="337" t="s">
        <v>800</v>
      </c>
      <c r="I198" s="337" t="s">
        <v>831</v>
      </c>
      <c r="J198" s="337" t="s">
        <v>766</v>
      </c>
      <c r="K198" s="337"/>
      <c r="L198" s="337"/>
      <c r="M198" s="337" t="s">
        <v>808</v>
      </c>
      <c r="N198" s="337" t="s">
        <v>809</v>
      </c>
      <c r="O198" s="337" t="e">
        <v>#N/A</v>
      </c>
      <c r="P198" s="337"/>
      <c r="Q198" s="337"/>
      <c r="R198" s="343">
        <v>-95921.68</v>
      </c>
    </row>
    <row r="199" spans="1:18" x14ac:dyDescent="0.2">
      <c r="A199" s="342" t="s">
        <v>730</v>
      </c>
      <c r="B199" s="337" t="s">
        <v>793</v>
      </c>
      <c r="C199" s="337" t="s">
        <v>795</v>
      </c>
      <c r="D199" s="337" t="s">
        <v>798</v>
      </c>
      <c r="E199" s="337" t="s">
        <v>790</v>
      </c>
      <c r="F199" s="337" t="s">
        <v>771</v>
      </c>
      <c r="G199" s="337" t="s">
        <v>799</v>
      </c>
      <c r="H199" s="337" t="s">
        <v>800</v>
      </c>
      <c r="I199" s="337" t="s">
        <v>831</v>
      </c>
      <c r="J199" s="337" t="s">
        <v>766</v>
      </c>
      <c r="K199" s="337"/>
      <c r="L199" s="337"/>
      <c r="M199" s="337" t="s">
        <v>808</v>
      </c>
      <c r="N199" s="337" t="s">
        <v>809</v>
      </c>
      <c r="O199" s="337" t="e">
        <v>#N/A</v>
      </c>
      <c r="P199" s="337"/>
      <c r="Q199" s="337"/>
      <c r="R199" s="343">
        <v>-61922.14</v>
      </c>
    </row>
    <row r="200" spans="1:18" x14ac:dyDescent="0.2">
      <c r="A200" s="342" t="s">
        <v>731</v>
      </c>
      <c r="B200" s="337" t="s">
        <v>793</v>
      </c>
      <c r="C200" s="337" t="s">
        <v>795</v>
      </c>
      <c r="D200" s="337" t="s">
        <v>798</v>
      </c>
      <c r="E200" s="337" t="s">
        <v>790</v>
      </c>
      <c r="F200" s="337" t="s">
        <v>771</v>
      </c>
      <c r="G200" s="337" t="s">
        <v>799</v>
      </c>
      <c r="H200" s="337" t="s">
        <v>800</v>
      </c>
      <c r="I200" s="337" t="s">
        <v>831</v>
      </c>
      <c r="J200" s="337" t="s">
        <v>766</v>
      </c>
      <c r="K200" s="337"/>
      <c r="L200" s="337"/>
      <c r="M200" s="337" t="s">
        <v>832</v>
      </c>
      <c r="N200" s="337" t="s">
        <v>833</v>
      </c>
      <c r="O200" s="337" t="e">
        <v>#N/A</v>
      </c>
      <c r="P200" s="337"/>
      <c r="Q200" s="337"/>
      <c r="R200" s="343">
        <v>-65226.06</v>
      </c>
    </row>
    <row r="201" spans="1:18" x14ac:dyDescent="0.2">
      <c r="A201" s="342" t="s">
        <v>732</v>
      </c>
      <c r="B201" s="337" t="s">
        <v>793</v>
      </c>
      <c r="C201" s="337" t="s">
        <v>795</v>
      </c>
      <c r="D201" s="337" t="s">
        <v>798</v>
      </c>
      <c r="E201" s="337" t="s">
        <v>790</v>
      </c>
      <c r="F201" s="337" t="s">
        <v>771</v>
      </c>
      <c r="G201" s="337" t="s">
        <v>799</v>
      </c>
      <c r="H201" s="337" t="s">
        <v>800</v>
      </c>
      <c r="I201" s="337" t="s">
        <v>831</v>
      </c>
      <c r="J201" s="337" t="s">
        <v>766</v>
      </c>
      <c r="K201" s="337"/>
      <c r="L201" s="337"/>
      <c r="M201" s="337" t="s">
        <v>832</v>
      </c>
      <c r="N201" s="337" t="s">
        <v>833</v>
      </c>
      <c r="O201" s="337" t="e">
        <v>#N/A</v>
      </c>
      <c r="P201" s="337"/>
      <c r="Q201" s="337"/>
      <c r="R201" s="343">
        <v>-67032.679999999993</v>
      </c>
    </row>
    <row r="202" spans="1:18" x14ac:dyDescent="0.2">
      <c r="A202" s="342" t="s">
        <v>726</v>
      </c>
      <c r="B202" s="337" t="s">
        <v>793</v>
      </c>
      <c r="C202" s="337" t="s">
        <v>795</v>
      </c>
      <c r="D202" s="337" t="s">
        <v>798</v>
      </c>
      <c r="E202" s="337" t="s">
        <v>790</v>
      </c>
      <c r="F202" s="337" t="s">
        <v>771</v>
      </c>
      <c r="G202" s="337" t="s">
        <v>799</v>
      </c>
      <c r="H202" s="337" t="s">
        <v>800</v>
      </c>
      <c r="I202" s="337" t="s">
        <v>831</v>
      </c>
      <c r="J202" s="337" t="s">
        <v>766</v>
      </c>
      <c r="K202" s="337"/>
      <c r="L202" s="337"/>
      <c r="M202" s="337" t="s">
        <v>832</v>
      </c>
      <c r="N202" s="337" t="s">
        <v>833</v>
      </c>
      <c r="O202" s="337" t="e">
        <v>#N/A</v>
      </c>
      <c r="P202" s="337"/>
      <c r="Q202" s="337"/>
      <c r="R202" s="343">
        <v>-94961.44</v>
      </c>
    </row>
    <row r="203" spans="1:18" x14ac:dyDescent="0.2">
      <c r="A203" s="342" t="s">
        <v>734</v>
      </c>
      <c r="B203" s="337" t="s">
        <v>793</v>
      </c>
      <c r="C203" s="337" t="s">
        <v>795</v>
      </c>
      <c r="D203" s="337" t="s">
        <v>798</v>
      </c>
      <c r="E203" s="337" t="s">
        <v>790</v>
      </c>
      <c r="F203" s="337" t="s">
        <v>771</v>
      </c>
      <c r="G203" s="337" t="s">
        <v>799</v>
      </c>
      <c r="H203" s="337" t="s">
        <v>800</v>
      </c>
      <c r="I203" s="337" t="s">
        <v>831</v>
      </c>
      <c r="J203" s="337" t="s">
        <v>766</v>
      </c>
      <c r="K203" s="337"/>
      <c r="L203" s="337"/>
      <c r="M203" s="337" t="s">
        <v>832</v>
      </c>
      <c r="N203" s="337" t="s">
        <v>833</v>
      </c>
      <c r="O203" s="337" t="e">
        <v>#N/A</v>
      </c>
      <c r="P203" s="337"/>
      <c r="Q203" s="337"/>
      <c r="R203" s="343">
        <v>-59939.05</v>
      </c>
    </row>
    <row r="204" spans="1:18" x14ac:dyDescent="0.2">
      <c r="A204" s="342" t="s">
        <v>735</v>
      </c>
      <c r="B204" s="337" t="s">
        <v>793</v>
      </c>
      <c r="C204" s="337" t="s">
        <v>795</v>
      </c>
      <c r="D204" s="337" t="s">
        <v>798</v>
      </c>
      <c r="E204" s="337" t="s">
        <v>790</v>
      </c>
      <c r="F204" s="337" t="s">
        <v>771</v>
      </c>
      <c r="G204" s="337" t="s">
        <v>799</v>
      </c>
      <c r="H204" s="337" t="s">
        <v>800</v>
      </c>
      <c r="I204" s="337" t="s">
        <v>831</v>
      </c>
      <c r="J204" s="337" t="s">
        <v>766</v>
      </c>
      <c r="K204" s="337"/>
      <c r="L204" s="337"/>
      <c r="M204" s="337" t="s">
        <v>832</v>
      </c>
      <c r="N204" s="337" t="s">
        <v>833</v>
      </c>
      <c r="O204" s="337" t="e">
        <v>#N/A</v>
      </c>
      <c r="P204" s="337"/>
      <c r="Q204" s="337"/>
      <c r="R204" s="343">
        <v>-54746.43</v>
      </c>
    </row>
    <row r="205" spans="1:18" x14ac:dyDescent="0.2">
      <c r="A205" s="342" t="s">
        <v>736</v>
      </c>
      <c r="B205" s="337" t="s">
        <v>793</v>
      </c>
      <c r="C205" s="337" t="s">
        <v>795</v>
      </c>
      <c r="D205" s="337" t="s">
        <v>798</v>
      </c>
      <c r="E205" s="337" t="s">
        <v>790</v>
      </c>
      <c r="F205" s="337" t="s">
        <v>771</v>
      </c>
      <c r="G205" s="337" t="s">
        <v>799</v>
      </c>
      <c r="H205" s="337" t="s">
        <v>800</v>
      </c>
      <c r="I205" s="337" t="s">
        <v>831</v>
      </c>
      <c r="J205" s="337" t="s">
        <v>766</v>
      </c>
      <c r="K205" s="337"/>
      <c r="L205" s="337"/>
      <c r="M205" s="337" t="s">
        <v>832</v>
      </c>
      <c r="N205" s="337" t="s">
        <v>833</v>
      </c>
      <c r="O205" s="337" t="e">
        <v>#N/A</v>
      </c>
      <c r="P205" s="337"/>
      <c r="Q205" s="337"/>
      <c r="R205" s="343">
        <v>-52927.32</v>
      </c>
    </row>
    <row r="206" spans="1:18" x14ac:dyDescent="0.2">
      <c r="A206" s="342" t="s">
        <v>737</v>
      </c>
      <c r="B206" s="337" t="s">
        <v>793</v>
      </c>
      <c r="C206" s="337" t="s">
        <v>795</v>
      </c>
      <c r="D206" s="337" t="s">
        <v>798</v>
      </c>
      <c r="E206" s="337" t="s">
        <v>790</v>
      </c>
      <c r="F206" s="337" t="s">
        <v>771</v>
      </c>
      <c r="G206" s="337" t="s">
        <v>799</v>
      </c>
      <c r="H206" s="337" t="s">
        <v>800</v>
      </c>
      <c r="I206" s="337" t="s">
        <v>831</v>
      </c>
      <c r="J206" s="337" t="s">
        <v>766</v>
      </c>
      <c r="K206" s="337"/>
      <c r="L206" s="337"/>
      <c r="M206" s="337" t="s">
        <v>832</v>
      </c>
      <c r="N206" s="337" t="s">
        <v>833</v>
      </c>
      <c r="O206" s="337" t="e">
        <v>#N/A</v>
      </c>
      <c r="P206" s="337"/>
      <c r="Q206" s="337"/>
      <c r="R206" s="343">
        <v>-52927.32</v>
      </c>
    </row>
    <row r="207" spans="1:18" x14ac:dyDescent="0.2">
      <c r="A207" s="342" t="s">
        <v>738</v>
      </c>
      <c r="B207" s="337" t="s">
        <v>793</v>
      </c>
      <c r="C207" s="337" t="s">
        <v>795</v>
      </c>
      <c r="D207" s="337" t="s">
        <v>798</v>
      </c>
      <c r="E207" s="337" t="s">
        <v>790</v>
      </c>
      <c r="F207" s="337" t="s">
        <v>771</v>
      </c>
      <c r="G207" s="337" t="s">
        <v>799</v>
      </c>
      <c r="H207" s="337" t="s">
        <v>800</v>
      </c>
      <c r="I207" s="337" t="s">
        <v>831</v>
      </c>
      <c r="J207" s="337" t="s">
        <v>766</v>
      </c>
      <c r="K207" s="337"/>
      <c r="L207" s="337"/>
      <c r="M207" s="337" t="s">
        <v>832</v>
      </c>
      <c r="N207" s="337" t="s">
        <v>833</v>
      </c>
      <c r="O207" s="337" t="e">
        <v>#N/A</v>
      </c>
      <c r="P207" s="337"/>
      <c r="Q207" s="337"/>
      <c r="R207" s="343">
        <v>-56925.42</v>
      </c>
    </row>
    <row r="208" spans="1:18" x14ac:dyDescent="0.2">
      <c r="A208" s="342" t="s">
        <v>727</v>
      </c>
      <c r="B208" s="337" t="s">
        <v>793</v>
      </c>
      <c r="C208" s="337" t="s">
        <v>795</v>
      </c>
      <c r="D208" s="337" t="s">
        <v>798</v>
      </c>
      <c r="E208" s="337" t="s">
        <v>790</v>
      </c>
      <c r="F208" s="337" t="s">
        <v>771</v>
      </c>
      <c r="G208" s="337" t="s">
        <v>799</v>
      </c>
      <c r="H208" s="337" t="s">
        <v>800</v>
      </c>
      <c r="I208" s="337" t="s">
        <v>831</v>
      </c>
      <c r="J208" s="337" t="s">
        <v>766</v>
      </c>
      <c r="K208" s="337"/>
      <c r="L208" s="337"/>
      <c r="M208" s="337" t="s">
        <v>832</v>
      </c>
      <c r="N208" s="337" t="s">
        <v>833</v>
      </c>
      <c r="O208" s="337" t="e">
        <v>#N/A</v>
      </c>
      <c r="P208" s="337"/>
      <c r="Q208" s="337"/>
      <c r="R208" s="343">
        <v>-50962.13</v>
      </c>
    </row>
    <row r="209" spans="1:18" x14ac:dyDescent="0.2">
      <c r="A209" s="342" t="s">
        <v>728</v>
      </c>
      <c r="B209" s="337" t="s">
        <v>793</v>
      </c>
      <c r="C209" s="337" t="s">
        <v>795</v>
      </c>
      <c r="D209" s="337" t="s">
        <v>739</v>
      </c>
      <c r="E209" s="337" t="s">
        <v>790</v>
      </c>
      <c r="F209" s="337" t="s">
        <v>771</v>
      </c>
      <c r="G209" s="337" t="s">
        <v>799</v>
      </c>
      <c r="H209" s="337" t="s">
        <v>800</v>
      </c>
      <c r="I209" s="337" t="s">
        <v>767</v>
      </c>
      <c r="J209" s="337" t="s">
        <v>765</v>
      </c>
      <c r="K209" s="337"/>
      <c r="L209" s="337"/>
      <c r="M209" s="337" t="s">
        <v>801</v>
      </c>
      <c r="N209" s="337" t="s">
        <v>756</v>
      </c>
      <c r="O209" s="337" t="e">
        <v>#N/A</v>
      </c>
      <c r="P209" s="337"/>
      <c r="Q209" s="337" t="s">
        <v>834</v>
      </c>
      <c r="R209" s="343">
        <v>-742.91</v>
      </c>
    </row>
    <row r="210" spans="1:18" x14ac:dyDescent="0.2">
      <c r="A210" s="342" t="s">
        <v>730</v>
      </c>
      <c r="B210" s="337" t="s">
        <v>793</v>
      </c>
      <c r="C210" s="337" t="s">
        <v>795</v>
      </c>
      <c r="D210" s="337" t="s">
        <v>739</v>
      </c>
      <c r="E210" s="337" t="s">
        <v>790</v>
      </c>
      <c r="F210" s="337" t="s">
        <v>771</v>
      </c>
      <c r="G210" s="337" t="s">
        <v>799</v>
      </c>
      <c r="H210" s="337" t="s">
        <v>800</v>
      </c>
      <c r="I210" s="337" t="s">
        <v>767</v>
      </c>
      <c r="J210" s="337" t="s">
        <v>765</v>
      </c>
      <c r="K210" s="337"/>
      <c r="L210" s="337"/>
      <c r="M210" s="337" t="s">
        <v>801</v>
      </c>
      <c r="N210" s="337" t="s">
        <v>756</v>
      </c>
      <c r="O210" s="337" t="e">
        <v>#N/A</v>
      </c>
      <c r="P210" s="337"/>
      <c r="Q210" s="337" t="s">
        <v>834</v>
      </c>
      <c r="R210" s="343">
        <v>742.91</v>
      </c>
    </row>
    <row r="211" spans="1:18" x14ac:dyDescent="0.2">
      <c r="A211" s="342" t="s">
        <v>728</v>
      </c>
      <c r="B211" s="337" t="s">
        <v>793</v>
      </c>
      <c r="C211" s="337" t="s">
        <v>795</v>
      </c>
      <c r="D211" s="337" t="s">
        <v>739</v>
      </c>
      <c r="E211" s="337" t="s">
        <v>790</v>
      </c>
      <c r="F211" s="337" t="s">
        <v>771</v>
      </c>
      <c r="G211" s="337" t="s">
        <v>799</v>
      </c>
      <c r="H211" s="337" t="s">
        <v>800</v>
      </c>
      <c r="I211" s="337" t="s">
        <v>767</v>
      </c>
      <c r="J211" s="337" t="s">
        <v>765</v>
      </c>
      <c r="K211" s="337"/>
      <c r="L211" s="337"/>
      <c r="M211" s="337" t="s">
        <v>801</v>
      </c>
      <c r="N211" s="337" t="s">
        <v>756</v>
      </c>
      <c r="O211" s="337" t="e">
        <v>#N/A</v>
      </c>
      <c r="P211" s="337"/>
      <c r="Q211" s="337" t="s">
        <v>835</v>
      </c>
      <c r="R211" s="343">
        <v>-159138.64000000001</v>
      </c>
    </row>
    <row r="212" spans="1:18" x14ac:dyDescent="0.2">
      <c r="A212" s="342" t="s">
        <v>728</v>
      </c>
      <c r="B212" s="337" t="s">
        <v>793</v>
      </c>
      <c r="C212" s="337" t="s">
        <v>795</v>
      </c>
      <c r="D212" s="337" t="s">
        <v>739</v>
      </c>
      <c r="E212" s="337" t="s">
        <v>790</v>
      </c>
      <c r="F212" s="337" t="s">
        <v>771</v>
      </c>
      <c r="G212" s="337" t="s">
        <v>799</v>
      </c>
      <c r="H212" s="337" t="s">
        <v>800</v>
      </c>
      <c r="I212" s="337" t="s">
        <v>767</v>
      </c>
      <c r="J212" s="337" t="s">
        <v>765</v>
      </c>
      <c r="K212" s="337"/>
      <c r="L212" s="337"/>
      <c r="M212" s="337" t="s">
        <v>801</v>
      </c>
      <c r="N212" s="337" t="s">
        <v>756</v>
      </c>
      <c r="O212" s="337" t="e">
        <v>#N/A</v>
      </c>
      <c r="P212" s="337"/>
      <c r="Q212" s="337" t="s">
        <v>836</v>
      </c>
      <c r="R212" s="343">
        <v>-742.91</v>
      </c>
    </row>
    <row r="213" spans="1:18" x14ac:dyDescent="0.2">
      <c r="A213" s="342" t="s">
        <v>730</v>
      </c>
      <c r="B213" s="337" t="s">
        <v>793</v>
      </c>
      <c r="C213" s="337" t="s">
        <v>795</v>
      </c>
      <c r="D213" s="337" t="s">
        <v>739</v>
      </c>
      <c r="E213" s="337" t="s">
        <v>790</v>
      </c>
      <c r="F213" s="337" t="s">
        <v>771</v>
      </c>
      <c r="G213" s="337" t="s">
        <v>799</v>
      </c>
      <c r="H213" s="337" t="s">
        <v>800</v>
      </c>
      <c r="I213" s="337" t="s">
        <v>767</v>
      </c>
      <c r="J213" s="337" t="s">
        <v>765</v>
      </c>
      <c r="K213" s="337"/>
      <c r="L213" s="337"/>
      <c r="M213" s="337" t="s">
        <v>801</v>
      </c>
      <c r="N213" s="337" t="s">
        <v>756</v>
      </c>
      <c r="O213" s="337" t="e">
        <v>#N/A</v>
      </c>
      <c r="P213" s="337"/>
      <c r="Q213" s="337" t="s">
        <v>836</v>
      </c>
      <c r="R213" s="343">
        <v>742.91</v>
      </c>
    </row>
    <row r="214" spans="1:18" x14ac:dyDescent="0.2">
      <c r="A214" s="342" t="s">
        <v>728</v>
      </c>
      <c r="B214" s="337" t="s">
        <v>793</v>
      </c>
      <c r="C214" s="337" t="s">
        <v>795</v>
      </c>
      <c r="D214" s="337" t="s">
        <v>739</v>
      </c>
      <c r="E214" s="337" t="s">
        <v>790</v>
      </c>
      <c r="F214" s="337" t="s">
        <v>771</v>
      </c>
      <c r="G214" s="337" t="s">
        <v>799</v>
      </c>
      <c r="H214" s="337" t="s">
        <v>800</v>
      </c>
      <c r="I214" s="337" t="s">
        <v>767</v>
      </c>
      <c r="J214" s="337" t="s">
        <v>765</v>
      </c>
      <c r="K214" s="337"/>
      <c r="L214" s="337"/>
      <c r="M214" s="337" t="s">
        <v>801</v>
      </c>
      <c r="N214" s="337" t="s">
        <v>756</v>
      </c>
      <c r="O214" s="337" t="e">
        <v>#N/A</v>
      </c>
      <c r="P214" s="337"/>
      <c r="Q214" s="337" t="s">
        <v>837</v>
      </c>
      <c r="R214" s="343">
        <v>-742.91</v>
      </c>
    </row>
    <row r="215" spans="1:18" x14ac:dyDescent="0.2">
      <c r="A215" s="342" t="s">
        <v>730</v>
      </c>
      <c r="B215" s="337" t="s">
        <v>793</v>
      </c>
      <c r="C215" s="337" t="s">
        <v>795</v>
      </c>
      <c r="D215" s="337" t="s">
        <v>739</v>
      </c>
      <c r="E215" s="337" t="s">
        <v>790</v>
      </c>
      <c r="F215" s="337" t="s">
        <v>771</v>
      </c>
      <c r="G215" s="337" t="s">
        <v>799</v>
      </c>
      <c r="H215" s="337" t="s">
        <v>800</v>
      </c>
      <c r="I215" s="337" t="s">
        <v>767</v>
      </c>
      <c r="J215" s="337" t="s">
        <v>765</v>
      </c>
      <c r="K215" s="337"/>
      <c r="L215" s="337"/>
      <c r="M215" s="337" t="s">
        <v>801</v>
      </c>
      <c r="N215" s="337" t="s">
        <v>756</v>
      </c>
      <c r="O215" s="337" t="e">
        <v>#N/A</v>
      </c>
      <c r="P215" s="337"/>
      <c r="Q215" s="337" t="s">
        <v>837</v>
      </c>
      <c r="R215" s="343">
        <v>742.91</v>
      </c>
    </row>
    <row r="216" spans="1:18" x14ac:dyDescent="0.2">
      <c r="A216" s="342" t="s">
        <v>728</v>
      </c>
      <c r="B216" s="337" t="s">
        <v>793</v>
      </c>
      <c r="C216" s="337" t="s">
        <v>795</v>
      </c>
      <c r="D216" s="337" t="s">
        <v>739</v>
      </c>
      <c r="E216" s="337" t="s">
        <v>790</v>
      </c>
      <c r="F216" s="337" t="s">
        <v>771</v>
      </c>
      <c r="G216" s="337" t="s">
        <v>799</v>
      </c>
      <c r="H216" s="337" t="s">
        <v>800</v>
      </c>
      <c r="I216" s="337" t="s">
        <v>767</v>
      </c>
      <c r="J216" s="337" t="s">
        <v>765</v>
      </c>
      <c r="K216" s="337"/>
      <c r="L216" s="337"/>
      <c r="M216" s="337" t="s">
        <v>784</v>
      </c>
      <c r="N216" s="337" t="s">
        <v>755</v>
      </c>
      <c r="O216" s="337" t="e">
        <v>#N/A</v>
      </c>
      <c r="P216" s="337"/>
      <c r="Q216" s="337" t="s">
        <v>838</v>
      </c>
      <c r="R216" s="343">
        <v>22488.26</v>
      </c>
    </row>
    <row r="217" spans="1:18" x14ac:dyDescent="0.2">
      <c r="A217" s="342" t="s">
        <v>730</v>
      </c>
      <c r="B217" s="337" t="s">
        <v>793</v>
      </c>
      <c r="C217" s="337" t="s">
        <v>795</v>
      </c>
      <c r="D217" s="337" t="s">
        <v>739</v>
      </c>
      <c r="E217" s="337" t="s">
        <v>790</v>
      </c>
      <c r="F217" s="337" t="s">
        <v>771</v>
      </c>
      <c r="G217" s="337" t="s">
        <v>799</v>
      </c>
      <c r="H217" s="337" t="s">
        <v>800</v>
      </c>
      <c r="I217" s="337" t="s">
        <v>767</v>
      </c>
      <c r="J217" s="337" t="s">
        <v>765</v>
      </c>
      <c r="K217" s="337"/>
      <c r="L217" s="337"/>
      <c r="M217" s="337" t="s">
        <v>784</v>
      </c>
      <c r="N217" s="337" t="s">
        <v>755</v>
      </c>
      <c r="O217" s="337" t="e">
        <v>#N/A</v>
      </c>
      <c r="P217" s="337"/>
      <c r="Q217" s="337" t="s">
        <v>838</v>
      </c>
      <c r="R217" s="343">
        <v>-8562.5400000000009</v>
      </c>
    </row>
    <row r="218" spans="1:18" x14ac:dyDescent="0.2">
      <c r="A218" s="342" t="s">
        <v>731</v>
      </c>
      <c r="B218" s="337" t="s">
        <v>793</v>
      </c>
      <c r="C218" s="337" t="s">
        <v>795</v>
      </c>
      <c r="D218" s="337" t="s">
        <v>739</v>
      </c>
      <c r="E218" s="337" t="s">
        <v>790</v>
      </c>
      <c r="F218" s="337" t="s">
        <v>771</v>
      </c>
      <c r="G218" s="337" t="s">
        <v>799</v>
      </c>
      <c r="H218" s="337" t="s">
        <v>800</v>
      </c>
      <c r="I218" s="337" t="s">
        <v>767</v>
      </c>
      <c r="J218" s="337" t="s">
        <v>765</v>
      </c>
      <c r="K218" s="337"/>
      <c r="L218" s="337"/>
      <c r="M218" s="337" t="s">
        <v>784</v>
      </c>
      <c r="N218" s="337" t="s">
        <v>755</v>
      </c>
      <c r="O218" s="337" t="e">
        <v>#N/A</v>
      </c>
      <c r="P218" s="337"/>
      <c r="Q218" s="337" t="s">
        <v>838</v>
      </c>
      <c r="R218" s="343">
        <v>-16807.21</v>
      </c>
    </row>
    <row r="219" spans="1:18" x14ac:dyDescent="0.2">
      <c r="A219" s="342" t="s">
        <v>732</v>
      </c>
      <c r="B219" s="337" t="s">
        <v>793</v>
      </c>
      <c r="C219" s="337" t="s">
        <v>795</v>
      </c>
      <c r="D219" s="337" t="s">
        <v>739</v>
      </c>
      <c r="E219" s="337" t="s">
        <v>790</v>
      </c>
      <c r="F219" s="337" t="s">
        <v>771</v>
      </c>
      <c r="G219" s="337" t="s">
        <v>799</v>
      </c>
      <c r="H219" s="337" t="s">
        <v>800</v>
      </c>
      <c r="I219" s="337" t="s">
        <v>767</v>
      </c>
      <c r="J219" s="337" t="s">
        <v>765</v>
      </c>
      <c r="K219" s="337"/>
      <c r="L219" s="337"/>
      <c r="M219" s="337" t="s">
        <v>784</v>
      </c>
      <c r="N219" s="337" t="s">
        <v>755</v>
      </c>
      <c r="O219" s="337" t="e">
        <v>#N/A</v>
      </c>
      <c r="P219" s="337"/>
      <c r="Q219" s="337" t="s">
        <v>838</v>
      </c>
      <c r="R219" s="343">
        <v>22223.7</v>
      </c>
    </row>
    <row r="220" spans="1:18" x14ac:dyDescent="0.2">
      <c r="A220" s="342" t="s">
        <v>726</v>
      </c>
      <c r="B220" s="337" t="s">
        <v>793</v>
      </c>
      <c r="C220" s="337" t="s">
        <v>795</v>
      </c>
      <c r="D220" s="337" t="s">
        <v>739</v>
      </c>
      <c r="E220" s="337" t="s">
        <v>790</v>
      </c>
      <c r="F220" s="337" t="s">
        <v>771</v>
      </c>
      <c r="G220" s="337" t="s">
        <v>799</v>
      </c>
      <c r="H220" s="337" t="s">
        <v>800</v>
      </c>
      <c r="I220" s="337" t="s">
        <v>767</v>
      </c>
      <c r="J220" s="337" t="s">
        <v>765</v>
      </c>
      <c r="K220" s="337"/>
      <c r="L220" s="337"/>
      <c r="M220" s="337" t="s">
        <v>784</v>
      </c>
      <c r="N220" s="337" t="s">
        <v>755</v>
      </c>
      <c r="O220" s="337" t="e">
        <v>#N/A</v>
      </c>
      <c r="P220" s="337"/>
      <c r="Q220" s="337" t="s">
        <v>838</v>
      </c>
      <c r="R220" s="343">
        <v>13833</v>
      </c>
    </row>
    <row r="221" spans="1:18" x14ac:dyDescent="0.2">
      <c r="A221" s="342" t="s">
        <v>733</v>
      </c>
      <c r="B221" s="337" t="s">
        <v>793</v>
      </c>
      <c r="C221" s="337" t="s">
        <v>795</v>
      </c>
      <c r="D221" s="337" t="s">
        <v>739</v>
      </c>
      <c r="E221" s="337" t="s">
        <v>790</v>
      </c>
      <c r="F221" s="337" t="s">
        <v>771</v>
      </c>
      <c r="G221" s="337" t="s">
        <v>799</v>
      </c>
      <c r="H221" s="337" t="s">
        <v>800</v>
      </c>
      <c r="I221" s="337" t="s">
        <v>767</v>
      </c>
      <c r="J221" s="337" t="s">
        <v>765</v>
      </c>
      <c r="K221" s="337"/>
      <c r="L221" s="337"/>
      <c r="M221" s="337" t="s">
        <v>784</v>
      </c>
      <c r="N221" s="337" t="s">
        <v>755</v>
      </c>
      <c r="O221" s="337" t="e">
        <v>#N/A</v>
      </c>
      <c r="P221" s="337"/>
      <c r="Q221" s="337" t="s">
        <v>838</v>
      </c>
      <c r="R221" s="343">
        <v>-7165.91</v>
      </c>
    </row>
    <row r="222" spans="1:18" x14ac:dyDescent="0.2">
      <c r="A222" s="342" t="s">
        <v>734</v>
      </c>
      <c r="B222" s="337" t="s">
        <v>793</v>
      </c>
      <c r="C222" s="337" t="s">
        <v>795</v>
      </c>
      <c r="D222" s="337" t="s">
        <v>739</v>
      </c>
      <c r="E222" s="337" t="s">
        <v>790</v>
      </c>
      <c r="F222" s="337" t="s">
        <v>771</v>
      </c>
      <c r="G222" s="337" t="s">
        <v>799</v>
      </c>
      <c r="H222" s="337" t="s">
        <v>800</v>
      </c>
      <c r="I222" s="337" t="s">
        <v>767</v>
      </c>
      <c r="J222" s="337" t="s">
        <v>765</v>
      </c>
      <c r="K222" s="337"/>
      <c r="L222" s="337"/>
      <c r="M222" s="337" t="s">
        <v>784</v>
      </c>
      <c r="N222" s="337" t="s">
        <v>755</v>
      </c>
      <c r="O222" s="337" t="e">
        <v>#N/A</v>
      </c>
      <c r="P222" s="337"/>
      <c r="Q222" s="337" t="s">
        <v>838</v>
      </c>
      <c r="R222" s="343">
        <v>-63946.400000000001</v>
      </c>
    </row>
    <row r="223" spans="1:18" x14ac:dyDescent="0.2">
      <c r="A223" s="342" t="s">
        <v>735</v>
      </c>
      <c r="B223" s="337" t="s">
        <v>793</v>
      </c>
      <c r="C223" s="337" t="s">
        <v>795</v>
      </c>
      <c r="D223" s="337" t="s">
        <v>739</v>
      </c>
      <c r="E223" s="337" t="s">
        <v>790</v>
      </c>
      <c r="F223" s="337" t="s">
        <v>771</v>
      </c>
      <c r="G223" s="337" t="s">
        <v>799</v>
      </c>
      <c r="H223" s="337" t="s">
        <v>800</v>
      </c>
      <c r="I223" s="337" t="s">
        <v>767</v>
      </c>
      <c r="J223" s="337" t="s">
        <v>765</v>
      </c>
      <c r="K223" s="337"/>
      <c r="L223" s="337"/>
      <c r="M223" s="337" t="s">
        <v>784</v>
      </c>
      <c r="N223" s="337" t="s">
        <v>755</v>
      </c>
      <c r="O223" s="337" t="e">
        <v>#N/A</v>
      </c>
      <c r="P223" s="337"/>
      <c r="Q223" s="337" t="s">
        <v>838</v>
      </c>
      <c r="R223" s="343">
        <v>28237.42</v>
      </c>
    </row>
    <row r="224" spans="1:18" x14ac:dyDescent="0.2">
      <c r="A224" s="342" t="s">
        <v>736</v>
      </c>
      <c r="B224" s="337" t="s">
        <v>793</v>
      </c>
      <c r="C224" s="337" t="s">
        <v>795</v>
      </c>
      <c r="D224" s="337" t="s">
        <v>739</v>
      </c>
      <c r="E224" s="337" t="s">
        <v>790</v>
      </c>
      <c r="F224" s="337" t="s">
        <v>771</v>
      </c>
      <c r="G224" s="337" t="s">
        <v>799</v>
      </c>
      <c r="H224" s="337" t="s">
        <v>800</v>
      </c>
      <c r="I224" s="337" t="s">
        <v>767</v>
      </c>
      <c r="J224" s="337" t="s">
        <v>765</v>
      </c>
      <c r="K224" s="337"/>
      <c r="L224" s="337"/>
      <c r="M224" s="337" t="s">
        <v>784</v>
      </c>
      <c r="N224" s="337" t="s">
        <v>755</v>
      </c>
      <c r="O224" s="337" t="e">
        <v>#N/A</v>
      </c>
      <c r="P224" s="337"/>
      <c r="Q224" s="337" t="s">
        <v>838</v>
      </c>
      <c r="R224" s="343">
        <v>42880.59</v>
      </c>
    </row>
    <row r="225" spans="1:18" x14ac:dyDescent="0.2">
      <c r="A225" s="342" t="s">
        <v>737</v>
      </c>
      <c r="B225" s="337" t="s">
        <v>793</v>
      </c>
      <c r="C225" s="337" t="s">
        <v>795</v>
      </c>
      <c r="D225" s="337" t="s">
        <v>739</v>
      </c>
      <c r="E225" s="337" t="s">
        <v>790</v>
      </c>
      <c r="F225" s="337" t="s">
        <v>771</v>
      </c>
      <c r="G225" s="337" t="s">
        <v>799</v>
      </c>
      <c r="H225" s="337" t="s">
        <v>800</v>
      </c>
      <c r="I225" s="337" t="s">
        <v>767</v>
      </c>
      <c r="J225" s="337" t="s">
        <v>765</v>
      </c>
      <c r="K225" s="337"/>
      <c r="L225" s="337"/>
      <c r="M225" s="337" t="s">
        <v>784</v>
      </c>
      <c r="N225" s="337" t="s">
        <v>755</v>
      </c>
      <c r="O225" s="337" t="e">
        <v>#N/A</v>
      </c>
      <c r="P225" s="337"/>
      <c r="Q225" s="337" t="s">
        <v>838</v>
      </c>
      <c r="R225" s="343">
        <v>0</v>
      </c>
    </row>
    <row r="226" spans="1:18" x14ac:dyDescent="0.2">
      <c r="A226" s="342" t="s">
        <v>728</v>
      </c>
      <c r="B226" s="337" t="s">
        <v>793</v>
      </c>
      <c r="C226" s="337" t="s">
        <v>795</v>
      </c>
      <c r="D226" s="337" t="s">
        <v>739</v>
      </c>
      <c r="E226" s="337" t="s">
        <v>790</v>
      </c>
      <c r="F226" s="337" t="s">
        <v>771</v>
      </c>
      <c r="G226" s="337" t="s">
        <v>799</v>
      </c>
      <c r="H226" s="337" t="s">
        <v>800</v>
      </c>
      <c r="I226" s="337" t="s">
        <v>767</v>
      </c>
      <c r="J226" s="337" t="s">
        <v>765</v>
      </c>
      <c r="K226" s="337"/>
      <c r="L226" s="337"/>
      <c r="M226" s="337" t="s">
        <v>784</v>
      </c>
      <c r="N226" s="337" t="s">
        <v>755</v>
      </c>
      <c r="O226" s="337" t="e">
        <v>#N/A</v>
      </c>
      <c r="P226" s="337"/>
      <c r="Q226" s="337" t="s">
        <v>839</v>
      </c>
      <c r="R226" s="343">
        <v>-10962.51</v>
      </c>
    </row>
    <row r="227" spans="1:18" x14ac:dyDescent="0.2">
      <c r="A227" s="342" t="s">
        <v>730</v>
      </c>
      <c r="B227" s="337" t="s">
        <v>793</v>
      </c>
      <c r="C227" s="337" t="s">
        <v>795</v>
      </c>
      <c r="D227" s="337" t="s">
        <v>739</v>
      </c>
      <c r="E227" s="337" t="s">
        <v>790</v>
      </c>
      <c r="F227" s="337" t="s">
        <v>771</v>
      </c>
      <c r="G227" s="337" t="s">
        <v>799</v>
      </c>
      <c r="H227" s="337" t="s">
        <v>800</v>
      </c>
      <c r="I227" s="337" t="s">
        <v>767</v>
      </c>
      <c r="J227" s="337" t="s">
        <v>765</v>
      </c>
      <c r="K227" s="337"/>
      <c r="L227" s="337"/>
      <c r="M227" s="337" t="s">
        <v>784</v>
      </c>
      <c r="N227" s="337" t="s">
        <v>755</v>
      </c>
      <c r="O227" s="337" t="e">
        <v>#N/A</v>
      </c>
      <c r="P227" s="337"/>
      <c r="Q227" s="337" t="s">
        <v>839</v>
      </c>
      <c r="R227" s="343">
        <v>10962.51</v>
      </c>
    </row>
    <row r="228" spans="1:18" x14ac:dyDescent="0.2">
      <c r="A228" s="342" t="s">
        <v>728</v>
      </c>
      <c r="B228" s="337" t="s">
        <v>793</v>
      </c>
      <c r="C228" s="337" t="s">
        <v>795</v>
      </c>
      <c r="D228" s="337" t="s">
        <v>739</v>
      </c>
      <c r="E228" s="337" t="s">
        <v>790</v>
      </c>
      <c r="F228" s="337" t="s">
        <v>771</v>
      </c>
      <c r="G228" s="337" t="s">
        <v>799</v>
      </c>
      <c r="H228" s="337" t="s">
        <v>800</v>
      </c>
      <c r="I228" s="337" t="s">
        <v>767</v>
      </c>
      <c r="J228" s="337" t="s">
        <v>765</v>
      </c>
      <c r="K228" s="337"/>
      <c r="L228" s="337"/>
      <c r="M228" s="337" t="s">
        <v>784</v>
      </c>
      <c r="N228" s="337" t="s">
        <v>755</v>
      </c>
      <c r="O228" s="337" t="e">
        <v>#N/A</v>
      </c>
      <c r="P228" s="337"/>
      <c r="Q228" s="337" t="s">
        <v>840</v>
      </c>
      <c r="R228" s="343">
        <v>-63406.33</v>
      </c>
    </row>
    <row r="229" spans="1:18" x14ac:dyDescent="0.2">
      <c r="A229" s="342" t="s">
        <v>730</v>
      </c>
      <c r="B229" s="337" t="s">
        <v>793</v>
      </c>
      <c r="C229" s="337" t="s">
        <v>795</v>
      </c>
      <c r="D229" s="337" t="s">
        <v>739</v>
      </c>
      <c r="E229" s="337" t="s">
        <v>790</v>
      </c>
      <c r="F229" s="337" t="s">
        <v>771</v>
      </c>
      <c r="G229" s="337" t="s">
        <v>799</v>
      </c>
      <c r="H229" s="337" t="s">
        <v>800</v>
      </c>
      <c r="I229" s="337" t="s">
        <v>767</v>
      </c>
      <c r="J229" s="337" t="s">
        <v>765</v>
      </c>
      <c r="K229" s="337"/>
      <c r="L229" s="337"/>
      <c r="M229" s="337" t="s">
        <v>784</v>
      </c>
      <c r="N229" s="337" t="s">
        <v>755</v>
      </c>
      <c r="O229" s="337" t="e">
        <v>#N/A</v>
      </c>
      <c r="P229" s="337"/>
      <c r="Q229" s="337" t="s">
        <v>840</v>
      </c>
      <c r="R229" s="343">
        <v>63406.33</v>
      </c>
    </row>
    <row r="230" spans="1:18" x14ac:dyDescent="0.2">
      <c r="A230" s="342" t="s">
        <v>728</v>
      </c>
      <c r="B230" s="337" t="s">
        <v>793</v>
      </c>
      <c r="C230" s="337" t="s">
        <v>795</v>
      </c>
      <c r="D230" s="337" t="s">
        <v>739</v>
      </c>
      <c r="E230" s="337" t="s">
        <v>790</v>
      </c>
      <c r="F230" s="337" t="s">
        <v>771</v>
      </c>
      <c r="G230" s="337" t="s">
        <v>799</v>
      </c>
      <c r="H230" s="337" t="s">
        <v>800</v>
      </c>
      <c r="I230" s="337" t="s">
        <v>767</v>
      </c>
      <c r="J230" s="337" t="s">
        <v>765</v>
      </c>
      <c r="K230" s="337"/>
      <c r="L230" s="337"/>
      <c r="M230" s="337" t="s">
        <v>784</v>
      </c>
      <c r="N230" s="337" t="s">
        <v>755</v>
      </c>
      <c r="O230" s="337" t="e">
        <v>#N/A</v>
      </c>
      <c r="P230" s="337"/>
      <c r="Q230" s="337" t="s">
        <v>841</v>
      </c>
      <c r="R230" s="343">
        <v>-129828.63</v>
      </c>
    </row>
    <row r="231" spans="1:18" x14ac:dyDescent="0.2">
      <c r="A231" s="342" t="s">
        <v>730</v>
      </c>
      <c r="B231" s="337" t="s">
        <v>793</v>
      </c>
      <c r="C231" s="337" t="s">
        <v>795</v>
      </c>
      <c r="D231" s="337" t="s">
        <v>739</v>
      </c>
      <c r="E231" s="337" t="s">
        <v>790</v>
      </c>
      <c r="F231" s="337" t="s">
        <v>771</v>
      </c>
      <c r="G231" s="337" t="s">
        <v>799</v>
      </c>
      <c r="H231" s="337" t="s">
        <v>800</v>
      </c>
      <c r="I231" s="337" t="s">
        <v>767</v>
      </c>
      <c r="J231" s="337" t="s">
        <v>765</v>
      </c>
      <c r="K231" s="337"/>
      <c r="L231" s="337"/>
      <c r="M231" s="337" t="s">
        <v>784</v>
      </c>
      <c r="N231" s="337" t="s">
        <v>755</v>
      </c>
      <c r="O231" s="337" t="e">
        <v>#N/A</v>
      </c>
      <c r="P231" s="337"/>
      <c r="Q231" s="337" t="s">
        <v>841</v>
      </c>
      <c r="R231" s="343">
        <v>129828.63</v>
      </c>
    </row>
    <row r="232" spans="1:18" x14ac:dyDescent="0.2">
      <c r="A232" s="342" t="s">
        <v>728</v>
      </c>
      <c r="B232" s="337" t="s">
        <v>793</v>
      </c>
      <c r="C232" s="337" t="s">
        <v>795</v>
      </c>
      <c r="D232" s="337" t="s">
        <v>739</v>
      </c>
      <c r="E232" s="337" t="s">
        <v>790</v>
      </c>
      <c r="F232" s="337" t="s">
        <v>771</v>
      </c>
      <c r="G232" s="337" t="s">
        <v>799</v>
      </c>
      <c r="H232" s="337" t="s">
        <v>800</v>
      </c>
      <c r="I232" s="337" t="s">
        <v>767</v>
      </c>
      <c r="J232" s="337" t="s">
        <v>765</v>
      </c>
      <c r="K232" s="337"/>
      <c r="L232" s="337"/>
      <c r="M232" s="337" t="s">
        <v>784</v>
      </c>
      <c r="N232" s="337" t="s">
        <v>755</v>
      </c>
      <c r="O232" s="337" t="e">
        <v>#N/A</v>
      </c>
      <c r="P232" s="337"/>
      <c r="Q232" s="337" t="s">
        <v>842</v>
      </c>
      <c r="R232" s="343">
        <v>-336079.89</v>
      </c>
    </row>
    <row r="233" spans="1:18" x14ac:dyDescent="0.2">
      <c r="A233" s="342" t="s">
        <v>730</v>
      </c>
      <c r="B233" s="337" t="s">
        <v>793</v>
      </c>
      <c r="C233" s="337" t="s">
        <v>795</v>
      </c>
      <c r="D233" s="337" t="s">
        <v>739</v>
      </c>
      <c r="E233" s="337" t="s">
        <v>790</v>
      </c>
      <c r="F233" s="337" t="s">
        <v>771</v>
      </c>
      <c r="G233" s="337" t="s">
        <v>799</v>
      </c>
      <c r="H233" s="337" t="s">
        <v>800</v>
      </c>
      <c r="I233" s="337" t="s">
        <v>767</v>
      </c>
      <c r="J233" s="337" t="s">
        <v>765</v>
      </c>
      <c r="K233" s="337"/>
      <c r="L233" s="337"/>
      <c r="M233" s="337" t="s">
        <v>784</v>
      </c>
      <c r="N233" s="337" t="s">
        <v>755</v>
      </c>
      <c r="O233" s="337" t="e">
        <v>#N/A</v>
      </c>
      <c r="P233" s="337"/>
      <c r="Q233" s="337" t="s">
        <v>842</v>
      </c>
      <c r="R233" s="343">
        <v>336079.89</v>
      </c>
    </row>
    <row r="234" spans="1:18" x14ac:dyDescent="0.2">
      <c r="A234" s="342" t="s">
        <v>728</v>
      </c>
      <c r="B234" s="337" t="s">
        <v>793</v>
      </c>
      <c r="C234" s="337" t="s">
        <v>795</v>
      </c>
      <c r="D234" s="337" t="s">
        <v>739</v>
      </c>
      <c r="E234" s="337" t="s">
        <v>790</v>
      </c>
      <c r="F234" s="337" t="s">
        <v>771</v>
      </c>
      <c r="G234" s="337" t="s">
        <v>799</v>
      </c>
      <c r="H234" s="337" t="s">
        <v>800</v>
      </c>
      <c r="I234" s="337" t="s">
        <v>767</v>
      </c>
      <c r="J234" s="337" t="s">
        <v>765</v>
      </c>
      <c r="K234" s="337"/>
      <c r="L234" s="337"/>
      <c r="M234" s="337" t="s">
        <v>807</v>
      </c>
      <c r="N234" s="337" t="s">
        <v>760</v>
      </c>
      <c r="O234" s="337" t="e">
        <v>#N/A</v>
      </c>
      <c r="P234" s="337"/>
      <c r="Q234" s="337" t="s">
        <v>843</v>
      </c>
      <c r="R234" s="343">
        <v>-309.88</v>
      </c>
    </row>
    <row r="235" spans="1:18" x14ac:dyDescent="0.2">
      <c r="A235" s="342" t="s">
        <v>730</v>
      </c>
      <c r="B235" s="337" t="s">
        <v>793</v>
      </c>
      <c r="C235" s="337" t="s">
        <v>795</v>
      </c>
      <c r="D235" s="337" t="s">
        <v>739</v>
      </c>
      <c r="E235" s="337" t="s">
        <v>790</v>
      </c>
      <c r="F235" s="337" t="s">
        <v>771</v>
      </c>
      <c r="G235" s="337" t="s">
        <v>799</v>
      </c>
      <c r="H235" s="337" t="s">
        <v>800</v>
      </c>
      <c r="I235" s="337" t="s">
        <v>767</v>
      </c>
      <c r="J235" s="337" t="s">
        <v>765</v>
      </c>
      <c r="K235" s="337"/>
      <c r="L235" s="337"/>
      <c r="M235" s="337" t="s">
        <v>807</v>
      </c>
      <c r="N235" s="337" t="s">
        <v>760</v>
      </c>
      <c r="O235" s="337" t="e">
        <v>#N/A</v>
      </c>
      <c r="P235" s="337"/>
      <c r="Q235" s="337" t="s">
        <v>843</v>
      </c>
      <c r="R235" s="343">
        <v>309.88</v>
      </c>
    </row>
    <row r="236" spans="1:18" x14ac:dyDescent="0.2">
      <c r="A236" s="342" t="s">
        <v>728</v>
      </c>
      <c r="B236" s="337" t="s">
        <v>793</v>
      </c>
      <c r="C236" s="337" t="s">
        <v>795</v>
      </c>
      <c r="D236" s="337" t="s">
        <v>739</v>
      </c>
      <c r="E236" s="337" t="s">
        <v>790</v>
      </c>
      <c r="F236" s="337" t="s">
        <v>771</v>
      </c>
      <c r="G236" s="337" t="s">
        <v>799</v>
      </c>
      <c r="H236" s="337" t="s">
        <v>800</v>
      </c>
      <c r="I236" s="337" t="s">
        <v>767</v>
      </c>
      <c r="J236" s="337" t="s">
        <v>765</v>
      </c>
      <c r="K236" s="337"/>
      <c r="L236" s="337"/>
      <c r="M236" s="337" t="s">
        <v>807</v>
      </c>
      <c r="N236" s="337" t="s">
        <v>760</v>
      </c>
      <c r="O236" s="337" t="e">
        <v>#N/A</v>
      </c>
      <c r="P236" s="337"/>
      <c r="Q236" s="337" t="s">
        <v>839</v>
      </c>
      <c r="R236" s="343">
        <v>-297.16000000000003</v>
      </c>
    </row>
    <row r="237" spans="1:18" x14ac:dyDescent="0.2">
      <c r="A237" s="342" t="s">
        <v>730</v>
      </c>
      <c r="B237" s="337" t="s">
        <v>793</v>
      </c>
      <c r="C237" s="337" t="s">
        <v>795</v>
      </c>
      <c r="D237" s="337" t="s">
        <v>739</v>
      </c>
      <c r="E237" s="337" t="s">
        <v>790</v>
      </c>
      <c r="F237" s="337" t="s">
        <v>771</v>
      </c>
      <c r="G237" s="337" t="s">
        <v>799</v>
      </c>
      <c r="H237" s="337" t="s">
        <v>800</v>
      </c>
      <c r="I237" s="337" t="s">
        <v>767</v>
      </c>
      <c r="J237" s="337" t="s">
        <v>765</v>
      </c>
      <c r="K237" s="337"/>
      <c r="L237" s="337"/>
      <c r="M237" s="337" t="s">
        <v>807</v>
      </c>
      <c r="N237" s="337" t="s">
        <v>760</v>
      </c>
      <c r="O237" s="337" t="e">
        <v>#N/A</v>
      </c>
      <c r="P237" s="337"/>
      <c r="Q237" s="337" t="s">
        <v>839</v>
      </c>
      <c r="R237" s="343">
        <v>297.16000000000003</v>
      </c>
    </row>
    <row r="238" spans="1:18" x14ac:dyDescent="0.2">
      <c r="A238" s="342" t="s">
        <v>728</v>
      </c>
      <c r="B238" s="337" t="s">
        <v>793</v>
      </c>
      <c r="C238" s="337" t="s">
        <v>795</v>
      </c>
      <c r="D238" s="337" t="s">
        <v>739</v>
      </c>
      <c r="E238" s="337" t="s">
        <v>790</v>
      </c>
      <c r="F238" s="337" t="s">
        <v>771</v>
      </c>
      <c r="G238" s="337" t="s">
        <v>799</v>
      </c>
      <c r="H238" s="337" t="s">
        <v>800</v>
      </c>
      <c r="I238" s="337" t="s">
        <v>767</v>
      </c>
      <c r="J238" s="337" t="s">
        <v>765</v>
      </c>
      <c r="K238" s="337"/>
      <c r="L238" s="337"/>
      <c r="M238" s="337" t="s">
        <v>807</v>
      </c>
      <c r="N238" s="337" t="s">
        <v>760</v>
      </c>
      <c r="O238" s="337" t="e">
        <v>#N/A</v>
      </c>
      <c r="P238" s="337"/>
      <c r="Q238" s="337" t="s">
        <v>844</v>
      </c>
      <c r="R238" s="343">
        <v>-297.16000000000003</v>
      </c>
    </row>
    <row r="239" spans="1:18" x14ac:dyDescent="0.2">
      <c r="A239" s="342" t="s">
        <v>730</v>
      </c>
      <c r="B239" s="337" t="s">
        <v>793</v>
      </c>
      <c r="C239" s="337" t="s">
        <v>795</v>
      </c>
      <c r="D239" s="337" t="s">
        <v>739</v>
      </c>
      <c r="E239" s="337" t="s">
        <v>790</v>
      </c>
      <c r="F239" s="337" t="s">
        <v>771</v>
      </c>
      <c r="G239" s="337" t="s">
        <v>799</v>
      </c>
      <c r="H239" s="337" t="s">
        <v>800</v>
      </c>
      <c r="I239" s="337" t="s">
        <v>767</v>
      </c>
      <c r="J239" s="337" t="s">
        <v>765</v>
      </c>
      <c r="K239" s="337"/>
      <c r="L239" s="337"/>
      <c r="M239" s="337" t="s">
        <v>807</v>
      </c>
      <c r="N239" s="337" t="s">
        <v>760</v>
      </c>
      <c r="O239" s="337" t="e">
        <v>#N/A</v>
      </c>
      <c r="P239" s="337"/>
      <c r="Q239" s="337" t="s">
        <v>844</v>
      </c>
      <c r="R239" s="343">
        <v>297.16000000000003</v>
      </c>
    </row>
    <row r="240" spans="1:18" x14ac:dyDescent="0.2">
      <c r="A240" s="342" t="s">
        <v>728</v>
      </c>
      <c r="B240" s="337" t="s">
        <v>793</v>
      </c>
      <c r="C240" s="337" t="s">
        <v>795</v>
      </c>
      <c r="D240" s="337" t="s">
        <v>739</v>
      </c>
      <c r="E240" s="337" t="s">
        <v>790</v>
      </c>
      <c r="F240" s="337" t="s">
        <v>771</v>
      </c>
      <c r="G240" s="337" t="s">
        <v>799</v>
      </c>
      <c r="H240" s="337" t="s">
        <v>800</v>
      </c>
      <c r="I240" s="337" t="s">
        <v>767</v>
      </c>
      <c r="J240" s="337" t="s">
        <v>765</v>
      </c>
      <c r="K240" s="337"/>
      <c r="L240" s="337"/>
      <c r="M240" s="337" t="s">
        <v>812</v>
      </c>
      <c r="N240" s="337" t="s">
        <v>759</v>
      </c>
      <c r="O240" s="337" t="e">
        <v>#N/A</v>
      </c>
      <c r="P240" s="337"/>
      <c r="Q240" s="337" t="s">
        <v>838</v>
      </c>
      <c r="R240" s="343">
        <v>-33180.9</v>
      </c>
    </row>
    <row r="241" spans="1:18" x14ac:dyDescent="0.2">
      <c r="A241" s="342" t="s">
        <v>730</v>
      </c>
      <c r="B241" s="337" t="s">
        <v>793</v>
      </c>
      <c r="C241" s="337" t="s">
        <v>795</v>
      </c>
      <c r="D241" s="337" t="s">
        <v>739</v>
      </c>
      <c r="E241" s="337" t="s">
        <v>790</v>
      </c>
      <c r="F241" s="337" t="s">
        <v>771</v>
      </c>
      <c r="G241" s="337" t="s">
        <v>799</v>
      </c>
      <c r="H241" s="337" t="s">
        <v>800</v>
      </c>
      <c r="I241" s="337" t="s">
        <v>767</v>
      </c>
      <c r="J241" s="337" t="s">
        <v>765</v>
      </c>
      <c r="K241" s="337"/>
      <c r="L241" s="337"/>
      <c r="M241" s="337" t="s">
        <v>812</v>
      </c>
      <c r="N241" s="337" t="s">
        <v>759</v>
      </c>
      <c r="O241" s="337" t="e">
        <v>#N/A</v>
      </c>
      <c r="P241" s="337"/>
      <c r="Q241" s="337" t="s">
        <v>838</v>
      </c>
      <c r="R241" s="343">
        <v>-10692.85</v>
      </c>
    </row>
    <row r="242" spans="1:18" x14ac:dyDescent="0.2">
      <c r="A242" s="342" t="s">
        <v>731</v>
      </c>
      <c r="B242" s="337" t="s">
        <v>793</v>
      </c>
      <c r="C242" s="337" t="s">
        <v>795</v>
      </c>
      <c r="D242" s="337" t="s">
        <v>739</v>
      </c>
      <c r="E242" s="337" t="s">
        <v>790</v>
      </c>
      <c r="F242" s="337" t="s">
        <v>771</v>
      </c>
      <c r="G242" s="337" t="s">
        <v>799</v>
      </c>
      <c r="H242" s="337" t="s">
        <v>800</v>
      </c>
      <c r="I242" s="337" t="s">
        <v>767</v>
      </c>
      <c r="J242" s="337" t="s">
        <v>765</v>
      </c>
      <c r="K242" s="337"/>
      <c r="L242" s="337"/>
      <c r="M242" s="337" t="s">
        <v>812</v>
      </c>
      <c r="N242" s="337" t="s">
        <v>759</v>
      </c>
      <c r="O242" s="337" t="e">
        <v>#N/A</v>
      </c>
      <c r="P242" s="337"/>
      <c r="Q242" s="337" t="s">
        <v>838</v>
      </c>
      <c r="R242" s="343">
        <v>-19255.2</v>
      </c>
    </row>
    <row r="243" spans="1:18" x14ac:dyDescent="0.2">
      <c r="A243" s="342" t="s">
        <v>732</v>
      </c>
      <c r="B243" s="337" t="s">
        <v>793</v>
      </c>
      <c r="C243" s="337" t="s">
        <v>795</v>
      </c>
      <c r="D243" s="337" t="s">
        <v>739</v>
      </c>
      <c r="E243" s="337" t="s">
        <v>790</v>
      </c>
      <c r="F243" s="337" t="s">
        <v>771</v>
      </c>
      <c r="G243" s="337" t="s">
        <v>799</v>
      </c>
      <c r="H243" s="337" t="s">
        <v>800</v>
      </c>
      <c r="I243" s="337" t="s">
        <v>767</v>
      </c>
      <c r="J243" s="337" t="s">
        <v>765</v>
      </c>
      <c r="K243" s="337"/>
      <c r="L243" s="337"/>
      <c r="M243" s="337" t="s">
        <v>812</v>
      </c>
      <c r="N243" s="337" t="s">
        <v>759</v>
      </c>
      <c r="O243" s="337" t="e">
        <v>#N/A</v>
      </c>
      <c r="P243" s="337"/>
      <c r="Q243" s="337" t="s">
        <v>838</v>
      </c>
      <c r="R243" s="343">
        <v>-36062.28</v>
      </c>
    </row>
    <row r="244" spans="1:18" x14ac:dyDescent="0.2">
      <c r="A244" s="342" t="s">
        <v>726</v>
      </c>
      <c r="B244" s="337" t="s">
        <v>793</v>
      </c>
      <c r="C244" s="337" t="s">
        <v>795</v>
      </c>
      <c r="D244" s="337" t="s">
        <v>739</v>
      </c>
      <c r="E244" s="337" t="s">
        <v>790</v>
      </c>
      <c r="F244" s="337" t="s">
        <v>771</v>
      </c>
      <c r="G244" s="337" t="s">
        <v>799</v>
      </c>
      <c r="H244" s="337" t="s">
        <v>800</v>
      </c>
      <c r="I244" s="337" t="s">
        <v>767</v>
      </c>
      <c r="J244" s="337" t="s">
        <v>765</v>
      </c>
      <c r="K244" s="337"/>
      <c r="L244" s="337"/>
      <c r="M244" s="337" t="s">
        <v>812</v>
      </c>
      <c r="N244" s="337" t="s">
        <v>759</v>
      </c>
      <c r="O244" s="337" t="e">
        <v>#N/A</v>
      </c>
      <c r="P244" s="337"/>
      <c r="Q244" s="337" t="s">
        <v>838</v>
      </c>
      <c r="R244" s="343">
        <v>-13838.72</v>
      </c>
    </row>
    <row r="245" spans="1:18" x14ac:dyDescent="0.2">
      <c r="A245" s="342" t="s">
        <v>733</v>
      </c>
      <c r="B245" s="337" t="s">
        <v>793</v>
      </c>
      <c r="C245" s="337" t="s">
        <v>795</v>
      </c>
      <c r="D245" s="337" t="s">
        <v>739</v>
      </c>
      <c r="E245" s="337" t="s">
        <v>790</v>
      </c>
      <c r="F245" s="337" t="s">
        <v>771</v>
      </c>
      <c r="G245" s="337" t="s">
        <v>799</v>
      </c>
      <c r="H245" s="337" t="s">
        <v>800</v>
      </c>
      <c r="I245" s="337" t="s">
        <v>767</v>
      </c>
      <c r="J245" s="337" t="s">
        <v>765</v>
      </c>
      <c r="K245" s="337"/>
      <c r="L245" s="337"/>
      <c r="M245" s="337" t="s">
        <v>812</v>
      </c>
      <c r="N245" s="337" t="s">
        <v>759</v>
      </c>
      <c r="O245" s="337" t="e">
        <v>#N/A</v>
      </c>
      <c r="P245" s="337"/>
      <c r="Q245" s="337" t="s">
        <v>838</v>
      </c>
      <c r="R245" s="343">
        <v>-5.7</v>
      </c>
    </row>
    <row r="246" spans="1:18" x14ac:dyDescent="0.2">
      <c r="A246" s="342" t="s">
        <v>734</v>
      </c>
      <c r="B246" s="337" t="s">
        <v>793</v>
      </c>
      <c r="C246" s="337" t="s">
        <v>795</v>
      </c>
      <c r="D246" s="337" t="s">
        <v>739</v>
      </c>
      <c r="E246" s="337" t="s">
        <v>790</v>
      </c>
      <c r="F246" s="337" t="s">
        <v>771</v>
      </c>
      <c r="G246" s="337" t="s">
        <v>799</v>
      </c>
      <c r="H246" s="337" t="s">
        <v>800</v>
      </c>
      <c r="I246" s="337" t="s">
        <v>767</v>
      </c>
      <c r="J246" s="337" t="s">
        <v>765</v>
      </c>
      <c r="K246" s="337"/>
      <c r="L246" s="337"/>
      <c r="M246" s="337" t="s">
        <v>812</v>
      </c>
      <c r="N246" s="337" t="s">
        <v>759</v>
      </c>
      <c r="O246" s="337" t="e">
        <v>#N/A</v>
      </c>
      <c r="P246" s="337"/>
      <c r="Q246" s="337" t="s">
        <v>838</v>
      </c>
      <c r="R246" s="343">
        <v>-7171.8</v>
      </c>
    </row>
    <row r="247" spans="1:18" x14ac:dyDescent="0.2">
      <c r="A247" s="342" t="s">
        <v>735</v>
      </c>
      <c r="B247" s="337" t="s">
        <v>793</v>
      </c>
      <c r="C247" s="337" t="s">
        <v>795</v>
      </c>
      <c r="D247" s="337" t="s">
        <v>739</v>
      </c>
      <c r="E247" s="337" t="s">
        <v>790</v>
      </c>
      <c r="F247" s="337" t="s">
        <v>771</v>
      </c>
      <c r="G247" s="337" t="s">
        <v>799</v>
      </c>
      <c r="H247" s="337" t="s">
        <v>800</v>
      </c>
      <c r="I247" s="337" t="s">
        <v>767</v>
      </c>
      <c r="J247" s="337" t="s">
        <v>765</v>
      </c>
      <c r="K247" s="337"/>
      <c r="L247" s="337"/>
      <c r="M247" s="337" t="s">
        <v>812</v>
      </c>
      <c r="N247" s="337" t="s">
        <v>759</v>
      </c>
      <c r="O247" s="337" t="e">
        <v>#N/A</v>
      </c>
      <c r="P247" s="337"/>
      <c r="Q247" s="337" t="s">
        <v>838</v>
      </c>
      <c r="R247" s="343">
        <v>-71118</v>
      </c>
    </row>
    <row r="248" spans="1:18" x14ac:dyDescent="0.2">
      <c r="A248" s="342" t="s">
        <v>736</v>
      </c>
      <c r="B248" s="337" t="s">
        <v>793</v>
      </c>
      <c r="C248" s="337" t="s">
        <v>795</v>
      </c>
      <c r="D248" s="337" t="s">
        <v>739</v>
      </c>
      <c r="E248" s="337" t="s">
        <v>790</v>
      </c>
      <c r="F248" s="337" t="s">
        <v>771</v>
      </c>
      <c r="G248" s="337" t="s">
        <v>799</v>
      </c>
      <c r="H248" s="337" t="s">
        <v>800</v>
      </c>
      <c r="I248" s="337" t="s">
        <v>767</v>
      </c>
      <c r="J248" s="337" t="s">
        <v>765</v>
      </c>
      <c r="K248" s="337"/>
      <c r="L248" s="337"/>
      <c r="M248" s="337" t="s">
        <v>812</v>
      </c>
      <c r="N248" s="337" t="s">
        <v>759</v>
      </c>
      <c r="O248" s="337" t="e">
        <v>#N/A</v>
      </c>
      <c r="P248" s="337"/>
      <c r="Q248" s="337" t="s">
        <v>838</v>
      </c>
      <c r="R248" s="343">
        <v>-44060.7</v>
      </c>
    </row>
    <row r="249" spans="1:18" x14ac:dyDescent="0.2">
      <c r="A249" s="342" t="s">
        <v>737</v>
      </c>
      <c r="B249" s="337" t="s">
        <v>793</v>
      </c>
      <c r="C249" s="337" t="s">
        <v>795</v>
      </c>
      <c r="D249" s="337" t="s">
        <v>739</v>
      </c>
      <c r="E249" s="337" t="s">
        <v>790</v>
      </c>
      <c r="F249" s="337" t="s">
        <v>771</v>
      </c>
      <c r="G249" s="337" t="s">
        <v>799</v>
      </c>
      <c r="H249" s="337" t="s">
        <v>800</v>
      </c>
      <c r="I249" s="337" t="s">
        <v>767</v>
      </c>
      <c r="J249" s="337" t="s">
        <v>765</v>
      </c>
      <c r="K249" s="337"/>
      <c r="L249" s="337"/>
      <c r="M249" s="337" t="s">
        <v>812</v>
      </c>
      <c r="N249" s="337" t="s">
        <v>759</v>
      </c>
      <c r="O249" s="337" t="e">
        <v>#N/A</v>
      </c>
      <c r="P249" s="337"/>
      <c r="Q249" s="337" t="s">
        <v>838</v>
      </c>
      <c r="R249" s="343">
        <v>-10935.6</v>
      </c>
    </row>
    <row r="250" spans="1:18" x14ac:dyDescent="0.2">
      <c r="A250" s="342" t="s">
        <v>738</v>
      </c>
      <c r="B250" s="337" t="s">
        <v>793</v>
      </c>
      <c r="C250" s="337" t="s">
        <v>795</v>
      </c>
      <c r="D250" s="337" t="s">
        <v>739</v>
      </c>
      <c r="E250" s="337" t="s">
        <v>790</v>
      </c>
      <c r="F250" s="337" t="s">
        <v>771</v>
      </c>
      <c r="G250" s="337" t="s">
        <v>799</v>
      </c>
      <c r="H250" s="337" t="s">
        <v>800</v>
      </c>
      <c r="I250" s="337" t="s">
        <v>767</v>
      </c>
      <c r="J250" s="337" t="s">
        <v>765</v>
      </c>
      <c r="K250" s="337"/>
      <c r="L250" s="337"/>
      <c r="M250" s="337" t="s">
        <v>812</v>
      </c>
      <c r="N250" s="337" t="s">
        <v>759</v>
      </c>
      <c r="O250" s="337" t="e">
        <v>#N/A</v>
      </c>
      <c r="P250" s="337"/>
      <c r="Q250" s="337" t="s">
        <v>838</v>
      </c>
      <c r="R250" s="343">
        <v>-18954.599999999999</v>
      </c>
    </row>
    <row r="251" spans="1:18" x14ac:dyDescent="0.2">
      <c r="A251" s="342" t="s">
        <v>727</v>
      </c>
      <c r="B251" s="337" t="s">
        <v>793</v>
      </c>
      <c r="C251" s="337" t="s">
        <v>795</v>
      </c>
      <c r="D251" s="337" t="s">
        <v>739</v>
      </c>
      <c r="E251" s="337" t="s">
        <v>790</v>
      </c>
      <c r="F251" s="337" t="s">
        <v>771</v>
      </c>
      <c r="G251" s="337" t="s">
        <v>799</v>
      </c>
      <c r="H251" s="337" t="s">
        <v>800</v>
      </c>
      <c r="I251" s="337" t="s">
        <v>767</v>
      </c>
      <c r="J251" s="337" t="s">
        <v>765</v>
      </c>
      <c r="K251" s="337"/>
      <c r="L251" s="337"/>
      <c r="M251" s="337" t="s">
        <v>812</v>
      </c>
      <c r="N251" s="337" t="s">
        <v>759</v>
      </c>
      <c r="O251" s="337" t="e">
        <v>#N/A</v>
      </c>
      <c r="P251" s="337"/>
      <c r="Q251" s="337" t="s">
        <v>838</v>
      </c>
      <c r="R251" s="343">
        <v>-8315.4</v>
      </c>
    </row>
    <row r="252" spans="1:18" x14ac:dyDescent="0.2">
      <c r="A252" s="342" t="s">
        <v>728</v>
      </c>
      <c r="B252" s="337" t="s">
        <v>793</v>
      </c>
      <c r="C252" s="337" t="s">
        <v>795</v>
      </c>
      <c r="D252" s="337" t="s">
        <v>739</v>
      </c>
      <c r="E252" s="337" t="s">
        <v>790</v>
      </c>
      <c r="F252" s="337" t="s">
        <v>771</v>
      </c>
      <c r="G252" s="337" t="s">
        <v>799</v>
      </c>
      <c r="H252" s="337" t="s">
        <v>800</v>
      </c>
      <c r="I252" s="337" t="s">
        <v>767</v>
      </c>
      <c r="J252" s="337" t="s">
        <v>765</v>
      </c>
      <c r="K252" s="337"/>
      <c r="L252" s="337"/>
      <c r="M252" s="337" t="s">
        <v>815</v>
      </c>
      <c r="N252" s="337" t="s">
        <v>762</v>
      </c>
      <c r="O252" s="337" t="e">
        <v>#N/A</v>
      </c>
      <c r="P252" s="337"/>
      <c r="Q252" s="337" t="s">
        <v>843</v>
      </c>
      <c r="R252" s="343">
        <v>0</v>
      </c>
    </row>
    <row r="253" spans="1:18" x14ac:dyDescent="0.2">
      <c r="A253" s="342" t="s">
        <v>728</v>
      </c>
      <c r="B253" s="337" t="s">
        <v>793</v>
      </c>
      <c r="C253" s="337" t="s">
        <v>795</v>
      </c>
      <c r="D253" s="337" t="s">
        <v>739</v>
      </c>
      <c r="E253" s="337" t="s">
        <v>790</v>
      </c>
      <c r="F253" s="337" t="s">
        <v>771</v>
      </c>
      <c r="G253" s="337" t="s">
        <v>799</v>
      </c>
      <c r="H253" s="337" t="s">
        <v>800</v>
      </c>
      <c r="I253" s="337" t="s">
        <v>767</v>
      </c>
      <c r="J253" s="337" t="s">
        <v>765</v>
      </c>
      <c r="K253" s="337"/>
      <c r="L253" s="337"/>
      <c r="M253" s="337" t="s">
        <v>815</v>
      </c>
      <c r="N253" s="337" t="s">
        <v>762</v>
      </c>
      <c r="O253" s="337" t="e">
        <v>#N/A</v>
      </c>
      <c r="P253" s="337"/>
      <c r="Q253" s="337" t="s">
        <v>839</v>
      </c>
      <c r="R253" s="343">
        <v>-460.6</v>
      </c>
    </row>
    <row r="254" spans="1:18" x14ac:dyDescent="0.2">
      <c r="A254" s="342" t="s">
        <v>730</v>
      </c>
      <c r="B254" s="337" t="s">
        <v>793</v>
      </c>
      <c r="C254" s="337" t="s">
        <v>795</v>
      </c>
      <c r="D254" s="337" t="s">
        <v>739</v>
      </c>
      <c r="E254" s="337" t="s">
        <v>790</v>
      </c>
      <c r="F254" s="337" t="s">
        <v>771</v>
      </c>
      <c r="G254" s="337" t="s">
        <v>799</v>
      </c>
      <c r="H254" s="337" t="s">
        <v>800</v>
      </c>
      <c r="I254" s="337" t="s">
        <v>767</v>
      </c>
      <c r="J254" s="337" t="s">
        <v>765</v>
      </c>
      <c r="K254" s="337"/>
      <c r="L254" s="337"/>
      <c r="M254" s="337" t="s">
        <v>815</v>
      </c>
      <c r="N254" s="337" t="s">
        <v>762</v>
      </c>
      <c r="O254" s="337" t="e">
        <v>#N/A</v>
      </c>
      <c r="P254" s="337"/>
      <c r="Q254" s="337" t="s">
        <v>839</v>
      </c>
      <c r="R254" s="343">
        <v>460.6</v>
      </c>
    </row>
    <row r="255" spans="1:18" x14ac:dyDescent="0.2">
      <c r="A255" s="342" t="s">
        <v>728</v>
      </c>
      <c r="B255" s="337" t="s">
        <v>793</v>
      </c>
      <c r="C255" s="337" t="s">
        <v>795</v>
      </c>
      <c r="D255" s="337" t="s">
        <v>739</v>
      </c>
      <c r="E255" s="337" t="s">
        <v>790</v>
      </c>
      <c r="F255" s="337" t="s">
        <v>771</v>
      </c>
      <c r="G255" s="337" t="s">
        <v>799</v>
      </c>
      <c r="H255" s="337" t="s">
        <v>800</v>
      </c>
      <c r="I255" s="337" t="s">
        <v>767</v>
      </c>
      <c r="J255" s="337" t="s">
        <v>765</v>
      </c>
      <c r="K255" s="337"/>
      <c r="L255" s="337"/>
      <c r="M255" s="337" t="s">
        <v>815</v>
      </c>
      <c r="N255" s="337" t="s">
        <v>762</v>
      </c>
      <c r="O255" s="337" t="e">
        <v>#N/A</v>
      </c>
      <c r="P255" s="337"/>
      <c r="Q255" s="337" t="s">
        <v>840</v>
      </c>
      <c r="R255" s="343">
        <v>-2156.48</v>
      </c>
    </row>
    <row r="256" spans="1:18" x14ac:dyDescent="0.2">
      <c r="A256" s="342" t="s">
        <v>730</v>
      </c>
      <c r="B256" s="337" t="s">
        <v>793</v>
      </c>
      <c r="C256" s="337" t="s">
        <v>795</v>
      </c>
      <c r="D256" s="337" t="s">
        <v>739</v>
      </c>
      <c r="E256" s="337" t="s">
        <v>790</v>
      </c>
      <c r="F256" s="337" t="s">
        <v>771</v>
      </c>
      <c r="G256" s="337" t="s">
        <v>799</v>
      </c>
      <c r="H256" s="337" t="s">
        <v>800</v>
      </c>
      <c r="I256" s="337" t="s">
        <v>767</v>
      </c>
      <c r="J256" s="337" t="s">
        <v>765</v>
      </c>
      <c r="K256" s="337"/>
      <c r="L256" s="337"/>
      <c r="M256" s="337" t="s">
        <v>815</v>
      </c>
      <c r="N256" s="337" t="s">
        <v>762</v>
      </c>
      <c r="O256" s="337" t="e">
        <v>#N/A</v>
      </c>
      <c r="P256" s="337"/>
      <c r="Q256" s="337" t="s">
        <v>840</v>
      </c>
      <c r="R256" s="343">
        <v>2156.48</v>
      </c>
    </row>
    <row r="257" spans="1:18" x14ac:dyDescent="0.2">
      <c r="A257" s="342" t="s">
        <v>728</v>
      </c>
      <c r="B257" s="337" t="s">
        <v>793</v>
      </c>
      <c r="C257" s="337" t="s">
        <v>795</v>
      </c>
      <c r="D257" s="337" t="s">
        <v>739</v>
      </c>
      <c r="E257" s="337" t="s">
        <v>790</v>
      </c>
      <c r="F257" s="337" t="s">
        <v>771</v>
      </c>
      <c r="G257" s="337" t="s">
        <v>799</v>
      </c>
      <c r="H257" s="337" t="s">
        <v>800</v>
      </c>
      <c r="I257" s="337" t="s">
        <v>767</v>
      </c>
      <c r="J257" s="337" t="s">
        <v>765</v>
      </c>
      <c r="K257" s="337"/>
      <c r="L257" s="337"/>
      <c r="M257" s="337" t="s">
        <v>815</v>
      </c>
      <c r="N257" s="337" t="s">
        <v>762</v>
      </c>
      <c r="O257" s="337" t="e">
        <v>#N/A</v>
      </c>
      <c r="P257" s="337"/>
      <c r="Q257" s="337" t="s">
        <v>841</v>
      </c>
      <c r="R257" s="343">
        <v>-955.75</v>
      </c>
    </row>
    <row r="258" spans="1:18" x14ac:dyDescent="0.2">
      <c r="A258" s="342" t="s">
        <v>730</v>
      </c>
      <c r="B258" s="337" t="s">
        <v>793</v>
      </c>
      <c r="C258" s="337" t="s">
        <v>795</v>
      </c>
      <c r="D258" s="337" t="s">
        <v>739</v>
      </c>
      <c r="E258" s="337" t="s">
        <v>790</v>
      </c>
      <c r="F258" s="337" t="s">
        <v>771</v>
      </c>
      <c r="G258" s="337" t="s">
        <v>799</v>
      </c>
      <c r="H258" s="337" t="s">
        <v>800</v>
      </c>
      <c r="I258" s="337" t="s">
        <v>767</v>
      </c>
      <c r="J258" s="337" t="s">
        <v>765</v>
      </c>
      <c r="K258" s="337"/>
      <c r="L258" s="337"/>
      <c r="M258" s="337" t="s">
        <v>815</v>
      </c>
      <c r="N258" s="337" t="s">
        <v>762</v>
      </c>
      <c r="O258" s="337" t="e">
        <v>#N/A</v>
      </c>
      <c r="P258" s="337"/>
      <c r="Q258" s="337" t="s">
        <v>841</v>
      </c>
      <c r="R258" s="343">
        <v>955.75</v>
      </c>
    </row>
    <row r="259" spans="1:18" x14ac:dyDescent="0.2">
      <c r="A259" s="342" t="s">
        <v>728</v>
      </c>
      <c r="B259" s="337" t="s">
        <v>793</v>
      </c>
      <c r="C259" s="337" t="s">
        <v>795</v>
      </c>
      <c r="D259" s="337" t="s">
        <v>739</v>
      </c>
      <c r="E259" s="337" t="s">
        <v>790</v>
      </c>
      <c r="F259" s="337" t="s">
        <v>771</v>
      </c>
      <c r="G259" s="337" t="s">
        <v>799</v>
      </c>
      <c r="H259" s="337" t="s">
        <v>800</v>
      </c>
      <c r="I259" s="337" t="s">
        <v>767</v>
      </c>
      <c r="J259" s="337" t="s">
        <v>765</v>
      </c>
      <c r="K259" s="337"/>
      <c r="L259" s="337"/>
      <c r="M259" s="337" t="s">
        <v>815</v>
      </c>
      <c r="N259" s="337" t="s">
        <v>762</v>
      </c>
      <c r="O259" s="337" t="e">
        <v>#N/A</v>
      </c>
      <c r="P259" s="337"/>
      <c r="Q259" s="337" t="s">
        <v>842</v>
      </c>
      <c r="R259" s="343">
        <v>0</v>
      </c>
    </row>
    <row r="260" spans="1:18" x14ac:dyDescent="0.2">
      <c r="A260" s="342" t="s">
        <v>728</v>
      </c>
      <c r="B260" s="337" t="s">
        <v>793</v>
      </c>
      <c r="C260" s="337" t="s">
        <v>795</v>
      </c>
      <c r="D260" s="337" t="s">
        <v>739</v>
      </c>
      <c r="E260" s="337" t="s">
        <v>790</v>
      </c>
      <c r="F260" s="337" t="s">
        <v>771</v>
      </c>
      <c r="G260" s="337" t="s">
        <v>799</v>
      </c>
      <c r="H260" s="337" t="s">
        <v>800</v>
      </c>
      <c r="I260" s="337" t="s">
        <v>767</v>
      </c>
      <c r="J260" s="337" t="s">
        <v>765</v>
      </c>
      <c r="K260" s="337"/>
      <c r="L260" s="337"/>
      <c r="M260" s="337" t="s">
        <v>816</v>
      </c>
      <c r="N260" s="337" t="s">
        <v>817</v>
      </c>
      <c r="O260" s="337" t="e">
        <v>#N/A</v>
      </c>
      <c r="P260" s="337"/>
      <c r="Q260" s="337" t="s">
        <v>835</v>
      </c>
      <c r="R260" s="343">
        <v>-6980.28</v>
      </c>
    </row>
    <row r="261" spans="1:18" x14ac:dyDescent="0.2">
      <c r="A261" s="342" t="s">
        <v>730</v>
      </c>
      <c r="B261" s="337" t="s">
        <v>793</v>
      </c>
      <c r="C261" s="337" t="s">
        <v>795</v>
      </c>
      <c r="D261" s="337" t="s">
        <v>739</v>
      </c>
      <c r="E261" s="337" t="s">
        <v>790</v>
      </c>
      <c r="F261" s="337" t="s">
        <v>771</v>
      </c>
      <c r="G261" s="337" t="s">
        <v>799</v>
      </c>
      <c r="H261" s="337" t="s">
        <v>800</v>
      </c>
      <c r="I261" s="337" t="s">
        <v>767</v>
      </c>
      <c r="J261" s="337" t="s">
        <v>765</v>
      </c>
      <c r="K261" s="337"/>
      <c r="L261" s="337"/>
      <c r="M261" s="337" t="s">
        <v>816</v>
      </c>
      <c r="N261" s="337" t="s">
        <v>817</v>
      </c>
      <c r="O261" s="337" t="e">
        <v>#N/A</v>
      </c>
      <c r="P261" s="337"/>
      <c r="Q261" s="337" t="s">
        <v>835</v>
      </c>
      <c r="R261" s="343">
        <v>166118.92000000001</v>
      </c>
    </row>
    <row r="262" spans="1:18" x14ac:dyDescent="0.2">
      <c r="A262" s="342" t="s">
        <v>728</v>
      </c>
      <c r="B262" s="337" t="s">
        <v>793</v>
      </c>
      <c r="C262" s="337" t="s">
        <v>795</v>
      </c>
      <c r="D262" s="337" t="s">
        <v>739</v>
      </c>
      <c r="E262" s="337" t="s">
        <v>790</v>
      </c>
      <c r="F262" s="337" t="s">
        <v>771</v>
      </c>
      <c r="G262" s="337" t="s">
        <v>799</v>
      </c>
      <c r="H262" s="337" t="s">
        <v>800</v>
      </c>
      <c r="I262" s="337" t="s">
        <v>767</v>
      </c>
      <c r="J262" s="337" t="s">
        <v>765</v>
      </c>
      <c r="K262" s="337"/>
      <c r="L262" s="337"/>
      <c r="M262" s="337" t="s">
        <v>821</v>
      </c>
      <c r="N262" s="337" t="s">
        <v>757</v>
      </c>
      <c r="O262" s="337" t="e">
        <v>#N/A</v>
      </c>
      <c r="P262" s="337"/>
      <c r="Q262" s="337" t="s">
        <v>844</v>
      </c>
      <c r="R262" s="343">
        <v>-325.01</v>
      </c>
    </row>
    <row r="263" spans="1:18" x14ac:dyDescent="0.2">
      <c r="A263" s="342" t="s">
        <v>730</v>
      </c>
      <c r="B263" s="337" t="s">
        <v>793</v>
      </c>
      <c r="C263" s="337" t="s">
        <v>795</v>
      </c>
      <c r="D263" s="337" t="s">
        <v>739</v>
      </c>
      <c r="E263" s="337" t="s">
        <v>790</v>
      </c>
      <c r="F263" s="337" t="s">
        <v>771</v>
      </c>
      <c r="G263" s="337" t="s">
        <v>799</v>
      </c>
      <c r="H263" s="337" t="s">
        <v>800</v>
      </c>
      <c r="I263" s="337" t="s">
        <v>767</v>
      </c>
      <c r="J263" s="337" t="s">
        <v>765</v>
      </c>
      <c r="K263" s="337"/>
      <c r="L263" s="337"/>
      <c r="M263" s="337" t="s">
        <v>821</v>
      </c>
      <c r="N263" s="337" t="s">
        <v>757</v>
      </c>
      <c r="O263" s="337" t="e">
        <v>#N/A</v>
      </c>
      <c r="P263" s="337"/>
      <c r="Q263" s="337" t="s">
        <v>844</v>
      </c>
      <c r="R263" s="343">
        <v>325.01</v>
      </c>
    </row>
    <row r="264" spans="1:18" x14ac:dyDescent="0.2">
      <c r="A264" s="342" t="s">
        <v>728</v>
      </c>
      <c r="B264" s="337" t="s">
        <v>793</v>
      </c>
      <c r="C264" s="337" t="s">
        <v>795</v>
      </c>
      <c r="D264" s="337" t="s">
        <v>739</v>
      </c>
      <c r="E264" s="337" t="s">
        <v>790</v>
      </c>
      <c r="F264" s="337" t="s">
        <v>771</v>
      </c>
      <c r="G264" s="337" t="s">
        <v>799</v>
      </c>
      <c r="H264" s="337" t="s">
        <v>800</v>
      </c>
      <c r="I264" s="337" t="s">
        <v>767</v>
      </c>
      <c r="J264" s="337" t="s">
        <v>765</v>
      </c>
      <c r="K264" s="337"/>
      <c r="L264" s="337"/>
      <c r="M264" s="337" t="s">
        <v>821</v>
      </c>
      <c r="N264" s="337" t="s">
        <v>757</v>
      </c>
      <c r="O264" s="337" t="e">
        <v>#N/A</v>
      </c>
      <c r="P264" s="337"/>
      <c r="Q264" s="337" t="s">
        <v>845</v>
      </c>
      <c r="R264" s="343">
        <v>-1300.0899999999999</v>
      </c>
    </row>
    <row r="265" spans="1:18" x14ac:dyDescent="0.2">
      <c r="A265" s="342" t="s">
        <v>730</v>
      </c>
      <c r="B265" s="337" t="s">
        <v>793</v>
      </c>
      <c r="C265" s="337" t="s">
        <v>795</v>
      </c>
      <c r="D265" s="337" t="s">
        <v>739</v>
      </c>
      <c r="E265" s="337" t="s">
        <v>790</v>
      </c>
      <c r="F265" s="337" t="s">
        <v>771</v>
      </c>
      <c r="G265" s="337" t="s">
        <v>799</v>
      </c>
      <c r="H265" s="337" t="s">
        <v>800</v>
      </c>
      <c r="I265" s="337" t="s">
        <v>767</v>
      </c>
      <c r="J265" s="337" t="s">
        <v>765</v>
      </c>
      <c r="K265" s="337"/>
      <c r="L265" s="337"/>
      <c r="M265" s="337" t="s">
        <v>821</v>
      </c>
      <c r="N265" s="337" t="s">
        <v>757</v>
      </c>
      <c r="O265" s="337" t="e">
        <v>#N/A</v>
      </c>
      <c r="P265" s="337"/>
      <c r="Q265" s="337" t="s">
        <v>845</v>
      </c>
      <c r="R265" s="343">
        <v>1300.0899999999999</v>
      </c>
    </row>
    <row r="266" spans="1:18" x14ac:dyDescent="0.2">
      <c r="A266" s="342" t="s">
        <v>728</v>
      </c>
      <c r="B266" s="337" t="s">
        <v>793</v>
      </c>
      <c r="C266" s="337" t="s">
        <v>795</v>
      </c>
      <c r="D266" s="337" t="s">
        <v>739</v>
      </c>
      <c r="E266" s="337" t="s">
        <v>790</v>
      </c>
      <c r="F266" s="337" t="s">
        <v>771</v>
      </c>
      <c r="G266" s="337" t="s">
        <v>799</v>
      </c>
      <c r="H266" s="337" t="s">
        <v>800</v>
      </c>
      <c r="I266" s="337" t="s">
        <v>767</v>
      </c>
      <c r="J266" s="337" t="s">
        <v>765</v>
      </c>
      <c r="K266" s="337"/>
      <c r="L266" s="337"/>
      <c r="M266" s="337" t="s">
        <v>821</v>
      </c>
      <c r="N266" s="337" t="s">
        <v>757</v>
      </c>
      <c r="O266" s="337" t="e">
        <v>#N/A</v>
      </c>
      <c r="P266" s="337"/>
      <c r="Q266" s="337" t="s">
        <v>842</v>
      </c>
      <c r="R266" s="343">
        <v>-44.76</v>
      </c>
    </row>
    <row r="267" spans="1:18" x14ac:dyDescent="0.2">
      <c r="A267" s="342" t="s">
        <v>730</v>
      </c>
      <c r="B267" s="337" t="s">
        <v>793</v>
      </c>
      <c r="C267" s="337" t="s">
        <v>795</v>
      </c>
      <c r="D267" s="337" t="s">
        <v>739</v>
      </c>
      <c r="E267" s="337" t="s">
        <v>790</v>
      </c>
      <c r="F267" s="337" t="s">
        <v>771</v>
      </c>
      <c r="G267" s="337" t="s">
        <v>799</v>
      </c>
      <c r="H267" s="337" t="s">
        <v>800</v>
      </c>
      <c r="I267" s="337" t="s">
        <v>767</v>
      </c>
      <c r="J267" s="337" t="s">
        <v>765</v>
      </c>
      <c r="K267" s="337"/>
      <c r="L267" s="337"/>
      <c r="M267" s="337" t="s">
        <v>821</v>
      </c>
      <c r="N267" s="337" t="s">
        <v>757</v>
      </c>
      <c r="O267" s="337" t="e">
        <v>#N/A</v>
      </c>
      <c r="P267" s="337"/>
      <c r="Q267" s="337" t="s">
        <v>842</v>
      </c>
      <c r="R267" s="343">
        <v>44.76</v>
      </c>
    </row>
    <row r="268" spans="1:18" x14ac:dyDescent="0.2">
      <c r="A268" s="342" t="s">
        <v>728</v>
      </c>
      <c r="B268" s="337" t="s">
        <v>793</v>
      </c>
      <c r="C268" s="337" t="s">
        <v>795</v>
      </c>
      <c r="D268" s="337" t="s">
        <v>739</v>
      </c>
      <c r="E268" s="337" t="s">
        <v>790</v>
      </c>
      <c r="F268" s="337" t="s">
        <v>771</v>
      </c>
      <c r="G268" s="337" t="s">
        <v>799</v>
      </c>
      <c r="H268" s="337" t="s">
        <v>800</v>
      </c>
      <c r="I268" s="337" t="s">
        <v>767</v>
      </c>
      <c r="J268" s="337" t="s">
        <v>765</v>
      </c>
      <c r="K268" s="337"/>
      <c r="L268" s="337"/>
      <c r="M268" s="337" t="s">
        <v>824</v>
      </c>
      <c r="N268" s="337" t="s">
        <v>761</v>
      </c>
      <c r="O268" s="337" t="e">
        <v>#N/A</v>
      </c>
      <c r="P268" s="337"/>
      <c r="Q268" s="337" t="s">
        <v>843</v>
      </c>
      <c r="R268" s="343">
        <v>0</v>
      </c>
    </row>
    <row r="269" spans="1:18" x14ac:dyDescent="0.2">
      <c r="A269" s="342" t="s">
        <v>728</v>
      </c>
      <c r="B269" s="337" t="s">
        <v>793</v>
      </c>
      <c r="C269" s="337" t="s">
        <v>795</v>
      </c>
      <c r="D269" s="337" t="s">
        <v>739</v>
      </c>
      <c r="E269" s="337" t="s">
        <v>790</v>
      </c>
      <c r="F269" s="337" t="s">
        <v>771</v>
      </c>
      <c r="G269" s="337" t="s">
        <v>799</v>
      </c>
      <c r="H269" s="337" t="s">
        <v>800</v>
      </c>
      <c r="I269" s="337" t="s">
        <v>767</v>
      </c>
      <c r="J269" s="337" t="s">
        <v>765</v>
      </c>
      <c r="K269" s="337"/>
      <c r="L269" s="337"/>
      <c r="M269" s="337" t="s">
        <v>824</v>
      </c>
      <c r="N269" s="337" t="s">
        <v>761</v>
      </c>
      <c r="O269" s="337" t="e">
        <v>#N/A</v>
      </c>
      <c r="P269" s="337"/>
      <c r="Q269" s="337" t="s">
        <v>845</v>
      </c>
      <c r="R269" s="343">
        <v>-151018.47</v>
      </c>
    </row>
    <row r="270" spans="1:18" x14ac:dyDescent="0.2">
      <c r="A270" s="342" t="s">
        <v>730</v>
      </c>
      <c r="B270" s="337" t="s">
        <v>793</v>
      </c>
      <c r="C270" s="337" t="s">
        <v>795</v>
      </c>
      <c r="D270" s="337" t="s">
        <v>739</v>
      </c>
      <c r="E270" s="337" t="s">
        <v>790</v>
      </c>
      <c r="F270" s="337" t="s">
        <v>771</v>
      </c>
      <c r="G270" s="337" t="s">
        <v>799</v>
      </c>
      <c r="H270" s="337" t="s">
        <v>800</v>
      </c>
      <c r="I270" s="337" t="s">
        <v>767</v>
      </c>
      <c r="J270" s="337" t="s">
        <v>765</v>
      </c>
      <c r="K270" s="337"/>
      <c r="L270" s="337"/>
      <c r="M270" s="337" t="s">
        <v>824</v>
      </c>
      <c r="N270" s="337" t="s">
        <v>761</v>
      </c>
      <c r="O270" s="337" t="e">
        <v>#N/A</v>
      </c>
      <c r="P270" s="337"/>
      <c r="Q270" s="337" t="s">
        <v>845</v>
      </c>
      <c r="R270" s="343">
        <v>151018.47</v>
      </c>
    </row>
    <row r="271" spans="1:18" x14ac:dyDescent="0.2">
      <c r="A271" s="342" t="s">
        <v>728</v>
      </c>
      <c r="B271" s="337" t="s">
        <v>793</v>
      </c>
      <c r="C271" s="337" t="s">
        <v>795</v>
      </c>
      <c r="D271" s="337" t="s">
        <v>739</v>
      </c>
      <c r="E271" s="337" t="s">
        <v>790</v>
      </c>
      <c r="F271" s="337" t="s">
        <v>771</v>
      </c>
      <c r="G271" s="337" t="s">
        <v>799</v>
      </c>
      <c r="H271" s="337" t="s">
        <v>800</v>
      </c>
      <c r="I271" s="337" t="s">
        <v>767</v>
      </c>
      <c r="J271" s="337" t="s">
        <v>765</v>
      </c>
      <c r="K271" s="337"/>
      <c r="L271" s="337"/>
      <c r="M271" s="337" t="s">
        <v>824</v>
      </c>
      <c r="N271" s="337" t="s">
        <v>761</v>
      </c>
      <c r="O271" s="337" t="e">
        <v>#N/A</v>
      </c>
      <c r="P271" s="337"/>
      <c r="Q271" s="337" t="s">
        <v>842</v>
      </c>
      <c r="R271" s="343">
        <v>-15322.61</v>
      </c>
    </row>
    <row r="272" spans="1:18" x14ac:dyDescent="0.2">
      <c r="A272" s="342" t="s">
        <v>730</v>
      </c>
      <c r="B272" s="337" t="s">
        <v>793</v>
      </c>
      <c r="C272" s="337" t="s">
        <v>795</v>
      </c>
      <c r="D272" s="337" t="s">
        <v>739</v>
      </c>
      <c r="E272" s="337" t="s">
        <v>790</v>
      </c>
      <c r="F272" s="337" t="s">
        <v>771</v>
      </c>
      <c r="G272" s="337" t="s">
        <v>799</v>
      </c>
      <c r="H272" s="337" t="s">
        <v>800</v>
      </c>
      <c r="I272" s="337" t="s">
        <v>767</v>
      </c>
      <c r="J272" s="337" t="s">
        <v>765</v>
      </c>
      <c r="K272" s="337"/>
      <c r="L272" s="337"/>
      <c r="M272" s="337" t="s">
        <v>824</v>
      </c>
      <c r="N272" s="337" t="s">
        <v>761</v>
      </c>
      <c r="O272" s="337" t="e">
        <v>#N/A</v>
      </c>
      <c r="P272" s="337"/>
      <c r="Q272" s="337" t="s">
        <v>842</v>
      </c>
      <c r="R272" s="343">
        <v>15322.61</v>
      </c>
    </row>
    <row r="273" spans="1:18" x14ac:dyDescent="0.2">
      <c r="A273" s="342" t="s">
        <v>728</v>
      </c>
      <c r="B273" s="337" t="s">
        <v>793</v>
      </c>
      <c r="C273" s="337" t="s">
        <v>795</v>
      </c>
      <c r="D273" s="337" t="s">
        <v>739</v>
      </c>
      <c r="E273" s="337" t="s">
        <v>790</v>
      </c>
      <c r="F273" s="337" t="s">
        <v>771</v>
      </c>
      <c r="G273" s="337" t="s">
        <v>799</v>
      </c>
      <c r="H273" s="337" t="s">
        <v>800</v>
      </c>
      <c r="I273" s="337" t="s">
        <v>767</v>
      </c>
      <c r="J273" s="337" t="s">
        <v>765</v>
      </c>
      <c r="K273" s="337"/>
      <c r="L273" s="337"/>
      <c r="M273" s="337" t="s">
        <v>824</v>
      </c>
      <c r="N273" s="337" t="s">
        <v>761</v>
      </c>
      <c r="O273" s="337" t="e">
        <v>#N/A</v>
      </c>
      <c r="P273" s="337"/>
      <c r="Q273" s="337" t="s">
        <v>846</v>
      </c>
      <c r="R273" s="343">
        <v>-6752.11</v>
      </c>
    </row>
    <row r="274" spans="1:18" x14ac:dyDescent="0.2">
      <c r="A274" s="342" t="s">
        <v>730</v>
      </c>
      <c r="B274" s="337" t="s">
        <v>793</v>
      </c>
      <c r="C274" s="337" t="s">
        <v>795</v>
      </c>
      <c r="D274" s="337" t="s">
        <v>739</v>
      </c>
      <c r="E274" s="337" t="s">
        <v>790</v>
      </c>
      <c r="F274" s="337" t="s">
        <v>771</v>
      </c>
      <c r="G274" s="337" t="s">
        <v>799</v>
      </c>
      <c r="H274" s="337" t="s">
        <v>800</v>
      </c>
      <c r="I274" s="337" t="s">
        <v>767</v>
      </c>
      <c r="J274" s="337" t="s">
        <v>765</v>
      </c>
      <c r="K274" s="337"/>
      <c r="L274" s="337"/>
      <c r="M274" s="337" t="s">
        <v>824</v>
      </c>
      <c r="N274" s="337" t="s">
        <v>761</v>
      </c>
      <c r="O274" s="337" t="e">
        <v>#N/A</v>
      </c>
      <c r="P274" s="337"/>
      <c r="Q274" s="337" t="s">
        <v>846</v>
      </c>
      <c r="R274" s="343">
        <v>6752.11</v>
      </c>
    </row>
    <row r="275" spans="1:18" x14ac:dyDescent="0.2">
      <c r="A275" s="342" t="s">
        <v>728</v>
      </c>
      <c r="B275" s="337" t="s">
        <v>793</v>
      </c>
      <c r="C275" s="337" t="s">
        <v>795</v>
      </c>
      <c r="D275" s="337" t="s">
        <v>739</v>
      </c>
      <c r="E275" s="337" t="s">
        <v>790</v>
      </c>
      <c r="F275" s="337" t="s">
        <v>771</v>
      </c>
      <c r="G275" s="337" t="s">
        <v>799</v>
      </c>
      <c r="H275" s="337" t="s">
        <v>800</v>
      </c>
      <c r="I275" s="337" t="s">
        <v>767</v>
      </c>
      <c r="J275" s="337" t="s">
        <v>765</v>
      </c>
      <c r="K275" s="337"/>
      <c r="L275" s="337"/>
      <c r="M275" s="337" t="s">
        <v>825</v>
      </c>
      <c r="N275" s="337" t="s">
        <v>781</v>
      </c>
      <c r="O275" s="337" t="e">
        <v>#N/A</v>
      </c>
      <c r="P275" s="337"/>
      <c r="Q275" s="337" t="s">
        <v>847</v>
      </c>
      <c r="R275" s="343">
        <v>-1603.32</v>
      </c>
    </row>
    <row r="276" spans="1:18" x14ac:dyDescent="0.2">
      <c r="A276" s="342" t="s">
        <v>730</v>
      </c>
      <c r="B276" s="337" t="s">
        <v>793</v>
      </c>
      <c r="C276" s="337" t="s">
        <v>795</v>
      </c>
      <c r="D276" s="337" t="s">
        <v>739</v>
      </c>
      <c r="E276" s="337" t="s">
        <v>790</v>
      </c>
      <c r="F276" s="337" t="s">
        <v>771</v>
      </c>
      <c r="G276" s="337" t="s">
        <v>799</v>
      </c>
      <c r="H276" s="337" t="s">
        <v>800</v>
      </c>
      <c r="I276" s="337" t="s">
        <v>767</v>
      </c>
      <c r="J276" s="337" t="s">
        <v>765</v>
      </c>
      <c r="K276" s="337"/>
      <c r="L276" s="337"/>
      <c r="M276" s="337" t="s">
        <v>825</v>
      </c>
      <c r="N276" s="337" t="s">
        <v>781</v>
      </c>
      <c r="O276" s="337" t="e">
        <v>#N/A</v>
      </c>
      <c r="P276" s="337"/>
      <c r="Q276" s="337" t="s">
        <v>847</v>
      </c>
      <c r="R276" s="343">
        <v>1603.32</v>
      </c>
    </row>
    <row r="277" spans="1:18" x14ac:dyDescent="0.2">
      <c r="A277" s="342" t="s">
        <v>728</v>
      </c>
      <c r="B277" s="337" t="s">
        <v>793</v>
      </c>
      <c r="C277" s="337" t="s">
        <v>795</v>
      </c>
      <c r="D277" s="337" t="s">
        <v>739</v>
      </c>
      <c r="E277" s="337" t="s">
        <v>790</v>
      </c>
      <c r="F277" s="337" t="s">
        <v>771</v>
      </c>
      <c r="G277" s="337" t="s">
        <v>799</v>
      </c>
      <c r="H277" s="337" t="s">
        <v>800</v>
      </c>
      <c r="I277" s="337" t="s">
        <v>767</v>
      </c>
      <c r="J277" s="337" t="s">
        <v>765</v>
      </c>
      <c r="K277" s="337"/>
      <c r="L277" s="337"/>
      <c r="M277" s="337" t="s">
        <v>825</v>
      </c>
      <c r="N277" s="337" t="s">
        <v>781</v>
      </c>
      <c r="O277" s="337" t="e">
        <v>#N/A</v>
      </c>
      <c r="P277" s="337"/>
      <c r="Q277" s="337" t="s">
        <v>839</v>
      </c>
      <c r="R277" s="343">
        <v>-531.86</v>
      </c>
    </row>
    <row r="278" spans="1:18" x14ac:dyDescent="0.2">
      <c r="A278" s="342" t="s">
        <v>730</v>
      </c>
      <c r="B278" s="337" t="s">
        <v>793</v>
      </c>
      <c r="C278" s="337" t="s">
        <v>795</v>
      </c>
      <c r="D278" s="337" t="s">
        <v>739</v>
      </c>
      <c r="E278" s="337" t="s">
        <v>790</v>
      </c>
      <c r="F278" s="337" t="s">
        <v>771</v>
      </c>
      <c r="G278" s="337" t="s">
        <v>799</v>
      </c>
      <c r="H278" s="337" t="s">
        <v>800</v>
      </c>
      <c r="I278" s="337" t="s">
        <v>767</v>
      </c>
      <c r="J278" s="337" t="s">
        <v>765</v>
      </c>
      <c r="K278" s="337"/>
      <c r="L278" s="337"/>
      <c r="M278" s="337" t="s">
        <v>825</v>
      </c>
      <c r="N278" s="337" t="s">
        <v>781</v>
      </c>
      <c r="O278" s="337" t="e">
        <v>#N/A</v>
      </c>
      <c r="P278" s="337"/>
      <c r="Q278" s="337" t="s">
        <v>839</v>
      </c>
      <c r="R278" s="343">
        <v>531.86</v>
      </c>
    </row>
    <row r="279" spans="1:18" x14ac:dyDescent="0.2">
      <c r="A279" s="342" t="s">
        <v>728</v>
      </c>
      <c r="B279" s="337" t="s">
        <v>793</v>
      </c>
      <c r="C279" s="337" t="s">
        <v>795</v>
      </c>
      <c r="D279" s="337" t="s">
        <v>739</v>
      </c>
      <c r="E279" s="337" t="s">
        <v>790</v>
      </c>
      <c r="F279" s="337" t="s">
        <v>771</v>
      </c>
      <c r="G279" s="337" t="s">
        <v>799</v>
      </c>
      <c r="H279" s="337" t="s">
        <v>800</v>
      </c>
      <c r="I279" s="337" t="s">
        <v>767</v>
      </c>
      <c r="J279" s="337" t="s">
        <v>765</v>
      </c>
      <c r="K279" s="337"/>
      <c r="L279" s="337"/>
      <c r="M279" s="337" t="s">
        <v>825</v>
      </c>
      <c r="N279" s="337" t="s">
        <v>781</v>
      </c>
      <c r="O279" s="337" t="e">
        <v>#N/A</v>
      </c>
      <c r="P279" s="337"/>
      <c r="Q279" s="337" t="s">
        <v>845</v>
      </c>
      <c r="R279" s="343">
        <v>-9690.32</v>
      </c>
    </row>
    <row r="280" spans="1:18" x14ac:dyDescent="0.2">
      <c r="A280" s="342" t="s">
        <v>730</v>
      </c>
      <c r="B280" s="337" t="s">
        <v>793</v>
      </c>
      <c r="C280" s="337" t="s">
        <v>795</v>
      </c>
      <c r="D280" s="337" t="s">
        <v>739</v>
      </c>
      <c r="E280" s="337" t="s">
        <v>790</v>
      </c>
      <c r="F280" s="337" t="s">
        <v>771</v>
      </c>
      <c r="G280" s="337" t="s">
        <v>799</v>
      </c>
      <c r="H280" s="337" t="s">
        <v>800</v>
      </c>
      <c r="I280" s="337" t="s">
        <v>767</v>
      </c>
      <c r="J280" s="337" t="s">
        <v>765</v>
      </c>
      <c r="K280" s="337"/>
      <c r="L280" s="337"/>
      <c r="M280" s="337" t="s">
        <v>825</v>
      </c>
      <c r="N280" s="337" t="s">
        <v>781</v>
      </c>
      <c r="O280" s="337" t="e">
        <v>#N/A</v>
      </c>
      <c r="P280" s="337"/>
      <c r="Q280" s="337" t="s">
        <v>845</v>
      </c>
      <c r="R280" s="343">
        <v>9690.32</v>
      </c>
    </row>
    <row r="281" spans="1:18" x14ac:dyDescent="0.2">
      <c r="A281" s="342" t="s">
        <v>728</v>
      </c>
      <c r="B281" s="337" t="s">
        <v>793</v>
      </c>
      <c r="C281" s="337" t="s">
        <v>795</v>
      </c>
      <c r="D281" s="337" t="s">
        <v>739</v>
      </c>
      <c r="E281" s="337" t="s">
        <v>790</v>
      </c>
      <c r="F281" s="337" t="s">
        <v>771</v>
      </c>
      <c r="G281" s="337" t="s">
        <v>799</v>
      </c>
      <c r="H281" s="337" t="s">
        <v>800</v>
      </c>
      <c r="I281" s="337" t="s">
        <v>767</v>
      </c>
      <c r="J281" s="337" t="s">
        <v>765</v>
      </c>
      <c r="K281" s="337"/>
      <c r="L281" s="337"/>
      <c r="M281" s="337" t="s">
        <v>825</v>
      </c>
      <c r="N281" s="337" t="s">
        <v>781</v>
      </c>
      <c r="O281" s="337" t="e">
        <v>#N/A</v>
      </c>
      <c r="P281" s="337"/>
      <c r="Q281" s="337" t="s">
        <v>842</v>
      </c>
      <c r="R281" s="343">
        <v>-1080.45</v>
      </c>
    </row>
    <row r="282" spans="1:18" x14ac:dyDescent="0.2">
      <c r="A282" s="342" t="s">
        <v>730</v>
      </c>
      <c r="B282" s="337" t="s">
        <v>793</v>
      </c>
      <c r="C282" s="337" t="s">
        <v>795</v>
      </c>
      <c r="D282" s="337" t="s">
        <v>739</v>
      </c>
      <c r="E282" s="337" t="s">
        <v>790</v>
      </c>
      <c r="F282" s="337" t="s">
        <v>771</v>
      </c>
      <c r="G282" s="337" t="s">
        <v>799</v>
      </c>
      <c r="H282" s="337" t="s">
        <v>800</v>
      </c>
      <c r="I282" s="337" t="s">
        <v>767</v>
      </c>
      <c r="J282" s="337" t="s">
        <v>765</v>
      </c>
      <c r="K282" s="337"/>
      <c r="L282" s="337"/>
      <c r="M282" s="337" t="s">
        <v>825</v>
      </c>
      <c r="N282" s="337" t="s">
        <v>781</v>
      </c>
      <c r="O282" s="337" t="e">
        <v>#N/A</v>
      </c>
      <c r="P282" s="337"/>
      <c r="Q282" s="337" t="s">
        <v>842</v>
      </c>
      <c r="R282" s="343">
        <v>1080.45</v>
      </c>
    </row>
    <row r="283" spans="1:18" x14ac:dyDescent="0.2">
      <c r="A283" s="342" t="s">
        <v>728</v>
      </c>
      <c r="B283" s="337" t="s">
        <v>793</v>
      </c>
      <c r="C283" s="337" t="s">
        <v>795</v>
      </c>
      <c r="D283" s="337" t="s">
        <v>739</v>
      </c>
      <c r="E283" s="337" t="s">
        <v>790</v>
      </c>
      <c r="F283" s="337" t="s">
        <v>771</v>
      </c>
      <c r="G283" s="337" t="s">
        <v>799</v>
      </c>
      <c r="H283" s="337" t="s">
        <v>800</v>
      </c>
      <c r="I283" s="337" t="s">
        <v>767</v>
      </c>
      <c r="J283" s="337" t="s">
        <v>765</v>
      </c>
      <c r="K283" s="337"/>
      <c r="L283" s="337"/>
      <c r="M283" s="337" t="s">
        <v>826</v>
      </c>
      <c r="N283" s="337" t="s">
        <v>758</v>
      </c>
      <c r="O283" s="337" t="e">
        <v>#N/A</v>
      </c>
      <c r="P283" s="337"/>
      <c r="Q283" s="337" t="s">
        <v>847</v>
      </c>
      <c r="R283" s="343">
        <v>-102.26</v>
      </c>
    </row>
    <row r="284" spans="1:18" x14ac:dyDescent="0.2">
      <c r="A284" s="342" t="s">
        <v>730</v>
      </c>
      <c r="B284" s="337" t="s">
        <v>793</v>
      </c>
      <c r="C284" s="337" t="s">
        <v>795</v>
      </c>
      <c r="D284" s="337" t="s">
        <v>739</v>
      </c>
      <c r="E284" s="337" t="s">
        <v>790</v>
      </c>
      <c r="F284" s="337" t="s">
        <v>771</v>
      </c>
      <c r="G284" s="337" t="s">
        <v>799</v>
      </c>
      <c r="H284" s="337" t="s">
        <v>800</v>
      </c>
      <c r="I284" s="337" t="s">
        <v>767</v>
      </c>
      <c r="J284" s="337" t="s">
        <v>765</v>
      </c>
      <c r="K284" s="337"/>
      <c r="L284" s="337"/>
      <c r="M284" s="337" t="s">
        <v>826</v>
      </c>
      <c r="N284" s="337" t="s">
        <v>758</v>
      </c>
      <c r="O284" s="337" t="e">
        <v>#N/A</v>
      </c>
      <c r="P284" s="337"/>
      <c r="Q284" s="337" t="s">
        <v>847</v>
      </c>
      <c r="R284" s="343">
        <v>102.26</v>
      </c>
    </row>
    <row r="285" spans="1:18" x14ac:dyDescent="0.2">
      <c r="A285" s="342" t="s">
        <v>728</v>
      </c>
      <c r="B285" s="337" t="s">
        <v>793</v>
      </c>
      <c r="C285" s="337" t="s">
        <v>795</v>
      </c>
      <c r="D285" s="337" t="s">
        <v>739</v>
      </c>
      <c r="E285" s="337" t="s">
        <v>790</v>
      </c>
      <c r="F285" s="337" t="s">
        <v>771</v>
      </c>
      <c r="G285" s="337" t="s">
        <v>799</v>
      </c>
      <c r="H285" s="337" t="s">
        <v>800</v>
      </c>
      <c r="I285" s="337" t="s">
        <v>767</v>
      </c>
      <c r="J285" s="337" t="s">
        <v>765</v>
      </c>
      <c r="K285" s="337"/>
      <c r="L285" s="337"/>
      <c r="M285" s="337" t="s">
        <v>826</v>
      </c>
      <c r="N285" s="337" t="s">
        <v>758</v>
      </c>
      <c r="O285" s="337" t="e">
        <v>#N/A</v>
      </c>
      <c r="P285" s="337"/>
      <c r="Q285" s="337" t="s">
        <v>839</v>
      </c>
      <c r="R285" s="343">
        <v>-54.72</v>
      </c>
    </row>
    <row r="286" spans="1:18" x14ac:dyDescent="0.2">
      <c r="A286" s="342" t="s">
        <v>730</v>
      </c>
      <c r="B286" s="337" t="s">
        <v>793</v>
      </c>
      <c r="C286" s="337" t="s">
        <v>795</v>
      </c>
      <c r="D286" s="337" t="s">
        <v>739</v>
      </c>
      <c r="E286" s="337" t="s">
        <v>790</v>
      </c>
      <c r="F286" s="337" t="s">
        <v>771</v>
      </c>
      <c r="G286" s="337" t="s">
        <v>799</v>
      </c>
      <c r="H286" s="337" t="s">
        <v>800</v>
      </c>
      <c r="I286" s="337" t="s">
        <v>767</v>
      </c>
      <c r="J286" s="337" t="s">
        <v>765</v>
      </c>
      <c r="K286" s="337"/>
      <c r="L286" s="337"/>
      <c r="M286" s="337" t="s">
        <v>826</v>
      </c>
      <c r="N286" s="337" t="s">
        <v>758</v>
      </c>
      <c r="O286" s="337" t="e">
        <v>#N/A</v>
      </c>
      <c r="P286" s="337"/>
      <c r="Q286" s="337" t="s">
        <v>839</v>
      </c>
      <c r="R286" s="343">
        <v>54.72</v>
      </c>
    </row>
    <row r="287" spans="1:18" x14ac:dyDescent="0.2">
      <c r="A287" s="342" t="s">
        <v>728</v>
      </c>
      <c r="B287" s="337" t="s">
        <v>793</v>
      </c>
      <c r="C287" s="337" t="s">
        <v>795</v>
      </c>
      <c r="D287" s="337" t="s">
        <v>739</v>
      </c>
      <c r="E287" s="337" t="s">
        <v>790</v>
      </c>
      <c r="F287" s="337" t="s">
        <v>771</v>
      </c>
      <c r="G287" s="337" t="s">
        <v>799</v>
      </c>
      <c r="H287" s="337" t="s">
        <v>800</v>
      </c>
      <c r="I287" s="337" t="s">
        <v>767</v>
      </c>
      <c r="J287" s="337" t="s">
        <v>765</v>
      </c>
      <c r="K287" s="337"/>
      <c r="L287" s="337"/>
      <c r="M287" s="337" t="s">
        <v>826</v>
      </c>
      <c r="N287" s="337" t="s">
        <v>758</v>
      </c>
      <c r="O287" s="337" t="e">
        <v>#N/A</v>
      </c>
      <c r="P287" s="337"/>
      <c r="Q287" s="337" t="s">
        <v>840</v>
      </c>
      <c r="R287" s="343">
        <v>-26.18</v>
      </c>
    </row>
    <row r="288" spans="1:18" x14ac:dyDescent="0.2">
      <c r="A288" s="342" t="s">
        <v>730</v>
      </c>
      <c r="B288" s="337" t="s">
        <v>793</v>
      </c>
      <c r="C288" s="337" t="s">
        <v>795</v>
      </c>
      <c r="D288" s="337" t="s">
        <v>739</v>
      </c>
      <c r="E288" s="337" t="s">
        <v>790</v>
      </c>
      <c r="F288" s="337" t="s">
        <v>771</v>
      </c>
      <c r="G288" s="337" t="s">
        <v>799</v>
      </c>
      <c r="H288" s="337" t="s">
        <v>800</v>
      </c>
      <c r="I288" s="337" t="s">
        <v>767</v>
      </c>
      <c r="J288" s="337" t="s">
        <v>765</v>
      </c>
      <c r="K288" s="337"/>
      <c r="L288" s="337"/>
      <c r="M288" s="337" t="s">
        <v>826</v>
      </c>
      <c r="N288" s="337" t="s">
        <v>758</v>
      </c>
      <c r="O288" s="337" t="e">
        <v>#N/A</v>
      </c>
      <c r="P288" s="337"/>
      <c r="Q288" s="337" t="s">
        <v>840</v>
      </c>
      <c r="R288" s="343">
        <v>26.18</v>
      </c>
    </row>
    <row r="289" spans="1:18" x14ac:dyDescent="0.2">
      <c r="A289" s="342" t="s">
        <v>728</v>
      </c>
      <c r="B289" s="337" t="s">
        <v>793</v>
      </c>
      <c r="C289" s="337" t="s">
        <v>795</v>
      </c>
      <c r="D289" s="337" t="s">
        <v>739</v>
      </c>
      <c r="E289" s="337" t="s">
        <v>790</v>
      </c>
      <c r="F289" s="337" t="s">
        <v>771</v>
      </c>
      <c r="G289" s="337" t="s">
        <v>799</v>
      </c>
      <c r="H289" s="337" t="s">
        <v>800</v>
      </c>
      <c r="I289" s="337" t="s">
        <v>767</v>
      </c>
      <c r="J289" s="337" t="s">
        <v>765</v>
      </c>
      <c r="K289" s="337"/>
      <c r="L289" s="337"/>
      <c r="M289" s="337" t="s">
        <v>826</v>
      </c>
      <c r="N289" s="337" t="s">
        <v>758</v>
      </c>
      <c r="O289" s="337" t="e">
        <v>#N/A</v>
      </c>
      <c r="P289" s="337"/>
      <c r="Q289" s="337" t="s">
        <v>845</v>
      </c>
      <c r="R289" s="343">
        <v>0</v>
      </c>
    </row>
    <row r="290" spans="1:18" x14ac:dyDescent="0.2">
      <c r="A290" s="342" t="s">
        <v>728</v>
      </c>
      <c r="B290" s="337" t="s">
        <v>793</v>
      </c>
      <c r="C290" s="337" t="s">
        <v>795</v>
      </c>
      <c r="D290" s="337" t="s">
        <v>739</v>
      </c>
      <c r="E290" s="337" t="s">
        <v>790</v>
      </c>
      <c r="F290" s="337" t="s">
        <v>771</v>
      </c>
      <c r="G290" s="337" t="s">
        <v>799</v>
      </c>
      <c r="H290" s="337" t="s">
        <v>800</v>
      </c>
      <c r="I290" s="337" t="s">
        <v>767</v>
      </c>
      <c r="J290" s="337" t="s">
        <v>765</v>
      </c>
      <c r="K290" s="337"/>
      <c r="L290" s="337"/>
      <c r="M290" s="337" t="s">
        <v>826</v>
      </c>
      <c r="N290" s="337" t="s">
        <v>758</v>
      </c>
      <c r="O290" s="337" t="e">
        <v>#N/A</v>
      </c>
      <c r="P290" s="337"/>
      <c r="Q290" s="337" t="s">
        <v>842</v>
      </c>
      <c r="R290" s="343">
        <v>-62.84</v>
      </c>
    </row>
    <row r="291" spans="1:18" x14ac:dyDescent="0.2">
      <c r="A291" s="342" t="s">
        <v>730</v>
      </c>
      <c r="B291" s="337" t="s">
        <v>793</v>
      </c>
      <c r="C291" s="337" t="s">
        <v>795</v>
      </c>
      <c r="D291" s="337" t="s">
        <v>739</v>
      </c>
      <c r="E291" s="337" t="s">
        <v>790</v>
      </c>
      <c r="F291" s="337" t="s">
        <v>771</v>
      </c>
      <c r="G291" s="337" t="s">
        <v>799</v>
      </c>
      <c r="H291" s="337" t="s">
        <v>800</v>
      </c>
      <c r="I291" s="337" t="s">
        <v>767</v>
      </c>
      <c r="J291" s="337" t="s">
        <v>765</v>
      </c>
      <c r="K291" s="337"/>
      <c r="L291" s="337"/>
      <c r="M291" s="337" t="s">
        <v>826</v>
      </c>
      <c r="N291" s="337" t="s">
        <v>758</v>
      </c>
      <c r="O291" s="337" t="e">
        <v>#N/A</v>
      </c>
      <c r="P291" s="337"/>
      <c r="Q291" s="337" t="s">
        <v>842</v>
      </c>
      <c r="R291" s="343">
        <v>62.84</v>
      </c>
    </row>
    <row r="292" spans="1:18" x14ac:dyDescent="0.2">
      <c r="A292" s="342" t="s">
        <v>728</v>
      </c>
      <c r="B292" s="337" t="s">
        <v>793</v>
      </c>
      <c r="C292" s="337" t="s">
        <v>795</v>
      </c>
      <c r="D292" s="337" t="s">
        <v>739</v>
      </c>
      <c r="E292" s="337" t="s">
        <v>790</v>
      </c>
      <c r="F292" s="337" t="s">
        <v>771</v>
      </c>
      <c r="G292" s="337" t="s">
        <v>799</v>
      </c>
      <c r="H292" s="337" t="s">
        <v>800</v>
      </c>
      <c r="I292" s="337" t="s">
        <v>767</v>
      </c>
      <c r="J292" s="337" t="s">
        <v>765</v>
      </c>
      <c r="K292" s="337"/>
      <c r="L292" s="337"/>
      <c r="M292" s="337" t="s">
        <v>827</v>
      </c>
      <c r="N292" s="337" t="s">
        <v>828</v>
      </c>
      <c r="O292" s="337" t="e">
        <v>#N/A</v>
      </c>
      <c r="P292" s="337"/>
      <c r="Q292" s="337" t="s">
        <v>843</v>
      </c>
      <c r="R292" s="343">
        <v>-6051.06</v>
      </c>
    </row>
    <row r="293" spans="1:18" x14ac:dyDescent="0.2">
      <c r="A293" s="342" t="s">
        <v>730</v>
      </c>
      <c r="B293" s="337" t="s">
        <v>793</v>
      </c>
      <c r="C293" s="337" t="s">
        <v>795</v>
      </c>
      <c r="D293" s="337" t="s">
        <v>739</v>
      </c>
      <c r="E293" s="337" t="s">
        <v>790</v>
      </c>
      <c r="F293" s="337" t="s">
        <v>771</v>
      </c>
      <c r="G293" s="337" t="s">
        <v>799</v>
      </c>
      <c r="H293" s="337" t="s">
        <v>800</v>
      </c>
      <c r="I293" s="337" t="s">
        <v>767</v>
      </c>
      <c r="J293" s="337" t="s">
        <v>765</v>
      </c>
      <c r="K293" s="337"/>
      <c r="L293" s="337"/>
      <c r="M293" s="337" t="s">
        <v>827</v>
      </c>
      <c r="N293" s="337" t="s">
        <v>828</v>
      </c>
      <c r="O293" s="337" t="e">
        <v>#N/A</v>
      </c>
      <c r="P293" s="337"/>
      <c r="Q293" s="337" t="s">
        <v>843</v>
      </c>
      <c r="R293" s="343">
        <v>6051.06</v>
      </c>
    </row>
    <row r="294" spans="1:18" x14ac:dyDescent="0.2">
      <c r="A294" s="342" t="s">
        <v>728</v>
      </c>
      <c r="B294" s="337" t="s">
        <v>793</v>
      </c>
      <c r="C294" s="337" t="s">
        <v>795</v>
      </c>
      <c r="D294" s="337" t="s">
        <v>739</v>
      </c>
      <c r="E294" s="337" t="s">
        <v>790</v>
      </c>
      <c r="F294" s="337" t="s">
        <v>771</v>
      </c>
      <c r="G294" s="337" t="s">
        <v>799</v>
      </c>
      <c r="H294" s="337" t="s">
        <v>800</v>
      </c>
      <c r="I294" s="337" t="s">
        <v>767</v>
      </c>
      <c r="J294" s="337" t="s">
        <v>765</v>
      </c>
      <c r="K294" s="337"/>
      <c r="L294" s="337"/>
      <c r="M294" s="337" t="s">
        <v>827</v>
      </c>
      <c r="N294" s="337" t="s">
        <v>828</v>
      </c>
      <c r="O294" s="337" t="e">
        <v>#N/A</v>
      </c>
      <c r="P294" s="337"/>
      <c r="Q294" s="337" t="s">
        <v>846</v>
      </c>
      <c r="R294" s="343">
        <v>-1863.66</v>
      </c>
    </row>
    <row r="295" spans="1:18" x14ac:dyDescent="0.2">
      <c r="A295" s="342" t="s">
        <v>730</v>
      </c>
      <c r="B295" s="337" t="s">
        <v>793</v>
      </c>
      <c r="C295" s="337" t="s">
        <v>795</v>
      </c>
      <c r="D295" s="337" t="s">
        <v>739</v>
      </c>
      <c r="E295" s="337" t="s">
        <v>790</v>
      </c>
      <c r="F295" s="337" t="s">
        <v>771</v>
      </c>
      <c r="G295" s="337" t="s">
        <v>799</v>
      </c>
      <c r="H295" s="337" t="s">
        <v>800</v>
      </c>
      <c r="I295" s="337" t="s">
        <v>767</v>
      </c>
      <c r="J295" s="337" t="s">
        <v>765</v>
      </c>
      <c r="K295" s="337"/>
      <c r="L295" s="337"/>
      <c r="M295" s="337" t="s">
        <v>827</v>
      </c>
      <c r="N295" s="337" t="s">
        <v>828</v>
      </c>
      <c r="O295" s="337" t="e">
        <v>#N/A</v>
      </c>
      <c r="P295" s="337"/>
      <c r="Q295" s="337" t="s">
        <v>846</v>
      </c>
      <c r="R295" s="343">
        <v>1863.66</v>
      </c>
    </row>
    <row r="296" spans="1:18" x14ac:dyDescent="0.2">
      <c r="A296" s="342" t="s">
        <v>728</v>
      </c>
      <c r="B296" s="337" t="s">
        <v>793</v>
      </c>
      <c r="C296" s="337" t="s">
        <v>795</v>
      </c>
      <c r="D296" s="337" t="s">
        <v>739</v>
      </c>
      <c r="E296" s="337" t="s">
        <v>790</v>
      </c>
      <c r="F296" s="337" t="s">
        <v>771</v>
      </c>
      <c r="G296" s="337" t="s">
        <v>799</v>
      </c>
      <c r="H296" s="337" t="s">
        <v>800</v>
      </c>
      <c r="I296" s="337" t="s">
        <v>831</v>
      </c>
      <c r="J296" s="337" t="s">
        <v>766</v>
      </c>
      <c r="K296" s="337"/>
      <c r="L296" s="337"/>
      <c r="M296" s="337" t="s">
        <v>808</v>
      </c>
      <c r="N296" s="337" t="s">
        <v>809</v>
      </c>
      <c r="O296" s="337" t="e">
        <v>#N/A</v>
      </c>
      <c r="P296" s="337"/>
      <c r="Q296" s="337" t="s">
        <v>848</v>
      </c>
      <c r="R296" s="343">
        <v>-137030.97</v>
      </c>
    </row>
    <row r="297" spans="1:18" x14ac:dyDescent="0.2">
      <c r="A297" s="342" t="s">
        <v>730</v>
      </c>
      <c r="B297" s="337" t="s">
        <v>793</v>
      </c>
      <c r="C297" s="337" t="s">
        <v>795</v>
      </c>
      <c r="D297" s="337" t="s">
        <v>739</v>
      </c>
      <c r="E297" s="337" t="s">
        <v>790</v>
      </c>
      <c r="F297" s="337" t="s">
        <v>771</v>
      </c>
      <c r="G297" s="337" t="s">
        <v>799</v>
      </c>
      <c r="H297" s="337" t="s">
        <v>800</v>
      </c>
      <c r="I297" s="337" t="s">
        <v>831</v>
      </c>
      <c r="J297" s="337" t="s">
        <v>766</v>
      </c>
      <c r="K297" s="337"/>
      <c r="L297" s="337"/>
      <c r="M297" s="337" t="s">
        <v>808</v>
      </c>
      <c r="N297" s="337" t="s">
        <v>809</v>
      </c>
      <c r="O297" s="337" t="e">
        <v>#N/A</v>
      </c>
      <c r="P297" s="337"/>
      <c r="Q297" s="337" t="s">
        <v>848</v>
      </c>
      <c r="R297" s="343">
        <v>-9972.35</v>
      </c>
    </row>
    <row r="298" spans="1:18" x14ac:dyDescent="0.2">
      <c r="A298" s="342" t="s">
        <v>731</v>
      </c>
      <c r="B298" s="337" t="s">
        <v>793</v>
      </c>
      <c r="C298" s="337" t="s">
        <v>795</v>
      </c>
      <c r="D298" s="337" t="s">
        <v>739</v>
      </c>
      <c r="E298" s="337" t="s">
        <v>790</v>
      </c>
      <c r="F298" s="337" t="s">
        <v>771</v>
      </c>
      <c r="G298" s="337" t="s">
        <v>799</v>
      </c>
      <c r="H298" s="337" t="s">
        <v>800</v>
      </c>
      <c r="I298" s="337" t="s">
        <v>831</v>
      </c>
      <c r="J298" s="337" t="s">
        <v>766</v>
      </c>
      <c r="K298" s="337"/>
      <c r="L298" s="337"/>
      <c r="M298" s="337" t="s">
        <v>832</v>
      </c>
      <c r="N298" s="337" t="s">
        <v>833</v>
      </c>
      <c r="O298" s="337" t="e">
        <v>#N/A</v>
      </c>
      <c r="P298" s="337"/>
      <c r="Q298" s="337" t="s">
        <v>848</v>
      </c>
      <c r="R298" s="343">
        <v>-93180.09</v>
      </c>
    </row>
    <row r="299" spans="1:18" x14ac:dyDescent="0.2">
      <c r="A299" s="342" t="s">
        <v>732</v>
      </c>
      <c r="B299" s="337" t="s">
        <v>793</v>
      </c>
      <c r="C299" s="337" t="s">
        <v>795</v>
      </c>
      <c r="D299" s="337" t="s">
        <v>739</v>
      </c>
      <c r="E299" s="337" t="s">
        <v>790</v>
      </c>
      <c r="F299" s="337" t="s">
        <v>771</v>
      </c>
      <c r="G299" s="337" t="s">
        <v>799</v>
      </c>
      <c r="H299" s="337" t="s">
        <v>800</v>
      </c>
      <c r="I299" s="337" t="s">
        <v>831</v>
      </c>
      <c r="J299" s="337" t="s">
        <v>766</v>
      </c>
      <c r="K299" s="337"/>
      <c r="L299" s="337"/>
      <c r="M299" s="337" t="s">
        <v>832</v>
      </c>
      <c r="N299" s="337" t="s">
        <v>833</v>
      </c>
      <c r="O299" s="337" t="e">
        <v>#N/A</v>
      </c>
      <c r="P299" s="337"/>
      <c r="Q299" s="337" t="s">
        <v>848</v>
      </c>
      <c r="R299" s="343">
        <v>-95760.960000000006</v>
      </c>
    </row>
    <row r="300" spans="1:18" x14ac:dyDescent="0.2">
      <c r="A300" s="342" t="s">
        <v>726</v>
      </c>
      <c r="B300" s="337" t="s">
        <v>793</v>
      </c>
      <c r="C300" s="337" t="s">
        <v>795</v>
      </c>
      <c r="D300" s="337" t="s">
        <v>739</v>
      </c>
      <c r="E300" s="337" t="s">
        <v>790</v>
      </c>
      <c r="F300" s="337" t="s">
        <v>771</v>
      </c>
      <c r="G300" s="337" t="s">
        <v>799</v>
      </c>
      <c r="H300" s="337" t="s">
        <v>800</v>
      </c>
      <c r="I300" s="337" t="s">
        <v>831</v>
      </c>
      <c r="J300" s="337" t="s">
        <v>766</v>
      </c>
      <c r="K300" s="337"/>
      <c r="L300" s="337"/>
      <c r="M300" s="337" t="s">
        <v>832</v>
      </c>
      <c r="N300" s="337" t="s">
        <v>833</v>
      </c>
      <c r="O300" s="337" t="e">
        <v>#N/A</v>
      </c>
      <c r="P300" s="337"/>
      <c r="Q300" s="337" t="s">
        <v>848</v>
      </c>
      <c r="R300" s="343">
        <v>-135659.20000000001</v>
      </c>
    </row>
    <row r="301" spans="1:18" x14ac:dyDescent="0.2">
      <c r="A301" s="342" t="s">
        <v>733</v>
      </c>
      <c r="B301" s="337" t="s">
        <v>793</v>
      </c>
      <c r="C301" s="337" t="s">
        <v>795</v>
      </c>
      <c r="D301" s="337" t="s">
        <v>739</v>
      </c>
      <c r="E301" s="337" t="s">
        <v>790</v>
      </c>
      <c r="F301" s="337" t="s">
        <v>771</v>
      </c>
      <c r="G301" s="337" t="s">
        <v>799</v>
      </c>
      <c r="H301" s="337" t="s">
        <v>800</v>
      </c>
      <c r="I301" s="337" t="s">
        <v>831</v>
      </c>
      <c r="J301" s="337" t="s">
        <v>766</v>
      </c>
      <c r="K301" s="337"/>
      <c r="L301" s="337"/>
      <c r="M301" s="337" t="s">
        <v>832</v>
      </c>
      <c r="N301" s="337" t="s">
        <v>833</v>
      </c>
      <c r="O301" s="337" t="e">
        <v>#N/A</v>
      </c>
      <c r="P301" s="337"/>
      <c r="Q301" s="337" t="s">
        <v>848</v>
      </c>
      <c r="R301" s="343">
        <v>-171155.20000000001</v>
      </c>
    </row>
    <row r="302" spans="1:18" x14ac:dyDescent="0.2">
      <c r="A302" s="342" t="s">
        <v>734</v>
      </c>
      <c r="B302" s="337" t="s">
        <v>793</v>
      </c>
      <c r="C302" s="337" t="s">
        <v>795</v>
      </c>
      <c r="D302" s="337" t="s">
        <v>739</v>
      </c>
      <c r="E302" s="337" t="s">
        <v>790</v>
      </c>
      <c r="F302" s="337" t="s">
        <v>771</v>
      </c>
      <c r="G302" s="337" t="s">
        <v>799</v>
      </c>
      <c r="H302" s="337" t="s">
        <v>800</v>
      </c>
      <c r="I302" s="337" t="s">
        <v>831</v>
      </c>
      <c r="J302" s="337" t="s">
        <v>766</v>
      </c>
      <c r="K302" s="337"/>
      <c r="L302" s="337"/>
      <c r="M302" s="337" t="s">
        <v>832</v>
      </c>
      <c r="N302" s="337" t="s">
        <v>833</v>
      </c>
      <c r="O302" s="337" t="e">
        <v>#N/A</v>
      </c>
      <c r="P302" s="337"/>
      <c r="Q302" s="337" t="s">
        <v>848</v>
      </c>
      <c r="R302" s="343">
        <v>-85627.21</v>
      </c>
    </row>
    <row r="303" spans="1:18" x14ac:dyDescent="0.2">
      <c r="A303" s="342" t="s">
        <v>735</v>
      </c>
      <c r="B303" s="337" t="s">
        <v>793</v>
      </c>
      <c r="C303" s="337" t="s">
        <v>795</v>
      </c>
      <c r="D303" s="337" t="s">
        <v>739</v>
      </c>
      <c r="E303" s="337" t="s">
        <v>790</v>
      </c>
      <c r="F303" s="337" t="s">
        <v>771</v>
      </c>
      <c r="G303" s="337" t="s">
        <v>799</v>
      </c>
      <c r="H303" s="337" t="s">
        <v>800</v>
      </c>
      <c r="I303" s="337" t="s">
        <v>831</v>
      </c>
      <c r="J303" s="337" t="s">
        <v>766</v>
      </c>
      <c r="K303" s="337"/>
      <c r="L303" s="337"/>
      <c r="M303" s="337" t="s">
        <v>832</v>
      </c>
      <c r="N303" s="337" t="s">
        <v>833</v>
      </c>
      <c r="O303" s="337" t="e">
        <v>#N/A</v>
      </c>
      <c r="P303" s="337"/>
      <c r="Q303" s="337" t="s">
        <v>848</v>
      </c>
      <c r="R303" s="343">
        <v>-78209.19</v>
      </c>
    </row>
    <row r="304" spans="1:18" x14ac:dyDescent="0.2">
      <c r="A304" s="342" t="s">
        <v>736</v>
      </c>
      <c r="B304" s="337" t="s">
        <v>793</v>
      </c>
      <c r="C304" s="337" t="s">
        <v>795</v>
      </c>
      <c r="D304" s="337" t="s">
        <v>739</v>
      </c>
      <c r="E304" s="337" t="s">
        <v>790</v>
      </c>
      <c r="F304" s="337" t="s">
        <v>771</v>
      </c>
      <c r="G304" s="337" t="s">
        <v>799</v>
      </c>
      <c r="H304" s="337" t="s">
        <v>800</v>
      </c>
      <c r="I304" s="337" t="s">
        <v>831</v>
      </c>
      <c r="J304" s="337" t="s">
        <v>766</v>
      </c>
      <c r="K304" s="337"/>
      <c r="L304" s="337"/>
      <c r="M304" s="337" t="s">
        <v>832</v>
      </c>
      <c r="N304" s="337" t="s">
        <v>833</v>
      </c>
      <c r="O304" s="337" t="e">
        <v>#N/A</v>
      </c>
      <c r="P304" s="337"/>
      <c r="Q304" s="337" t="s">
        <v>848</v>
      </c>
      <c r="R304" s="343">
        <v>-75610.45</v>
      </c>
    </row>
    <row r="305" spans="1:18" x14ac:dyDescent="0.2">
      <c r="A305" s="342" t="s">
        <v>737</v>
      </c>
      <c r="B305" s="337" t="s">
        <v>793</v>
      </c>
      <c r="C305" s="337" t="s">
        <v>795</v>
      </c>
      <c r="D305" s="337" t="s">
        <v>739</v>
      </c>
      <c r="E305" s="337" t="s">
        <v>790</v>
      </c>
      <c r="F305" s="337" t="s">
        <v>771</v>
      </c>
      <c r="G305" s="337" t="s">
        <v>799</v>
      </c>
      <c r="H305" s="337" t="s">
        <v>800</v>
      </c>
      <c r="I305" s="337" t="s">
        <v>831</v>
      </c>
      <c r="J305" s="337" t="s">
        <v>766</v>
      </c>
      <c r="K305" s="337"/>
      <c r="L305" s="337"/>
      <c r="M305" s="337" t="s">
        <v>832</v>
      </c>
      <c r="N305" s="337" t="s">
        <v>833</v>
      </c>
      <c r="O305" s="337" t="e">
        <v>#N/A</v>
      </c>
      <c r="P305" s="337"/>
      <c r="Q305" s="337" t="s">
        <v>848</v>
      </c>
      <c r="R305" s="343">
        <v>-75610.45</v>
      </c>
    </row>
    <row r="306" spans="1:18" x14ac:dyDescent="0.2">
      <c r="A306" s="342" t="s">
        <v>738</v>
      </c>
      <c r="B306" s="337" t="s">
        <v>793</v>
      </c>
      <c r="C306" s="337" t="s">
        <v>795</v>
      </c>
      <c r="D306" s="337" t="s">
        <v>739</v>
      </c>
      <c r="E306" s="337" t="s">
        <v>790</v>
      </c>
      <c r="F306" s="337" t="s">
        <v>771</v>
      </c>
      <c r="G306" s="337" t="s">
        <v>799</v>
      </c>
      <c r="H306" s="337" t="s">
        <v>800</v>
      </c>
      <c r="I306" s="337" t="s">
        <v>831</v>
      </c>
      <c r="J306" s="337" t="s">
        <v>766</v>
      </c>
      <c r="K306" s="337"/>
      <c r="L306" s="337"/>
      <c r="M306" s="337" t="s">
        <v>832</v>
      </c>
      <c r="N306" s="337" t="s">
        <v>833</v>
      </c>
      <c r="O306" s="337" t="e">
        <v>#N/A</v>
      </c>
      <c r="P306" s="337"/>
      <c r="Q306" s="337" t="s">
        <v>848</v>
      </c>
      <c r="R306" s="343">
        <v>-81322.03</v>
      </c>
    </row>
    <row r="307" spans="1:18" x14ac:dyDescent="0.2">
      <c r="A307" s="342" t="s">
        <v>727</v>
      </c>
      <c r="B307" s="337" t="s">
        <v>793</v>
      </c>
      <c r="C307" s="337" t="s">
        <v>795</v>
      </c>
      <c r="D307" s="337" t="s">
        <v>739</v>
      </c>
      <c r="E307" s="337" t="s">
        <v>790</v>
      </c>
      <c r="F307" s="337" t="s">
        <v>771</v>
      </c>
      <c r="G307" s="337" t="s">
        <v>799</v>
      </c>
      <c r="H307" s="337" t="s">
        <v>800</v>
      </c>
      <c r="I307" s="337" t="s">
        <v>831</v>
      </c>
      <c r="J307" s="337" t="s">
        <v>766</v>
      </c>
      <c r="K307" s="337"/>
      <c r="L307" s="337"/>
      <c r="M307" s="337" t="s">
        <v>832</v>
      </c>
      <c r="N307" s="337" t="s">
        <v>833</v>
      </c>
      <c r="O307" s="337" t="e">
        <v>#N/A</v>
      </c>
      <c r="P307" s="337"/>
      <c r="Q307" s="337" t="s">
        <v>848</v>
      </c>
      <c r="R307" s="343">
        <v>-72803.039999999994</v>
      </c>
    </row>
    <row r="308" spans="1:18" x14ac:dyDescent="0.2">
      <c r="A308" s="342" t="s">
        <v>728</v>
      </c>
      <c r="B308" s="337" t="s">
        <v>793</v>
      </c>
      <c r="C308" s="337" t="s">
        <v>795</v>
      </c>
      <c r="D308" s="337" t="s">
        <v>739</v>
      </c>
      <c r="E308" s="337" t="s">
        <v>794</v>
      </c>
      <c r="F308" s="337" t="s">
        <v>773</v>
      </c>
      <c r="G308" s="337" t="s">
        <v>849</v>
      </c>
      <c r="H308" s="337" t="s">
        <v>850</v>
      </c>
      <c r="I308" s="337" t="s">
        <v>767</v>
      </c>
      <c r="J308" s="337" t="s">
        <v>765</v>
      </c>
      <c r="K308" s="337"/>
      <c r="L308" s="337"/>
      <c r="M308" s="337" t="s">
        <v>784</v>
      </c>
      <c r="N308" s="337" t="s">
        <v>755</v>
      </c>
      <c r="O308" s="337" t="e">
        <v>#N/A</v>
      </c>
      <c r="P308" s="337"/>
      <c r="Q308" s="337" t="s">
        <v>839</v>
      </c>
      <c r="R308" s="343">
        <v>-9135.42</v>
      </c>
    </row>
    <row r="309" spans="1:18" x14ac:dyDescent="0.2">
      <c r="A309" s="342" t="s">
        <v>730</v>
      </c>
      <c r="B309" s="337" t="s">
        <v>793</v>
      </c>
      <c r="C309" s="337" t="s">
        <v>795</v>
      </c>
      <c r="D309" s="337" t="s">
        <v>739</v>
      </c>
      <c r="E309" s="337" t="s">
        <v>794</v>
      </c>
      <c r="F309" s="337" t="s">
        <v>773</v>
      </c>
      <c r="G309" s="337" t="s">
        <v>849</v>
      </c>
      <c r="H309" s="337" t="s">
        <v>850</v>
      </c>
      <c r="I309" s="337" t="s">
        <v>767</v>
      </c>
      <c r="J309" s="337" t="s">
        <v>765</v>
      </c>
      <c r="K309" s="337"/>
      <c r="L309" s="337"/>
      <c r="M309" s="337" t="s">
        <v>784</v>
      </c>
      <c r="N309" s="337" t="s">
        <v>755</v>
      </c>
      <c r="O309" s="337" t="e">
        <v>#N/A</v>
      </c>
      <c r="P309" s="337"/>
      <c r="Q309" s="337" t="s">
        <v>839</v>
      </c>
      <c r="R309" s="343">
        <v>-9135.42</v>
      </c>
    </row>
    <row r="310" spans="1:18" x14ac:dyDescent="0.2">
      <c r="A310" s="342" t="s">
        <v>731</v>
      </c>
      <c r="B310" s="337" t="s">
        <v>793</v>
      </c>
      <c r="C310" s="337" t="s">
        <v>795</v>
      </c>
      <c r="D310" s="337" t="s">
        <v>739</v>
      </c>
      <c r="E310" s="337" t="s">
        <v>794</v>
      </c>
      <c r="F310" s="337" t="s">
        <v>773</v>
      </c>
      <c r="G310" s="337" t="s">
        <v>849</v>
      </c>
      <c r="H310" s="337" t="s">
        <v>850</v>
      </c>
      <c r="I310" s="337" t="s">
        <v>767</v>
      </c>
      <c r="J310" s="337" t="s">
        <v>765</v>
      </c>
      <c r="K310" s="337"/>
      <c r="L310" s="337"/>
      <c r="M310" s="337" t="s">
        <v>784</v>
      </c>
      <c r="N310" s="337" t="s">
        <v>755</v>
      </c>
      <c r="O310" s="337" t="e">
        <v>#N/A</v>
      </c>
      <c r="P310" s="337"/>
      <c r="Q310" s="337" t="s">
        <v>839</v>
      </c>
      <c r="R310" s="343">
        <v>7367.27</v>
      </c>
    </row>
    <row r="311" spans="1:18" x14ac:dyDescent="0.2">
      <c r="A311" s="342" t="s">
        <v>732</v>
      </c>
      <c r="B311" s="337" t="s">
        <v>793</v>
      </c>
      <c r="C311" s="337" t="s">
        <v>795</v>
      </c>
      <c r="D311" s="337" t="s">
        <v>739</v>
      </c>
      <c r="E311" s="337" t="s">
        <v>794</v>
      </c>
      <c r="F311" s="337" t="s">
        <v>773</v>
      </c>
      <c r="G311" s="337" t="s">
        <v>849</v>
      </c>
      <c r="H311" s="337" t="s">
        <v>850</v>
      </c>
      <c r="I311" s="337" t="s">
        <v>767</v>
      </c>
      <c r="J311" s="337" t="s">
        <v>765</v>
      </c>
      <c r="K311" s="337"/>
      <c r="L311" s="337"/>
      <c r="M311" s="337" t="s">
        <v>784</v>
      </c>
      <c r="N311" s="337" t="s">
        <v>755</v>
      </c>
      <c r="O311" s="337" t="e">
        <v>#N/A</v>
      </c>
      <c r="P311" s="337"/>
      <c r="Q311" s="337" t="s">
        <v>839</v>
      </c>
      <c r="R311" s="343">
        <v>-9155.17</v>
      </c>
    </row>
    <row r="312" spans="1:18" x14ac:dyDescent="0.2">
      <c r="A312" s="342" t="s">
        <v>726</v>
      </c>
      <c r="B312" s="337" t="s">
        <v>793</v>
      </c>
      <c r="C312" s="337" t="s">
        <v>795</v>
      </c>
      <c r="D312" s="337" t="s">
        <v>739</v>
      </c>
      <c r="E312" s="337" t="s">
        <v>794</v>
      </c>
      <c r="F312" s="337" t="s">
        <v>773</v>
      </c>
      <c r="G312" s="337" t="s">
        <v>849</v>
      </c>
      <c r="H312" s="337" t="s">
        <v>850</v>
      </c>
      <c r="I312" s="337" t="s">
        <v>767</v>
      </c>
      <c r="J312" s="337" t="s">
        <v>765</v>
      </c>
      <c r="K312" s="337"/>
      <c r="L312" s="337"/>
      <c r="M312" s="337" t="s">
        <v>784</v>
      </c>
      <c r="N312" s="337" t="s">
        <v>755</v>
      </c>
      <c r="O312" s="337" t="e">
        <v>#N/A</v>
      </c>
      <c r="P312" s="337"/>
      <c r="Q312" s="337" t="s">
        <v>839</v>
      </c>
      <c r="R312" s="343">
        <v>-8859.84</v>
      </c>
    </row>
    <row r="313" spans="1:18" x14ac:dyDescent="0.2">
      <c r="A313" s="342" t="s">
        <v>733</v>
      </c>
      <c r="B313" s="337" t="s">
        <v>793</v>
      </c>
      <c r="C313" s="337" t="s">
        <v>795</v>
      </c>
      <c r="D313" s="337" t="s">
        <v>739</v>
      </c>
      <c r="E313" s="337" t="s">
        <v>794</v>
      </c>
      <c r="F313" s="337" t="s">
        <v>773</v>
      </c>
      <c r="G313" s="337" t="s">
        <v>849</v>
      </c>
      <c r="H313" s="337" t="s">
        <v>850</v>
      </c>
      <c r="I313" s="337" t="s">
        <v>767</v>
      </c>
      <c r="J313" s="337" t="s">
        <v>765</v>
      </c>
      <c r="K313" s="337"/>
      <c r="L313" s="337"/>
      <c r="M313" s="337" t="s">
        <v>784</v>
      </c>
      <c r="N313" s="337" t="s">
        <v>755</v>
      </c>
      <c r="O313" s="337" t="e">
        <v>#N/A</v>
      </c>
      <c r="P313" s="337"/>
      <c r="Q313" s="337" t="s">
        <v>839</v>
      </c>
      <c r="R313" s="343">
        <v>-9155.17</v>
      </c>
    </row>
    <row r="314" spans="1:18" x14ac:dyDescent="0.2">
      <c r="A314" s="342" t="s">
        <v>734</v>
      </c>
      <c r="B314" s="337" t="s">
        <v>793</v>
      </c>
      <c r="C314" s="337" t="s">
        <v>795</v>
      </c>
      <c r="D314" s="337" t="s">
        <v>739</v>
      </c>
      <c r="E314" s="337" t="s">
        <v>794</v>
      </c>
      <c r="F314" s="337" t="s">
        <v>773</v>
      </c>
      <c r="G314" s="337" t="s">
        <v>849</v>
      </c>
      <c r="H314" s="337" t="s">
        <v>850</v>
      </c>
      <c r="I314" s="337" t="s">
        <v>767</v>
      </c>
      <c r="J314" s="337" t="s">
        <v>765</v>
      </c>
      <c r="K314" s="337"/>
      <c r="L314" s="337"/>
      <c r="M314" s="337" t="s">
        <v>784</v>
      </c>
      <c r="N314" s="337" t="s">
        <v>755</v>
      </c>
      <c r="O314" s="337" t="e">
        <v>#N/A</v>
      </c>
      <c r="P314" s="337"/>
      <c r="Q314" s="337" t="s">
        <v>839</v>
      </c>
      <c r="R314" s="343">
        <v>-10092.4</v>
      </c>
    </row>
    <row r="315" spans="1:18" x14ac:dyDescent="0.2">
      <c r="A315" s="342" t="s">
        <v>735</v>
      </c>
      <c r="B315" s="337" t="s">
        <v>793</v>
      </c>
      <c r="C315" s="337" t="s">
        <v>795</v>
      </c>
      <c r="D315" s="337" t="s">
        <v>739</v>
      </c>
      <c r="E315" s="337" t="s">
        <v>794</v>
      </c>
      <c r="F315" s="337" t="s">
        <v>773</v>
      </c>
      <c r="G315" s="337" t="s">
        <v>849</v>
      </c>
      <c r="H315" s="337" t="s">
        <v>850</v>
      </c>
      <c r="I315" s="337" t="s">
        <v>767</v>
      </c>
      <c r="J315" s="337" t="s">
        <v>765</v>
      </c>
      <c r="K315" s="337"/>
      <c r="L315" s="337"/>
      <c r="M315" s="337" t="s">
        <v>784</v>
      </c>
      <c r="N315" s="337" t="s">
        <v>755</v>
      </c>
      <c r="O315" s="337" t="e">
        <v>#N/A</v>
      </c>
      <c r="P315" s="337"/>
      <c r="Q315" s="337" t="s">
        <v>839</v>
      </c>
      <c r="R315" s="343">
        <v>-9115.7199999999993</v>
      </c>
    </row>
    <row r="316" spans="1:18" x14ac:dyDescent="0.2">
      <c r="A316" s="342" t="s">
        <v>736</v>
      </c>
      <c r="B316" s="337" t="s">
        <v>793</v>
      </c>
      <c r="C316" s="337" t="s">
        <v>795</v>
      </c>
      <c r="D316" s="337" t="s">
        <v>739</v>
      </c>
      <c r="E316" s="337" t="s">
        <v>794</v>
      </c>
      <c r="F316" s="337" t="s">
        <v>773</v>
      </c>
      <c r="G316" s="337" t="s">
        <v>849</v>
      </c>
      <c r="H316" s="337" t="s">
        <v>850</v>
      </c>
      <c r="I316" s="337" t="s">
        <v>767</v>
      </c>
      <c r="J316" s="337" t="s">
        <v>765</v>
      </c>
      <c r="K316" s="337"/>
      <c r="L316" s="337"/>
      <c r="M316" s="337" t="s">
        <v>784</v>
      </c>
      <c r="N316" s="337" t="s">
        <v>755</v>
      </c>
      <c r="O316" s="337" t="e">
        <v>#N/A</v>
      </c>
      <c r="P316" s="337"/>
      <c r="Q316" s="337" t="s">
        <v>839</v>
      </c>
      <c r="R316" s="343">
        <v>-10092.4</v>
      </c>
    </row>
    <row r="317" spans="1:18" x14ac:dyDescent="0.2">
      <c r="A317" s="342" t="s">
        <v>737</v>
      </c>
      <c r="B317" s="337" t="s">
        <v>793</v>
      </c>
      <c r="C317" s="337" t="s">
        <v>795</v>
      </c>
      <c r="D317" s="337" t="s">
        <v>739</v>
      </c>
      <c r="E317" s="337" t="s">
        <v>794</v>
      </c>
      <c r="F317" s="337" t="s">
        <v>773</v>
      </c>
      <c r="G317" s="337" t="s">
        <v>849</v>
      </c>
      <c r="H317" s="337" t="s">
        <v>850</v>
      </c>
      <c r="I317" s="337" t="s">
        <v>767</v>
      </c>
      <c r="J317" s="337" t="s">
        <v>765</v>
      </c>
      <c r="K317" s="337"/>
      <c r="L317" s="337"/>
      <c r="M317" s="337" t="s">
        <v>784</v>
      </c>
      <c r="N317" s="337" t="s">
        <v>755</v>
      </c>
      <c r="O317" s="337" t="e">
        <v>#N/A</v>
      </c>
      <c r="P317" s="337"/>
      <c r="Q317" s="337" t="s">
        <v>839</v>
      </c>
      <c r="R317" s="343">
        <v>-9857.93</v>
      </c>
    </row>
    <row r="318" spans="1:18" x14ac:dyDescent="0.2">
      <c r="A318" s="342" t="s">
        <v>738</v>
      </c>
      <c r="B318" s="337" t="s">
        <v>793</v>
      </c>
      <c r="C318" s="337" t="s">
        <v>795</v>
      </c>
      <c r="D318" s="337" t="s">
        <v>739</v>
      </c>
      <c r="E318" s="337" t="s">
        <v>794</v>
      </c>
      <c r="F318" s="337" t="s">
        <v>773</v>
      </c>
      <c r="G318" s="337" t="s">
        <v>849</v>
      </c>
      <c r="H318" s="337" t="s">
        <v>850</v>
      </c>
      <c r="I318" s="337" t="s">
        <v>767</v>
      </c>
      <c r="J318" s="337" t="s">
        <v>765</v>
      </c>
      <c r="K318" s="337"/>
      <c r="L318" s="337"/>
      <c r="M318" s="337" t="s">
        <v>784</v>
      </c>
      <c r="N318" s="337" t="s">
        <v>755</v>
      </c>
      <c r="O318" s="337" t="e">
        <v>#N/A</v>
      </c>
      <c r="P318" s="337"/>
      <c r="Q318" s="337" t="s">
        <v>839</v>
      </c>
      <c r="R318" s="343">
        <v>-10186.52</v>
      </c>
    </row>
    <row r="319" spans="1:18" x14ac:dyDescent="0.2">
      <c r="A319" s="342" t="s">
        <v>727</v>
      </c>
      <c r="B319" s="337" t="s">
        <v>793</v>
      </c>
      <c r="C319" s="337" t="s">
        <v>795</v>
      </c>
      <c r="D319" s="337" t="s">
        <v>739</v>
      </c>
      <c r="E319" s="337" t="s">
        <v>794</v>
      </c>
      <c r="F319" s="337" t="s">
        <v>773</v>
      </c>
      <c r="G319" s="337" t="s">
        <v>849</v>
      </c>
      <c r="H319" s="337" t="s">
        <v>850</v>
      </c>
      <c r="I319" s="337" t="s">
        <v>767</v>
      </c>
      <c r="J319" s="337" t="s">
        <v>765</v>
      </c>
      <c r="K319" s="337"/>
      <c r="L319" s="337"/>
      <c r="M319" s="337" t="s">
        <v>784</v>
      </c>
      <c r="N319" s="337" t="s">
        <v>755</v>
      </c>
      <c r="O319" s="337" t="e">
        <v>#N/A</v>
      </c>
      <c r="P319" s="337"/>
      <c r="Q319" s="337" t="s">
        <v>839</v>
      </c>
      <c r="R319" s="343">
        <v>-9857.93</v>
      </c>
    </row>
    <row r="320" spans="1:18" x14ac:dyDescent="0.2">
      <c r="A320" s="342" t="s">
        <v>728</v>
      </c>
      <c r="B320" s="337" t="s">
        <v>793</v>
      </c>
      <c r="C320" s="337" t="s">
        <v>795</v>
      </c>
      <c r="D320" s="337" t="s">
        <v>739</v>
      </c>
      <c r="E320" s="337" t="s">
        <v>794</v>
      </c>
      <c r="F320" s="337" t="s">
        <v>773</v>
      </c>
      <c r="G320" s="337" t="s">
        <v>849</v>
      </c>
      <c r="H320" s="337" t="s">
        <v>850</v>
      </c>
      <c r="I320" s="337" t="s">
        <v>767</v>
      </c>
      <c r="J320" s="337" t="s">
        <v>765</v>
      </c>
      <c r="K320" s="337"/>
      <c r="L320" s="337"/>
      <c r="M320" s="337" t="s">
        <v>784</v>
      </c>
      <c r="N320" s="337" t="s">
        <v>755</v>
      </c>
      <c r="O320" s="337" t="e">
        <v>#N/A</v>
      </c>
      <c r="P320" s="337"/>
      <c r="Q320" s="337" t="s">
        <v>840</v>
      </c>
      <c r="R320" s="343">
        <v>-52838.61</v>
      </c>
    </row>
    <row r="321" spans="1:18" x14ac:dyDescent="0.2">
      <c r="A321" s="342" t="s">
        <v>730</v>
      </c>
      <c r="B321" s="337" t="s">
        <v>793</v>
      </c>
      <c r="C321" s="337" t="s">
        <v>795</v>
      </c>
      <c r="D321" s="337" t="s">
        <v>739</v>
      </c>
      <c r="E321" s="337" t="s">
        <v>794</v>
      </c>
      <c r="F321" s="337" t="s">
        <v>773</v>
      </c>
      <c r="G321" s="337" t="s">
        <v>849</v>
      </c>
      <c r="H321" s="337" t="s">
        <v>850</v>
      </c>
      <c r="I321" s="337" t="s">
        <v>767</v>
      </c>
      <c r="J321" s="337" t="s">
        <v>765</v>
      </c>
      <c r="K321" s="337"/>
      <c r="L321" s="337"/>
      <c r="M321" s="337" t="s">
        <v>784</v>
      </c>
      <c r="N321" s="337" t="s">
        <v>755</v>
      </c>
      <c r="O321" s="337" t="e">
        <v>#N/A</v>
      </c>
      <c r="P321" s="337"/>
      <c r="Q321" s="337" t="s">
        <v>840</v>
      </c>
      <c r="R321" s="343">
        <v>-52838.61</v>
      </c>
    </row>
    <row r="322" spans="1:18" x14ac:dyDescent="0.2">
      <c r="A322" s="342" t="s">
        <v>731</v>
      </c>
      <c r="B322" s="337" t="s">
        <v>793</v>
      </c>
      <c r="C322" s="337" t="s">
        <v>795</v>
      </c>
      <c r="D322" s="337" t="s">
        <v>739</v>
      </c>
      <c r="E322" s="337" t="s">
        <v>794</v>
      </c>
      <c r="F322" s="337" t="s">
        <v>773</v>
      </c>
      <c r="G322" s="337" t="s">
        <v>849</v>
      </c>
      <c r="H322" s="337" t="s">
        <v>850</v>
      </c>
      <c r="I322" s="337" t="s">
        <v>767</v>
      </c>
      <c r="J322" s="337" t="s">
        <v>765</v>
      </c>
      <c r="K322" s="337"/>
      <c r="L322" s="337"/>
      <c r="M322" s="337" t="s">
        <v>784</v>
      </c>
      <c r="N322" s="337" t="s">
        <v>755</v>
      </c>
      <c r="O322" s="337" t="e">
        <v>#N/A</v>
      </c>
      <c r="P322" s="337"/>
      <c r="Q322" s="337" t="s">
        <v>840</v>
      </c>
      <c r="R322" s="343">
        <v>-51134.13</v>
      </c>
    </row>
    <row r="323" spans="1:18" x14ac:dyDescent="0.2">
      <c r="A323" s="342" t="s">
        <v>732</v>
      </c>
      <c r="B323" s="337" t="s">
        <v>793</v>
      </c>
      <c r="C323" s="337" t="s">
        <v>795</v>
      </c>
      <c r="D323" s="337" t="s">
        <v>739</v>
      </c>
      <c r="E323" s="337" t="s">
        <v>794</v>
      </c>
      <c r="F323" s="337" t="s">
        <v>773</v>
      </c>
      <c r="G323" s="337" t="s">
        <v>849</v>
      </c>
      <c r="H323" s="337" t="s">
        <v>850</v>
      </c>
      <c r="I323" s="337" t="s">
        <v>767</v>
      </c>
      <c r="J323" s="337" t="s">
        <v>765</v>
      </c>
      <c r="K323" s="337"/>
      <c r="L323" s="337"/>
      <c r="M323" s="337" t="s">
        <v>784</v>
      </c>
      <c r="N323" s="337" t="s">
        <v>755</v>
      </c>
      <c r="O323" s="337" t="e">
        <v>#N/A</v>
      </c>
      <c r="P323" s="337"/>
      <c r="Q323" s="337" t="s">
        <v>840</v>
      </c>
      <c r="R323" s="343">
        <v>-52952.81</v>
      </c>
    </row>
    <row r="324" spans="1:18" x14ac:dyDescent="0.2">
      <c r="A324" s="342" t="s">
        <v>726</v>
      </c>
      <c r="B324" s="337" t="s">
        <v>793</v>
      </c>
      <c r="C324" s="337" t="s">
        <v>795</v>
      </c>
      <c r="D324" s="337" t="s">
        <v>739</v>
      </c>
      <c r="E324" s="337" t="s">
        <v>794</v>
      </c>
      <c r="F324" s="337" t="s">
        <v>773</v>
      </c>
      <c r="G324" s="337" t="s">
        <v>849</v>
      </c>
      <c r="H324" s="337" t="s">
        <v>850</v>
      </c>
      <c r="I324" s="337" t="s">
        <v>767</v>
      </c>
      <c r="J324" s="337" t="s">
        <v>765</v>
      </c>
      <c r="K324" s="337"/>
      <c r="L324" s="337"/>
      <c r="M324" s="337" t="s">
        <v>784</v>
      </c>
      <c r="N324" s="337" t="s">
        <v>755</v>
      </c>
      <c r="O324" s="337" t="e">
        <v>#N/A</v>
      </c>
      <c r="P324" s="337"/>
      <c r="Q324" s="337" t="s">
        <v>840</v>
      </c>
      <c r="R324" s="343">
        <v>-51244.65</v>
      </c>
    </row>
    <row r="325" spans="1:18" x14ac:dyDescent="0.2">
      <c r="A325" s="342" t="s">
        <v>733</v>
      </c>
      <c r="B325" s="337" t="s">
        <v>793</v>
      </c>
      <c r="C325" s="337" t="s">
        <v>795</v>
      </c>
      <c r="D325" s="337" t="s">
        <v>739</v>
      </c>
      <c r="E325" s="337" t="s">
        <v>794</v>
      </c>
      <c r="F325" s="337" t="s">
        <v>773</v>
      </c>
      <c r="G325" s="337" t="s">
        <v>849</v>
      </c>
      <c r="H325" s="337" t="s">
        <v>850</v>
      </c>
      <c r="I325" s="337" t="s">
        <v>767</v>
      </c>
      <c r="J325" s="337" t="s">
        <v>765</v>
      </c>
      <c r="K325" s="337"/>
      <c r="L325" s="337"/>
      <c r="M325" s="337" t="s">
        <v>784</v>
      </c>
      <c r="N325" s="337" t="s">
        <v>755</v>
      </c>
      <c r="O325" s="337" t="e">
        <v>#N/A</v>
      </c>
      <c r="P325" s="337"/>
      <c r="Q325" s="337" t="s">
        <v>840</v>
      </c>
      <c r="R325" s="343">
        <v>-52952.81</v>
      </c>
    </row>
    <row r="326" spans="1:18" x14ac:dyDescent="0.2">
      <c r="A326" s="342" t="s">
        <v>734</v>
      </c>
      <c r="B326" s="337" t="s">
        <v>793</v>
      </c>
      <c r="C326" s="337" t="s">
        <v>795</v>
      </c>
      <c r="D326" s="337" t="s">
        <v>739</v>
      </c>
      <c r="E326" s="337" t="s">
        <v>794</v>
      </c>
      <c r="F326" s="337" t="s">
        <v>773</v>
      </c>
      <c r="G326" s="337" t="s">
        <v>849</v>
      </c>
      <c r="H326" s="337" t="s">
        <v>850</v>
      </c>
      <c r="I326" s="337" t="s">
        <v>767</v>
      </c>
      <c r="J326" s="337" t="s">
        <v>765</v>
      </c>
      <c r="K326" s="337"/>
      <c r="L326" s="337"/>
      <c r="M326" s="337" t="s">
        <v>784</v>
      </c>
      <c r="N326" s="337" t="s">
        <v>755</v>
      </c>
      <c r="O326" s="337" t="e">
        <v>#N/A</v>
      </c>
      <c r="P326" s="337"/>
      <c r="Q326" s="337" t="s">
        <v>840</v>
      </c>
      <c r="R326" s="343">
        <v>-33681.050000000003</v>
      </c>
    </row>
    <row r="327" spans="1:18" x14ac:dyDescent="0.2">
      <c r="A327" s="342" t="s">
        <v>735</v>
      </c>
      <c r="B327" s="337" t="s">
        <v>793</v>
      </c>
      <c r="C327" s="337" t="s">
        <v>795</v>
      </c>
      <c r="D327" s="337" t="s">
        <v>739</v>
      </c>
      <c r="E327" s="337" t="s">
        <v>794</v>
      </c>
      <c r="F327" s="337" t="s">
        <v>773</v>
      </c>
      <c r="G327" s="337" t="s">
        <v>849</v>
      </c>
      <c r="H327" s="337" t="s">
        <v>850</v>
      </c>
      <c r="I327" s="337" t="s">
        <v>767</v>
      </c>
      <c r="J327" s="337" t="s">
        <v>765</v>
      </c>
      <c r="K327" s="337"/>
      <c r="L327" s="337"/>
      <c r="M327" s="337" t="s">
        <v>784</v>
      </c>
      <c r="N327" s="337" t="s">
        <v>755</v>
      </c>
      <c r="O327" s="337" t="e">
        <v>#N/A</v>
      </c>
      <c r="P327" s="337"/>
      <c r="Q327" s="337" t="s">
        <v>840</v>
      </c>
      <c r="R327" s="343">
        <v>-59924.5</v>
      </c>
    </row>
    <row r="328" spans="1:18" x14ac:dyDescent="0.2">
      <c r="A328" s="342" t="s">
        <v>736</v>
      </c>
      <c r="B328" s="337" t="s">
        <v>793</v>
      </c>
      <c r="C328" s="337" t="s">
        <v>795</v>
      </c>
      <c r="D328" s="337" t="s">
        <v>739</v>
      </c>
      <c r="E328" s="337" t="s">
        <v>794</v>
      </c>
      <c r="F328" s="337" t="s">
        <v>773</v>
      </c>
      <c r="G328" s="337" t="s">
        <v>849</v>
      </c>
      <c r="H328" s="337" t="s">
        <v>850</v>
      </c>
      <c r="I328" s="337" t="s">
        <v>767</v>
      </c>
      <c r="J328" s="337" t="s">
        <v>765</v>
      </c>
      <c r="K328" s="337"/>
      <c r="L328" s="337"/>
      <c r="M328" s="337" t="s">
        <v>784</v>
      </c>
      <c r="N328" s="337" t="s">
        <v>755</v>
      </c>
      <c r="O328" s="337" t="e">
        <v>#N/A</v>
      </c>
      <c r="P328" s="337"/>
      <c r="Q328" s="337" t="s">
        <v>840</v>
      </c>
      <c r="R328" s="343">
        <v>-49182.58</v>
      </c>
    </row>
    <row r="329" spans="1:18" x14ac:dyDescent="0.2">
      <c r="A329" s="342" t="s">
        <v>737</v>
      </c>
      <c r="B329" s="337" t="s">
        <v>793</v>
      </c>
      <c r="C329" s="337" t="s">
        <v>795</v>
      </c>
      <c r="D329" s="337" t="s">
        <v>739</v>
      </c>
      <c r="E329" s="337" t="s">
        <v>794</v>
      </c>
      <c r="F329" s="337" t="s">
        <v>773</v>
      </c>
      <c r="G329" s="337" t="s">
        <v>849</v>
      </c>
      <c r="H329" s="337" t="s">
        <v>850</v>
      </c>
      <c r="I329" s="337" t="s">
        <v>767</v>
      </c>
      <c r="J329" s="337" t="s">
        <v>765</v>
      </c>
      <c r="K329" s="337"/>
      <c r="L329" s="337"/>
      <c r="M329" s="337" t="s">
        <v>784</v>
      </c>
      <c r="N329" s="337" t="s">
        <v>755</v>
      </c>
      <c r="O329" s="337" t="e">
        <v>#N/A</v>
      </c>
      <c r="P329" s="337"/>
      <c r="Q329" s="337" t="s">
        <v>840</v>
      </c>
      <c r="R329" s="343">
        <v>-52558.02</v>
      </c>
    </row>
    <row r="330" spans="1:18" x14ac:dyDescent="0.2">
      <c r="A330" s="342" t="s">
        <v>738</v>
      </c>
      <c r="B330" s="337" t="s">
        <v>793</v>
      </c>
      <c r="C330" s="337" t="s">
        <v>795</v>
      </c>
      <c r="D330" s="337" t="s">
        <v>739</v>
      </c>
      <c r="E330" s="337" t="s">
        <v>794</v>
      </c>
      <c r="F330" s="337" t="s">
        <v>773</v>
      </c>
      <c r="G330" s="337" t="s">
        <v>849</v>
      </c>
      <c r="H330" s="337" t="s">
        <v>850</v>
      </c>
      <c r="I330" s="337" t="s">
        <v>767</v>
      </c>
      <c r="J330" s="337" t="s">
        <v>765</v>
      </c>
      <c r="K330" s="337"/>
      <c r="L330" s="337"/>
      <c r="M330" s="337" t="s">
        <v>784</v>
      </c>
      <c r="N330" s="337" t="s">
        <v>755</v>
      </c>
      <c r="O330" s="337" t="e">
        <v>#N/A</v>
      </c>
      <c r="P330" s="337"/>
      <c r="Q330" s="337" t="s">
        <v>840</v>
      </c>
      <c r="R330" s="343">
        <v>-45123.11</v>
      </c>
    </row>
    <row r="331" spans="1:18" x14ac:dyDescent="0.2">
      <c r="A331" s="342" t="s">
        <v>727</v>
      </c>
      <c r="B331" s="337" t="s">
        <v>793</v>
      </c>
      <c r="C331" s="337" t="s">
        <v>795</v>
      </c>
      <c r="D331" s="337" t="s">
        <v>739</v>
      </c>
      <c r="E331" s="337" t="s">
        <v>794</v>
      </c>
      <c r="F331" s="337" t="s">
        <v>773</v>
      </c>
      <c r="G331" s="337" t="s">
        <v>849</v>
      </c>
      <c r="H331" s="337" t="s">
        <v>850</v>
      </c>
      <c r="I331" s="337" t="s">
        <v>767</v>
      </c>
      <c r="J331" s="337" t="s">
        <v>765</v>
      </c>
      <c r="K331" s="337"/>
      <c r="L331" s="337"/>
      <c r="M331" s="337" t="s">
        <v>784</v>
      </c>
      <c r="N331" s="337" t="s">
        <v>755</v>
      </c>
      <c r="O331" s="337" t="e">
        <v>#N/A</v>
      </c>
      <c r="P331" s="337"/>
      <c r="Q331" s="337" t="s">
        <v>840</v>
      </c>
      <c r="R331" s="343">
        <v>-48039.9</v>
      </c>
    </row>
    <row r="332" spans="1:18" x14ac:dyDescent="0.2">
      <c r="A332" s="342" t="s">
        <v>731</v>
      </c>
      <c r="B332" s="337" t="s">
        <v>793</v>
      </c>
      <c r="C332" s="337" t="s">
        <v>795</v>
      </c>
      <c r="D332" s="337" t="s">
        <v>739</v>
      </c>
      <c r="E332" s="337" t="s">
        <v>794</v>
      </c>
      <c r="F332" s="337" t="s">
        <v>773</v>
      </c>
      <c r="G332" s="337" t="s">
        <v>849</v>
      </c>
      <c r="H332" s="337" t="s">
        <v>850</v>
      </c>
      <c r="I332" s="337" t="s">
        <v>767</v>
      </c>
      <c r="J332" s="337" t="s">
        <v>765</v>
      </c>
      <c r="K332" s="337"/>
      <c r="L332" s="337"/>
      <c r="M332" s="337" t="s">
        <v>784</v>
      </c>
      <c r="N332" s="337" t="s">
        <v>755</v>
      </c>
      <c r="O332" s="337" t="e">
        <v>#N/A</v>
      </c>
      <c r="P332" s="337"/>
      <c r="Q332" s="337" t="s">
        <v>851</v>
      </c>
      <c r="R332" s="343">
        <v>-8840.73</v>
      </c>
    </row>
    <row r="333" spans="1:18" x14ac:dyDescent="0.2">
      <c r="A333" s="342" t="s">
        <v>732</v>
      </c>
      <c r="B333" s="337" t="s">
        <v>793</v>
      </c>
      <c r="C333" s="337" t="s">
        <v>795</v>
      </c>
      <c r="D333" s="337" t="s">
        <v>739</v>
      </c>
      <c r="E333" s="337" t="s">
        <v>794</v>
      </c>
      <c r="F333" s="337" t="s">
        <v>773</v>
      </c>
      <c r="G333" s="337" t="s">
        <v>849</v>
      </c>
      <c r="H333" s="337" t="s">
        <v>850</v>
      </c>
      <c r="I333" s="337" t="s">
        <v>767</v>
      </c>
      <c r="J333" s="337" t="s">
        <v>765</v>
      </c>
      <c r="K333" s="337"/>
      <c r="L333" s="337"/>
      <c r="M333" s="337" t="s">
        <v>784</v>
      </c>
      <c r="N333" s="337" t="s">
        <v>755</v>
      </c>
      <c r="O333" s="337" t="e">
        <v>#N/A</v>
      </c>
      <c r="P333" s="337"/>
      <c r="Q333" s="337" t="s">
        <v>851</v>
      </c>
      <c r="R333" s="343">
        <v>0</v>
      </c>
    </row>
    <row r="334" spans="1:18" x14ac:dyDescent="0.2">
      <c r="A334" s="342" t="s">
        <v>735</v>
      </c>
      <c r="B334" s="337" t="s">
        <v>793</v>
      </c>
      <c r="C334" s="337" t="s">
        <v>795</v>
      </c>
      <c r="D334" s="337" t="s">
        <v>739</v>
      </c>
      <c r="E334" s="337" t="s">
        <v>794</v>
      </c>
      <c r="F334" s="337" t="s">
        <v>773</v>
      </c>
      <c r="G334" s="337" t="s">
        <v>849</v>
      </c>
      <c r="H334" s="337" t="s">
        <v>850</v>
      </c>
      <c r="I334" s="337" t="s">
        <v>767</v>
      </c>
      <c r="J334" s="337" t="s">
        <v>765</v>
      </c>
      <c r="K334" s="337"/>
      <c r="L334" s="337"/>
      <c r="M334" s="337" t="s">
        <v>808</v>
      </c>
      <c r="N334" s="337" t="s">
        <v>809</v>
      </c>
      <c r="O334" s="337" t="e">
        <v>#N/A</v>
      </c>
      <c r="P334" s="337"/>
      <c r="Q334" s="337" t="s">
        <v>840</v>
      </c>
      <c r="R334" s="343">
        <v>-15454.14</v>
      </c>
    </row>
    <row r="335" spans="1:18" x14ac:dyDescent="0.2">
      <c r="A335" s="342" t="s">
        <v>735</v>
      </c>
      <c r="B335" s="337" t="s">
        <v>793</v>
      </c>
      <c r="C335" s="337" t="s">
        <v>795</v>
      </c>
      <c r="D335" s="337" t="s">
        <v>739</v>
      </c>
      <c r="E335" s="337" t="s">
        <v>794</v>
      </c>
      <c r="F335" s="337" t="s">
        <v>773</v>
      </c>
      <c r="G335" s="337" t="s">
        <v>849</v>
      </c>
      <c r="H335" s="337" t="s">
        <v>850</v>
      </c>
      <c r="I335" s="337" t="s">
        <v>767</v>
      </c>
      <c r="J335" s="337" t="s">
        <v>765</v>
      </c>
      <c r="K335" s="337"/>
      <c r="L335" s="337"/>
      <c r="M335" s="337" t="s">
        <v>813</v>
      </c>
      <c r="N335" s="337" t="s">
        <v>814</v>
      </c>
      <c r="O335" s="337" t="e">
        <v>#N/A</v>
      </c>
      <c r="P335" s="337"/>
      <c r="Q335" s="337" t="s">
        <v>840</v>
      </c>
      <c r="R335" s="343">
        <v>-2381.02</v>
      </c>
    </row>
    <row r="336" spans="1:18" x14ac:dyDescent="0.2">
      <c r="A336" s="342" t="s">
        <v>728</v>
      </c>
      <c r="B336" s="337" t="s">
        <v>793</v>
      </c>
      <c r="C336" s="337" t="s">
        <v>795</v>
      </c>
      <c r="D336" s="337" t="s">
        <v>739</v>
      </c>
      <c r="E336" s="337" t="s">
        <v>794</v>
      </c>
      <c r="F336" s="337" t="s">
        <v>773</v>
      </c>
      <c r="G336" s="337" t="s">
        <v>849</v>
      </c>
      <c r="H336" s="337" t="s">
        <v>850</v>
      </c>
      <c r="I336" s="337" t="s">
        <v>767</v>
      </c>
      <c r="J336" s="337" t="s">
        <v>765</v>
      </c>
      <c r="K336" s="337"/>
      <c r="L336" s="337"/>
      <c r="M336" s="337" t="s">
        <v>815</v>
      </c>
      <c r="N336" s="337" t="s">
        <v>762</v>
      </c>
      <c r="O336" s="337" t="e">
        <v>#N/A</v>
      </c>
      <c r="P336" s="337"/>
      <c r="Q336" s="337" t="s">
        <v>840</v>
      </c>
      <c r="R336" s="343">
        <v>-1797.07</v>
      </c>
    </row>
    <row r="337" spans="1:18" x14ac:dyDescent="0.2">
      <c r="A337" s="342" t="s">
        <v>730</v>
      </c>
      <c r="B337" s="337" t="s">
        <v>793</v>
      </c>
      <c r="C337" s="337" t="s">
        <v>795</v>
      </c>
      <c r="D337" s="337" t="s">
        <v>739</v>
      </c>
      <c r="E337" s="337" t="s">
        <v>794</v>
      </c>
      <c r="F337" s="337" t="s">
        <v>773</v>
      </c>
      <c r="G337" s="337" t="s">
        <v>849</v>
      </c>
      <c r="H337" s="337" t="s">
        <v>850</v>
      </c>
      <c r="I337" s="337" t="s">
        <v>767</v>
      </c>
      <c r="J337" s="337" t="s">
        <v>765</v>
      </c>
      <c r="K337" s="337"/>
      <c r="L337" s="337"/>
      <c r="M337" s="337" t="s">
        <v>815</v>
      </c>
      <c r="N337" s="337" t="s">
        <v>762</v>
      </c>
      <c r="O337" s="337" t="e">
        <v>#N/A</v>
      </c>
      <c r="P337" s="337"/>
      <c r="Q337" s="337" t="s">
        <v>840</v>
      </c>
      <c r="R337" s="343">
        <v>-4284.91</v>
      </c>
    </row>
    <row r="338" spans="1:18" x14ac:dyDescent="0.2">
      <c r="A338" s="342" t="s">
        <v>731</v>
      </c>
      <c r="B338" s="337" t="s">
        <v>793</v>
      </c>
      <c r="C338" s="337" t="s">
        <v>795</v>
      </c>
      <c r="D338" s="337" t="s">
        <v>739</v>
      </c>
      <c r="E338" s="337" t="s">
        <v>794</v>
      </c>
      <c r="F338" s="337" t="s">
        <v>773</v>
      </c>
      <c r="G338" s="337" t="s">
        <v>849</v>
      </c>
      <c r="H338" s="337" t="s">
        <v>850</v>
      </c>
      <c r="I338" s="337" t="s">
        <v>767</v>
      </c>
      <c r="J338" s="337" t="s">
        <v>765</v>
      </c>
      <c r="K338" s="337"/>
      <c r="L338" s="337"/>
      <c r="M338" s="337" t="s">
        <v>815</v>
      </c>
      <c r="N338" s="337" t="s">
        <v>762</v>
      </c>
      <c r="O338" s="337" t="e">
        <v>#N/A</v>
      </c>
      <c r="P338" s="337"/>
      <c r="Q338" s="337" t="s">
        <v>840</v>
      </c>
      <c r="R338" s="343">
        <v>-5441.31</v>
      </c>
    </row>
    <row r="339" spans="1:18" x14ac:dyDescent="0.2">
      <c r="A339" s="342" t="s">
        <v>732</v>
      </c>
      <c r="B339" s="337" t="s">
        <v>793</v>
      </c>
      <c r="C339" s="337" t="s">
        <v>795</v>
      </c>
      <c r="D339" s="337" t="s">
        <v>739</v>
      </c>
      <c r="E339" s="337" t="s">
        <v>794</v>
      </c>
      <c r="F339" s="337" t="s">
        <v>773</v>
      </c>
      <c r="G339" s="337" t="s">
        <v>849</v>
      </c>
      <c r="H339" s="337" t="s">
        <v>850</v>
      </c>
      <c r="I339" s="337" t="s">
        <v>767</v>
      </c>
      <c r="J339" s="337" t="s">
        <v>765</v>
      </c>
      <c r="K339" s="337"/>
      <c r="L339" s="337"/>
      <c r="M339" s="337" t="s">
        <v>815</v>
      </c>
      <c r="N339" s="337" t="s">
        <v>762</v>
      </c>
      <c r="O339" s="337" t="e">
        <v>#N/A</v>
      </c>
      <c r="P339" s="337"/>
      <c r="Q339" s="337" t="s">
        <v>840</v>
      </c>
      <c r="R339" s="343">
        <v>-5453.07</v>
      </c>
    </row>
    <row r="340" spans="1:18" x14ac:dyDescent="0.2">
      <c r="A340" s="342" t="s">
        <v>726</v>
      </c>
      <c r="B340" s="337" t="s">
        <v>793</v>
      </c>
      <c r="C340" s="337" t="s">
        <v>795</v>
      </c>
      <c r="D340" s="337" t="s">
        <v>739</v>
      </c>
      <c r="E340" s="337" t="s">
        <v>794</v>
      </c>
      <c r="F340" s="337" t="s">
        <v>773</v>
      </c>
      <c r="G340" s="337" t="s">
        <v>849</v>
      </c>
      <c r="H340" s="337" t="s">
        <v>850</v>
      </c>
      <c r="I340" s="337" t="s">
        <v>767</v>
      </c>
      <c r="J340" s="337" t="s">
        <v>765</v>
      </c>
      <c r="K340" s="337"/>
      <c r="L340" s="337"/>
      <c r="M340" s="337" t="s">
        <v>815</v>
      </c>
      <c r="N340" s="337" t="s">
        <v>762</v>
      </c>
      <c r="O340" s="337" t="e">
        <v>#N/A</v>
      </c>
      <c r="P340" s="337"/>
      <c r="Q340" s="337" t="s">
        <v>840</v>
      </c>
      <c r="R340" s="343">
        <v>-1068.53</v>
      </c>
    </row>
    <row r="341" spans="1:18" x14ac:dyDescent="0.2">
      <c r="A341" s="342" t="s">
        <v>733</v>
      </c>
      <c r="B341" s="337" t="s">
        <v>793</v>
      </c>
      <c r="C341" s="337" t="s">
        <v>795</v>
      </c>
      <c r="D341" s="337" t="s">
        <v>739</v>
      </c>
      <c r="E341" s="337" t="s">
        <v>794</v>
      </c>
      <c r="F341" s="337" t="s">
        <v>773</v>
      </c>
      <c r="G341" s="337" t="s">
        <v>849</v>
      </c>
      <c r="H341" s="337" t="s">
        <v>850</v>
      </c>
      <c r="I341" s="337" t="s">
        <v>767</v>
      </c>
      <c r="J341" s="337" t="s">
        <v>765</v>
      </c>
      <c r="K341" s="337"/>
      <c r="L341" s="337"/>
      <c r="M341" s="337" t="s">
        <v>815</v>
      </c>
      <c r="N341" s="337" t="s">
        <v>762</v>
      </c>
      <c r="O341" s="337" t="e">
        <v>#N/A</v>
      </c>
      <c r="P341" s="337"/>
      <c r="Q341" s="337" t="s">
        <v>840</v>
      </c>
      <c r="R341" s="343">
        <v>-9148.2999999999993</v>
      </c>
    </row>
    <row r="342" spans="1:18" x14ac:dyDescent="0.2">
      <c r="A342" s="342" t="s">
        <v>734</v>
      </c>
      <c r="B342" s="337" t="s">
        <v>793</v>
      </c>
      <c r="C342" s="337" t="s">
        <v>795</v>
      </c>
      <c r="D342" s="337" t="s">
        <v>739</v>
      </c>
      <c r="E342" s="337" t="s">
        <v>794</v>
      </c>
      <c r="F342" s="337" t="s">
        <v>773</v>
      </c>
      <c r="G342" s="337" t="s">
        <v>849</v>
      </c>
      <c r="H342" s="337" t="s">
        <v>850</v>
      </c>
      <c r="I342" s="337" t="s">
        <v>767</v>
      </c>
      <c r="J342" s="337" t="s">
        <v>765</v>
      </c>
      <c r="K342" s="337"/>
      <c r="L342" s="337"/>
      <c r="M342" s="337" t="s">
        <v>815</v>
      </c>
      <c r="N342" s="337" t="s">
        <v>762</v>
      </c>
      <c r="O342" s="337" t="e">
        <v>#N/A</v>
      </c>
      <c r="P342" s="337"/>
      <c r="Q342" s="337" t="s">
        <v>840</v>
      </c>
      <c r="R342" s="343">
        <v>0</v>
      </c>
    </row>
    <row r="343" spans="1:18" x14ac:dyDescent="0.2">
      <c r="A343" s="342" t="s">
        <v>735</v>
      </c>
      <c r="B343" s="337" t="s">
        <v>793</v>
      </c>
      <c r="C343" s="337" t="s">
        <v>795</v>
      </c>
      <c r="D343" s="337" t="s">
        <v>739</v>
      </c>
      <c r="E343" s="337" t="s">
        <v>794</v>
      </c>
      <c r="F343" s="337" t="s">
        <v>773</v>
      </c>
      <c r="G343" s="337" t="s">
        <v>849</v>
      </c>
      <c r="H343" s="337" t="s">
        <v>850</v>
      </c>
      <c r="I343" s="337" t="s">
        <v>767</v>
      </c>
      <c r="J343" s="337" t="s">
        <v>765</v>
      </c>
      <c r="K343" s="337"/>
      <c r="L343" s="337"/>
      <c r="M343" s="337" t="s">
        <v>815</v>
      </c>
      <c r="N343" s="337" t="s">
        <v>762</v>
      </c>
      <c r="O343" s="337" t="e">
        <v>#N/A</v>
      </c>
      <c r="P343" s="337"/>
      <c r="Q343" s="337" t="s">
        <v>840</v>
      </c>
      <c r="R343" s="343">
        <v>-2381.02</v>
      </c>
    </row>
    <row r="344" spans="1:18" x14ac:dyDescent="0.2">
      <c r="A344" s="342" t="s">
        <v>736</v>
      </c>
      <c r="B344" s="337" t="s">
        <v>793</v>
      </c>
      <c r="C344" s="337" t="s">
        <v>795</v>
      </c>
      <c r="D344" s="337" t="s">
        <v>739</v>
      </c>
      <c r="E344" s="337" t="s">
        <v>794</v>
      </c>
      <c r="F344" s="337" t="s">
        <v>773</v>
      </c>
      <c r="G344" s="337" t="s">
        <v>849</v>
      </c>
      <c r="H344" s="337" t="s">
        <v>850</v>
      </c>
      <c r="I344" s="337" t="s">
        <v>767</v>
      </c>
      <c r="J344" s="337" t="s">
        <v>765</v>
      </c>
      <c r="K344" s="337"/>
      <c r="L344" s="337"/>
      <c r="M344" s="337" t="s">
        <v>815</v>
      </c>
      <c r="N344" s="337" t="s">
        <v>762</v>
      </c>
      <c r="O344" s="337" t="e">
        <v>#N/A</v>
      </c>
      <c r="P344" s="337"/>
      <c r="Q344" s="337" t="s">
        <v>840</v>
      </c>
      <c r="R344" s="343">
        <v>-39.24</v>
      </c>
    </row>
    <row r="345" spans="1:18" x14ac:dyDescent="0.2">
      <c r="A345" s="342" t="s">
        <v>737</v>
      </c>
      <c r="B345" s="337" t="s">
        <v>793</v>
      </c>
      <c r="C345" s="337" t="s">
        <v>795</v>
      </c>
      <c r="D345" s="337" t="s">
        <v>739</v>
      </c>
      <c r="E345" s="337" t="s">
        <v>794</v>
      </c>
      <c r="F345" s="337" t="s">
        <v>773</v>
      </c>
      <c r="G345" s="337" t="s">
        <v>849</v>
      </c>
      <c r="H345" s="337" t="s">
        <v>850</v>
      </c>
      <c r="I345" s="337" t="s">
        <v>767</v>
      </c>
      <c r="J345" s="337" t="s">
        <v>765</v>
      </c>
      <c r="K345" s="337"/>
      <c r="L345" s="337"/>
      <c r="M345" s="337" t="s">
        <v>815</v>
      </c>
      <c r="N345" s="337" t="s">
        <v>762</v>
      </c>
      <c r="O345" s="337" t="e">
        <v>#N/A</v>
      </c>
      <c r="P345" s="337"/>
      <c r="Q345" s="337" t="s">
        <v>840</v>
      </c>
      <c r="R345" s="343">
        <v>-2705.56</v>
      </c>
    </row>
    <row r="346" spans="1:18" x14ac:dyDescent="0.2">
      <c r="A346" s="342" t="s">
        <v>738</v>
      </c>
      <c r="B346" s="337" t="s">
        <v>793</v>
      </c>
      <c r="C346" s="337" t="s">
        <v>795</v>
      </c>
      <c r="D346" s="337" t="s">
        <v>739</v>
      </c>
      <c r="E346" s="337" t="s">
        <v>794</v>
      </c>
      <c r="F346" s="337" t="s">
        <v>773</v>
      </c>
      <c r="G346" s="337" t="s">
        <v>849</v>
      </c>
      <c r="H346" s="337" t="s">
        <v>850</v>
      </c>
      <c r="I346" s="337" t="s">
        <v>767</v>
      </c>
      <c r="J346" s="337" t="s">
        <v>765</v>
      </c>
      <c r="K346" s="337"/>
      <c r="L346" s="337"/>
      <c r="M346" s="337" t="s">
        <v>815</v>
      </c>
      <c r="N346" s="337" t="s">
        <v>762</v>
      </c>
      <c r="O346" s="337" t="e">
        <v>#N/A</v>
      </c>
      <c r="P346" s="337"/>
      <c r="Q346" s="337" t="s">
        <v>840</v>
      </c>
      <c r="R346" s="343">
        <v>1299.51</v>
      </c>
    </row>
    <row r="347" spans="1:18" x14ac:dyDescent="0.2">
      <c r="A347" s="342" t="s">
        <v>727</v>
      </c>
      <c r="B347" s="337" t="s">
        <v>793</v>
      </c>
      <c r="C347" s="337" t="s">
        <v>795</v>
      </c>
      <c r="D347" s="337" t="s">
        <v>739</v>
      </c>
      <c r="E347" s="337" t="s">
        <v>794</v>
      </c>
      <c r="F347" s="337" t="s">
        <v>773</v>
      </c>
      <c r="G347" s="337" t="s">
        <v>849</v>
      </c>
      <c r="H347" s="337" t="s">
        <v>850</v>
      </c>
      <c r="I347" s="337" t="s">
        <v>767</v>
      </c>
      <c r="J347" s="337" t="s">
        <v>765</v>
      </c>
      <c r="K347" s="337"/>
      <c r="L347" s="337"/>
      <c r="M347" s="337" t="s">
        <v>815</v>
      </c>
      <c r="N347" s="337" t="s">
        <v>762</v>
      </c>
      <c r="O347" s="337" t="e">
        <v>#N/A</v>
      </c>
      <c r="P347" s="337"/>
      <c r="Q347" s="337" t="s">
        <v>840</v>
      </c>
      <c r="R347" s="343">
        <v>-2920.41</v>
      </c>
    </row>
    <row r="348" spans="1:18" x14ac:dyDescent="0.2">
      <c r="A348" s="342" t="s">
        <v>735</v>
      </c>
      <c r="B348" s="337" t="s">
        <v>793</v>
      </c>
      <c r="C348" s="337" t="s">
        <v>795</v>
      </c>
      <c r="D348" s="337" t="s">
        <v>739</v>
      </c>
      <c r="E348" s="337" t="s">
        <v>794</v>
      </c>
      <c r="F348" s="337" t="s">
        <v>773</v>
      </c>
      <c r="G348" s="337" t="s">
        <v>849</v>
      </c>
      <c r="H348" s="337" t="s">
        <v>850</v>
      </c>
      <c r="I348" s="337" t="s">
        <v>767</v>
      </c>
      <c r="J348" s="337" t="s">
        <v>765</v>
      </c>
      <c r="K348" s="337"/>
      <c r="L348" s="337"/>
      <c r="M348" s="337" t="s">
        <v>819</v>
      </c>
      <c r="N348" s="337" t="s">
        <v>820</v>
      </c>
      <c r="O348" s="337" t="e">
        <v>#N/A</v>
      </c>
      <c r="P348" s="337"/>
      <c r="Q348" s="337" t="s">
        <v>840</v>
      </c>
      <c r="R348" s="343">
        <v>-13958.58</v>
      </c>
    </row>
    <row r="349" spans="1:18" x14ac:dyDescent="0.2">
      <c r="A349" s="342" t="s">
        <v>736</v>
      </c>
      <c r="B349" s="337" t="s">
        <v>793</v>
      </c>
      <c r="C349" s="337" t="s">
        <v>795</v>
      </c>
      <c r="D349" s="337" t="s">
        <v>739</v>
      </c>
      <c r="E349" s="337" t="s">
        <v>794</v>
      </c>
      <c r="F349" s="337" t="s">
        <v>773</v>
      </c>
      <c r="G349" s="337" t="s">
        <v>849</v>
      </c>
      <c r="H349" s="337" t="s">
        <v>850</v>
      </c>
      <c r="I349" s="337" t="s">
        <v>767</v>
      </c>
      <c r="J349" s="337" t="s">
        <v>765</v>
      </c>
      <c r="K349" s="337"/>
      <c r="L349" s="337"/>
      <c r="M349" s="337" t="s">
        <v>819</v>
      </c>
      <c r="N349" s="337" t="s">
        <v>820</v>
      </c>
      <c r="O349" s="337" t="e">
        <v>#N/A</v>
      </c>
      <c r="P349" s="337"/>
      <c r="Q349" s="337" t="s">
        <v>840</v>
      </c>
      <c r="R349" s="343">
        <v>-14454.14</v>
      </c>
    </row>
    <row r="350" spans="1:18" x14ac:dyDescent="0.2">
      <c r="A350" s="342" t="s">
        <v>737</v>
      </c>
      <c r="B350" s="337" t="s">
        <v>793</v>
      </c>
      <c r="C350" s="337" t="s">
        <v>795</v>
      </c>
      <c r="D350" s="337" t="s">
        <v>739</v>
      </c>
      <c r="E350" s="337" t="s">
        <v>794</v>
      </c>
      <c r="F350" s="337" t="s">
        <v>773</v>
      </c>
      <c r="G350" s="337" t="s">
        <v>849</v>
      </c>
      <c r="H350" s="337" t="s">
        <v>850</v>
      </c>
      <c r="I350" s="337" t="s">
        <v>767</v>
      </c>
      <c r="J350" s="337" t="s">
        <v>765</v>
      </c>
      <c r="K350" s="337"/>
      <c r="L350" s="337"/>
      <c r="M350" s="337" t="s">
        <v>819</v>
      </c>
      <c r="N350" s="337" t="s">
        <v>820</v>
      </c>
      <c r="O350" s="337" t="e">
        <v>#N/A</v>
      </c>
      <c r="P350" s="337"/>
      <c r="Q350" s="337" t="s">
        <v>840</v>
      </c>
      <c r="R350" s="343">
        <v>-1000</v>
      </c>
    </row>
    <row r="351" spans="1:18" x14ac:dyDescent="0.2">
      <c r="A351" s="342" t="s">
        <v>738</v>
      </c>
      <c r="B351" s="337" t="s">
        <v>793</v>
      </c>
      <c r="C351" s="337" t="s">
        <v>795</v>
      </c>
      <c r="D351" s="337" t="s">
        <v>739</v>
      </c>
      <c r="E351" s="337" t="s">
        <v>794</v>
      </c>
      <c r="F351" s="337" t="s">
        <v>773</v>
      </c>
      <c r="G351" s="337" t="s">
        <v>849</v>
      </c>
      <c r="H351" s="337" t="s">
        <v>850</v>
      </c>
      <c r="I351" s="337" t="s">
        <v>767</v>
      </c>
      <c r="J351" s="337" t="s">
        <v>765</v>
      </c>
      <c r="K351" s="337"/>
      <c r="L351" s="337"/>
      <c r="M351" s="337" t="s">
        <v>819</v>
      </c>
      <c r="N351" s="337" t="s">
        <v>820</v>
      </c>
      <c r="O351" s="337" t="e">
        <v>#N/A</v>
      </c>
      <c r="P351" s="337"/>
      <c r="Q351" s="337" t="s">
        <v>840</v>
      </c>
      <c r="R351" s="343">
        <v>-15095.09</v>
      </c>
    </row>
    <row r="352" spans="1:18" x14ac:dyDescent="0.2">
      <c r="A352" s="342" t="s">
        <v>735</v>
      </c>
      <c r="B352" s="337" t="s">
        <v>793</v>
      </c>
      <c r="C352" s="337" t="s">
        <v>795</v>
      </c>
      <c r="D352" s="337" t="s">
        <v>739</v>
      </c>
      <c r="E352" s="337" t="s">
        <v>794</v>
      </c>
      <c r="F352" s="337" t="s">
        <v>773</v>
      </c>
      <c r="G352" s="337" t="s">
        <v>849</v>
      </c>
      <c r="H352" s="337" t="s">
        <v>850</v>
      </c>
      <c r="I352" s="337" t="s">
        <v>767</v>
      </c>
      <c r="J352" s="337" t="s">
        <v>765</v>
      </c>
      <c r="K352" s="337"/>
      <c r="L352" s="337"/>
      <c r="M352" s="337" t="s">
        <v>824</v>
      </c>
      <c r="N352" s="337" t="s">
        <v>761</v>
      </c>
      <c r="O352" s="337" t="e">
        <v>#N/A</v>
      </c>
      <c r="P352" s="337"/>
      <c r="Q352" s="337" t="s">
        <v>840</v>
      </c>
      <c r="R352" s="343">
        <v>-2663.69</v>
      </c>
    </row>
    <row r="353" spans="1:18" x14ac:dyDescent="0.2">
      <c r="A353" s="342" t="s">
        <v>736</v>
      </c>
      <c r="B353" s="337" t="s">
        <v>793</v>
      </c>
      <c r="C353" s="337" t="s">
        <v>795</v>
      </c>
      <c r="D353" s="337" t="s">
        <v>739</v>
      </c>
      <c r="E353" s="337" t="s">
        <v>794</v>
      </c>
      <c r="F353" s="337" t="s">
        <v>773</v>
      </c>
      <c r="G353" s="337" t="s">
        <v>849</v>
      </c>
      <c r="H353" s="337" t="s">
        <v>850</v>
      </c>
      <c r="I353" s="337" t="s">
        <v>767</v>
      </c>
      <c r="J353" s="337" t="s">
        <v>765</v>
      </c>
      <c r="K353" s="337"/>
      <c r="L353" s="337"/>
      <c r="M353" s="337" t="s">
        <v>824</v>
      </c>
      <c r="N353" s="337" t="s">
        <v>761</v>
      </c>
      <c r="O353" s="337" t="e">
        <v>#N/A</v>
      </c>
      <c r="P353" s="337"/>
      <c r="Q353" s="337" t="s">
        <v>840</v>
      </c>
      <c r="R353" s="343">
        <v>-1598.22</v>
      </c>
    </row>
    <row r="354" spans="1:18" x14ac:dyDescent="0.2">
      <c r="A354" s="342" t="s">
        <v>737</v>
      </c>
      <c r="B354" s="337" t="s">
        <v>793</v>
      </c>
      <c r="C354" s="337" t="s">
        <v>795</v>
      </c>
      <c r="D354" s="337" t="s">
        <v>739</v>
      </c>
      <c r="E354" s="337" t="s">
        <v>794</v>
      </c>
      <c r="F354" s="337" t="s">
        <v>773</v>
      </c>
      <c r="G354" s="337" t="s">
        <v>849</v>
      </c>
      <c r="H354" s="337" t="s">
        <v>850</v>
      </c>
      <c r="I354" s="337" t="s">
        <v>767</v>
      </c>
      <c r="J354" s="337" t="s">
        <v>765</v>
      </c>
      <c r="K354" s="337"/>
      <c r="L354" s="337"/>
      <c r="M354" s="337" t="s">
        <v>824</v>
      </c>
      <c r="N354" s="337" t="s">
        <v>761</v>
      </c>
      <c r="O354" s="337" t="e">
        <v>#N/A</v>
      </c>
      <c r="P354" s="337"/>
      <c r="Q354" s="337" t="s">
        <v>840</v>
      </c>
      <c r="R354" s="343">
        <v>-251.27</v>
      </c>
    </row>
    <row r="355" spans="1:18" x14ac:dyDescent="0.2">
      <c r="A355" s="342" t="s">
        <v>738</v>
      </c>
      <c r="B355" s="337" t="s">
        <v>793</v>
      </c>
      <c r="C355" s="337" t="s">
        <v>795</v>
      </c>
      <c r="D355" s="337" t="s">
        <v>739</v>
      </c>
      <c r="E355" s="337" t="s">
        <v>794</v>
      </c>
      <c r="F355" s="337" t="s">
        <v>773</v>
      </c>
      <c r="G355" s="337" t="s">
        <v>849</v>
      </c>
      <c r="H355" s="337" t="s">
        <v>850</v>
      </c>
      <c r="I355" s="337" t="s">
        <v>767</v>
      </c>
      <c r="J355" s="337" t="s">
        <v>765</v>
      </c>
      <c r="K355" s="337"/>
      <c r="L355" s="337"/>
      <c r="M355" s="337" t="s">
        <v>824</v>
      </c>
      <c r="N355" s="337" t="s">
        <v>761</v>
      </c>
      <c r="O355" s="337" t="e">
        <v>#N/A</v>
      </c>
      <c r="P355" s="337"/>
      <c r="Q355" s="337" t="s">
        <v>840</v>
      </c>
      <c r="R355" s="343">
        <v>0</v>
      </c>
    </row>
    <row r="356" spans="1:18" x14ac:dyDescent="0.2">
      <c r="A356" s="342" t="s">
        <v>733</v>
      </c>
      <c r="B356" s="337" t="s">
        <v>793</v>
      </c>
      <c r="C356" s="337" t="s">
        <v>795</v>
      </c>
      <c r="D356" s="337" t="s">
        <v>739</v>
      </c>
      <c r="E356" s="337" t="s">
        <v>794</v>
      </c>
      <c r="F356" s="337" t="s">
        <v>773</v>
      </c>
      <c r="G356" s="337" t="s">
        <v>849</v>
      </c>
      <c r="H356" s="337" t="s">
        <v>850</v>
      </c>
      <c r="I356" s="337" t="s">
        <v>767</v>
      </c>
      <c r="J356" s="337" t="s">
        <v>765</v>
      </c>
      <c r="K356" s="337"/>
      <c r="L356" s="337"/>
      <c r="M356" s="337" t="s">
        <v>826</v>
      </c>
      <c r="N356" s="337" t="s">
        <v>758</v>
      </c>
      <c r="O356" s="337" t="e">
        <v>#N/A</v>
      </c>
      <c r="P356" s="337"/>
      <c r="Q356" s="337" t="s">
        <v>840</v>
      </c>
      <c r="R356" s="343">
        <v>-320.06</v>
      </c>
    </row>
    <row r="357" spans="1:18" x14ac:dyDescent="0.2">
      <c r="A357" s="342" t="s">
        <v>734</v>
      </c>
      <c r="B357" s="337" t="s">
        <v>793</v>
      </c>
      <c r="C357" s="337" t="s">
        <v>795</v>
      </c>
      <c r="D357" s="337" t="s">
        <v>739</v>
      </c>
      <c r="E357" s="337" t="s">
        <v>794</v>
      </c>
      <c r="F357" s="337" t="s">
        <v>773</v>
      </c>
      <c r="G357" s="337" t="s">
        <v>849</v>
      </c>
      <c r="H357" s="337" t="s">
        <v>850</v>
      </c>
      <c r="I357" s="337" t="s">
        <v>767</v>
      </c>
      <c r="J357" s="337" t="s">
        <v>765</v>
      </c>
      <c r="K357" s="337"/>
      <c r="L357" s="337"/>
      <c r="M357" s="337" t="s">
        <v>826</v>
      </c>
      <c r="N357" s="337" t="s">
        <v>758</v>
      </c>
      <c r="O357" s="337" t="e">
        <v>#N/A</v>
      </c>
      <c r="P357" s="337"/>
      <c r="Q357" s="337" t="s">
        <v>840</v>
      </c>
      <c r="R357" s="343">
        <v>0</v>
      </c>
    </row>
    <row r="358" spans="1:18" x14ac:dyDescent="0.2">
      <c r="A358" s="342" t="s">
        <v>728</v>
      </c>
      <c r="B358" s="337" t="s">
        <v>789</v>
      </c>
      <c r="C358" s="337" t="s">
        <v>796</v>
      </c>
      <c r="D358" s="337" t="s">
        <v>798</v>
      </c>
      <c r="E358" s="337" t="s">
        <v>790</v>
      </c>
      <c r="F358" s="337" t="s">
        <v>771</v>
      </c>
      <c r="G358" s="337" t="s">
        <v>852</v>
      </c>
      <c r="H358" s="337" t="s">
        <v>853</v>
      </c>
      <c r="I358" s="337" t="s">
        <v>767</v>
      </c>
      <c r="J358" s="337" t="s">
        <v>765</v>
      </c>
      <c r="K358" s="337"/>
      <c r="L358" s="337"/>
      <c r="M358" s="337" t="s">
        <v>801</v>
      </c>
      <c r="N358" s="337" t="s">
        <v>756</v>
      </c>
      <c r="O358" s="337" t="e">
        <v>#N/A</v>
      </c>
      <c r="P358" s="337"/>
      <c r="Q358" s="337"/>
      <c r="R358" s="343">
        <v>113700.06</v>
      </c>
    </row>
    <row r="359" spans="1:18" x14ac:dyDescent="0.2">
      <c r="A359" s="342" t="s">
        <v>730</v>
      </c>
      <c r="B359" s="337" t="s">
        <v>789</v>
      </c>
      <c r="C359" s="337" t="s">
        <v>796</v>
      </c>
      <c r="D359" s="337" t="s">
        <v>798</v>
      </c>
      <c r="E359" s="337" t="s">
        <v>790</v>
      </c>
      <c r="F359" s="337" t="s">
        <v>771</v>
      </c>
      <c r="G359" s="337" t="s">
        <v>852</v>
      </c>
      <c r="H359" s="337" t="s">
        <v>853</v>
      </c>
      <c r="I359" s="337" t="s">
        <v>767</v>
      </c>
      <c r="J359" s="337" t="s">
        <v>765</v>
      </c>
      <c r="K359" s="337"/>
      <c r="L359" s="337"/>
      <c r="M359" s="337" t="s">
        <v>801</v>
      </c>
      <c r="N359" s="337" t="s">
        <v>756</v>
      </c>
      <c r="O359" s="337" t="e">
        <v>#N/A</v>
      </c>
      <c r="P359" s="337"/>
      <c r="Q359" s="337"/>
      <c r="R359" s="343">
        <v>3640.25</v>
      </c>
    </row>
    <row r="360" spans="1:18" x14ac:dyDescent="0.2">
      <c r="A360" s="342" t="s">
        <v>731</v>
      </c>
      <c r="B360" s="337" t="s">
        <v>789</v>
      </c>
      <c r="C360" s="337" t="s">
        <v>796</v>
      </c>
      <c r="D360" s="337" t="s">
        <v>798</v>
      </c>
      <c r="E360" s="337" t="s">
        <v>790</v>
      </c>
      <c r="F360" s="337" t="s">
        <v>771</v>
      </c>
      <c r="G360" s="337" t="s">
        <v>852</v>
      </c>
      <c r="H360" s="337" t="s">
        <v>853</v>
      </c>
      <c r="I360" s="337" t="s">
        <v>767</v>
      </c>
      <c r="J360" s="337" t="s">
        <v>765</v>
      </c>
      <c r="K360" s="337"/>
      <c r="L360" s="337"/>
      <c r="M360" s="337" t="s">
        <v>801</v>
      </c>
      <c r="N360" s="337" t="s">
        <v>756</v>
      </c>
      <c r="O360" s="337" t="e">
        <v>#N/A</v>
      </c>
      <c r="P360" s="337"/>
      <c r="Q360" s="337"/>
      <c r="R360" s="343">
        <v>2971.63</v>
      </c>
    </row>
    <row r="361" spans="1:18" x14ac:dyDescent="0.2">
      <c r="A361" s="342" t="s">
        <v>732</v>
      </c>
      <c r="B361" s="337" t="s">
        <v>789</v>
      </c>
      <c r="C361" s="337" t="s">
        <v>796</v>
      </c>
      <c r="D361" s="337" t="s">
        <v>798</v>
      </c>
      <c r="E361" s="337" t="s">
        <v>790</v>
      </c>
      <c r="F361" s="337" t="s">
        <v>771</v>
      </c>
      <c r="G361" s="337" t="s">
        <v>852</v>
      </c>
      <c r="H361" s="337" t="s">
        <v>853</v>
      </c>
      <c r="I361" s="337" t="s">
        <v>767</v>
      </c>
      <c r="J361" s="337" t="s">
        <v>765</v>
      </c>
      <c r="K361" s="337"/>
      <c r="L361" s="337"/>
      <c r="M361" s="337" t="s">
        <v>801</v>
      </c>
      <c r="N361" s="337" t="s">
        <v>756</v>
      </c>
      <c r="O361" s="337" t="e">
        <v>#N/A</v>
      </c>
      <c r="P361" s="337"/>
      <c r="Q361" s="337"/>
      <c r="R361" s="343">
        <v>164482.81</v>
      </c>
    </row>
    <row r="362" spans="1:18" x14ac:dyDescent="0.2">
      <c r="A362" s="342" t="s">
        <v>726</v>
      </c>
      <c r="B362" s="337" t="s">
        <v>789</v>
      </c>
      <c r="C362" s="337" t="s">
        <v>796</v>
      </c>
      <c r="D362" s="337" t="s">
        <v>798</v>
      </c>
      <c r="E362" s="337" t="s">
        <v>790</v>
      </c>
      <c r="F362" s="337" t="s">
        <v>771</v>
      </c>
      <c r="G362" s="337" t="s">
        <v>852</v>
      </c>
      <c r="H362" s="337" t="s">
        <v>853</v>
      </c>
      <c r="I362" s="337" t="s">
        <v>767</v>
      </c>
      <c r="J362" s="337" t="s">
        <v>765</v>
      </c>
      <c r="K362" s="337"/>
      <c r="L362" s="337"/>
      <c r="M362" s="337" t="s">
        <v>801</v>
      </c>
      <c r="N362" s="337" t="s">
        <v>756</v>
      </c>
      <c r="O362" s="337" t="e">
        <v>#N/A</v>
      </c>
      <c r="P362" s="337"/>
      <c r="Q362" s="337"/>
      <c r="R362" s="343">
        <v>2978.05</v>
      </c>
    </row>
    <row r="363" spans="1:18" x14ac:dyDescent="0.2">
      <c r="A363" s="342" t="s">
        <v>733</v>
      </c>
      <c r="B363" s="337" t="s">
        <v>789</v>
      </c>
      <c r="C363" s="337" t="s">
        <v>796</v>
      </c>
      <c r="D363" s="337" t="s">
        <v>798</v>
      </c>
      <c r="E363" s="337" t="s">
        <v>790</v>
      </c>
      <c r="F363" s="337" t="s">
        <v>771</v>
      </c>
      <c r="G363" s="337" t="s">
        <v>852</v>
      </c>
      <c r="H363" s="337" t="s">
        <v>853</v>
      </c>
      <c r="I363" s="337" t="s">
        <v>767</v>
      </c>
      <c r="J363" s="337" t="s">
        <v>765</v>
      </c>
      <c r="K363" s="337"/>
      <c r="L363" s="337"/>
      <c r="M363" s="337" t="s">
        <v>801</v>
      </c>
      <c r="N363" s="337" t="s">
        <v>756</v>
      </c>
      <c r="O363" s="337" t="e">
        <v>#N/A</v>
      </c>
      <c r="P363" s="337"/>
      <c r="Q363" s="337"/>
      <c r="R363" s="343">
        <v>164725.53</v>
      </c>
    </row>
    <row r="364" spans="1:18" x14ac:dyDescent="0.2">
      <c r="A364" s="342" t="s">
        <v>734</v>
      </c>
      <c r="B364" s="337" t="s">
        <v>789</v>
      </c>
      <c r="C364" s="337" t="s">
        <v>796</v>
      </c>
      <c r="D364" s="337" t="s">
        <v>798</v>
      </c>
      <c r="E364" s="337" t="s">
        <v>790</v>
      </c>
      <c r="F364" s="337" t="s">
        <v>771</v>
      </c>
      <c r="G364" s="337" t="s">
        <v>852</v>
      </c>
      <c r="H364" s="337" t="s">
        <v>853</v>
      </c>
      <c r="I364" s="337" t="s">
        <v>767</v>
      </c>
      <c r="J364" s="337" t="s">
        <v>765</v>
      </c>
      <c r="K364" s="337"/>
      <c r="L364" s="337"/>
      <c r="M364" s="337" t="s">
        <v>801</v>
      </c>
      <c r="N364" s="337" t="s">
        <v>756</v>
      </c>
      <c r="O364" s="337" t="e">
        <v>#N/A</v>
      </c>
      <c r="P364" s="337"/>
      <c r="Q364" s="337"/>
      <c r="R364" s="343">
        <v>170954.75</v>
      </c>
    </row>
    <row r="365" spans="1:18" x14ac:dyDescent="0.2">
      <c r="A365" s="342" t="s">
        <v>735</v>
      </c>
      <c r="B365" s="337" t="s">
        <v>789</v>
      </c>
      <c r="C365" s="337" t="s">
        <v>796</v>
      </c>
      <c r="D365" s="337" t="s">
        <v>798</v>
      </c>
      <c r="E365" s="337" t="s">
        <v>790</v>
      </c>
      <c r="F365" s="337" t="s">
        <v>771</v>
      </c>
      <c r="G365" s="337" t="s">
        <v>852</v>
      </c>
      <c r="H365" s="337" t="s">
        <v>853</v>
      </c>
      <c r="I365" s="337" t="s">
        <v>767</v>
      </c>
      <c r="J365" s="337" t="s">
        <v>765</v>
      </c>
      <c r="K365" s="337"/>
      <c r="L365" s="337"/>
      <c r="M365" s="337" t="s">
        <v>801</v>
      </c>
      <c r="N365" s="337" t="s">
        <v>756</v>
      </c>
      <c r="O365" s="337" t="e">
        <v>#N/A</v>
      </c>
      <c r="P365" s="337"/>
      <c r="Q365" s="337"/>
      <c r="R365" s="343">
        <v>166837.12</v>
      </c>
    </row>
    <row r="366" spans="1:18" x14ac:dyDescent="0.2">
      <c r="A366" s="342" t="s">
        <v>736</v>
      </c>
      <c r="B366" s="337" t="s">
        <v>789</v>
      </c>
      <c r="C366" s="337" t="s">
        <v>796</v>
      </c>
      <c r="D366" s="337" t="s">
        <v>798</v>
      </c>
      <c r="E366" s="337" t="s">
        <v>790</v>
      </c>
      <c r="F366" s="337" t="s">
        <v>771</v>
      </c>
      <c r="G366" s="337" t="s">
        <v>852</v>
      </c>
      <c r="H366" s="337" t="s">
        <v>853</v>
      </c>
      <c r="I366" s="337" t="s">
        <v>767</v>
      </c>
      <c r="J366" s="337" t="s">
        <v>765</v>
      </c>
      <c r="K366" s="337"/>
      <c r="L366" s="337"/>
      <c r="M366" s="337" t="s">
        <v>801</v>
      </c>
      <c r="N366" s="337" t="s">
        <v>756</v>
      </c>
      <c r="O366" s="337" t="e">
        <v>#N/A</v>
      </c>
      <c r="P366" s="337"/>
      <c r="Q366" s="337"/>
      <c r="R366" s="343">
        <v>155914.44</v>
      </c>
    </row>
    <row r="367" spans="1:18" x14ac:dyDescent="0.2">
      <c r="A367" s="342" t="s">
        <v>737</v>
      </c>
      <c r="B367" s="337" t="s">
        <v>789</v>
      </c>
      <c r="C367" s="337" t="s">
        <v>796</v>
      </c>
      <c r="D367" s="337" t="s">
        <v>798</v>
      </c>
      <c r="E367" s="337" t="s">
        <v>790</v>
      </c>
      <c r="F367" s="337" t="s">
        <v>771</v>
      </c>
      <c r="G367" s="337" t="s">
        <v>852</v>
      </c>
      <c r="H367" s="337" t="s">
        <v>853</v>
      </c>
      <c r="I367" s="337" t="s">
        <v>767</v>
      </c>
      <c r="J367" s="337" t="s">
        <v>765</v>
      </c>
      <c r="K367" s="337"/>
      <c r="L367" s="337"/>
      <c r="M367" s="337" t="s">
        <v>801</v>
      </c>
      <c r="N367" s="337" t="s">
        <v>756</v>
      </c>
      <c r="O367" s="337" t="e">
        <v>#N/A</v>
      </c>
      <c r="P367" s="337"/>
      <c r="Q367" s="337"/>
      <c r="R367" s="343">
        <v>166858</v>
      </c>
    </row>
    <row r="368" spans="1:18" x14ac:dyDescent="0.2">
      <c r="A368" s="342" t="s">
        <v>738</v>
      </c>
      <c r="B368" s="337" t="s">
        <v>789</v>
      </c>
      <c r="C368" s="337" t="s">
        <v>796</v>
      </c>
      <c r="D368" s="337" t="s">
        <v>798</v>
      </c>
      <c r="E368" s="337" t="s">
        <v>790</v>
      </c>
      <c r="F368" s="337" t="s">
        <v>771</v>
      </c>
      <c r="G368" s="337" t="s">
        <v>852</v>
      </c>
      <c r="H368" s="337" t="s">
        <v>853</v>
      </c>
      <c r="I368" s="337" t="s">
        <v>767</v>
      </c>
      <c r="J368" s="337" t="s">
        <v>765</v>
      </c>
      <c r="K368" s="337"/>
      <c r="L368" s="337"/>
      <c r="M368" s="337" t="s">
        <v>801</v>
      </c>
      <c r="N368" s="337" t="s">
        <v>756</v>
      </c>
      <c r="O368" s="337" t="e">
        <v>#N/A</v>
      </c>
      <c r="P368" s="337"/>
      <c r="Q368" s="337"/>
      <c r="R368" s="343">
        <v>64146.98</v>
      </c>
    </row>
    <row r="369" spans="1:18" x14ac:dyDescent="0.2">
      <c r="A369" s="342" t="s">
        <v>727</v>
      </c>
      <c r="B369" s="337" t="s">
        <v>789</v>
      </c>
      <c r="C369" s="337" t="s">
        <v>796</v>
      </c>
      <c r="D369" s="337" t="s">
        <v>798</v>
      </c>
      <c r="E369" s="337" t="s">
        <v>790</v>
      </c>
      <c r="F369" s="337" t="s">
        <v>771</v>
      </c>
      <c r="G369" s="337" t="s">
        <v>852</v>
      </c>
      <c r="H369" s="337" t="s">
        <v>853</v>
      </c>
      <c r="I369" s="337" t="s">
        <v>767</v>
      </c>
      <c r="J369" s="337" t="s">
        <v>765</v>
      </c>
      <c r="K369" s="337"/>
      <c r="L369" s="337"/>
      <c r="M369" s="337" t="s">
        <v>801</v>
      </c>
      <c r="N369" s="337" t="s">
        <v>756</v>
      </c>
      <c r="O369" s="337" t="e">
        <v>#N/A</v>
      </c>
      <c r="P369" s="337"/>
      <c r="Q369" s="337"/>
      <c r="R369" s="343">
        <v>117013.29</v>
      </c>
    </row>
    <row r="370" spans="1:18" x14ac:dyDescent="0.2">
      <c r="A370" s="342" t="s">
        <v>728</v>
      </c>
      <c r="B370" s="337" t="s">
        <v>789</v>
      </c>
      <c r="C370" s="337" t="s">
        <v>796</v>
      </c>
      <c r="D370" s="337" t="s">
        <v>798</v>
      </c>
      <c r="E370" s="337" t="s">
        <v>790</v>
      </c>
      <c r="F370" s="337" t="s">
        <v>771</v>
      </c>
      <c r="G370" s="337" t="s">
        <v>852</v>
      </c>
      <c r="H370" s="337" t="s">
        <v>853</v>
      </c>
      <c r="I370" s="337" t="s">
        <v>767</v>
      </c>
      <c r="J370" s="337" t="s">
        <v>765</v>
      </c>
      <c r="K370" s="337"/>
      <c r="L370" s="337"/>
      <c r="M370" s="337" t="s">
        <v>784</v>
      </c>
      <c r="N370" s="337" t="s">
        <v>755</v>
      </c>
      <c r="O370" s="337" t="e">
        <v>#N/A</v>
      </c>
      <c r="P370" s="337"/>
      <c r="Q370" s="337"/>
      <c r="R370" s="343">
        <v>527231.92000000004</v>
      </c>
    </row>
    <row r="371" spans="1:18" x14ac:dyDescent="0.2">
      <c r="A371" s="342" t="s">
        <v>730</v>
      </c>
      <c r="B371" s="337" t="s">
        <v>789</v>
      </c>
      <c r="C371" s="337" t="s">
        <v>796</v>
      </c>
      <c r="D371" s="337" t="s">
        <v>798</v>
      </c>
      <c r="E371" s="337" t="s">
        <v>790</v>
      </c>
      <c r="F371" s="337" t="s">
        <v>771</v>
      </c>
      <c r="G371" s="337" t="s">
        <v>852</v>
      </c>
      <c r="H371" s="337" t="s">
        <v>853</v>
      </c>
      <c r="I371" s="337" t="s">
        <v>767</v>
      </c>
      <c r="J371" s="337" t="s">
        <v>765</v>
      </c>
      <c r="K371" s="337"/>
      <c r="L371" s="337"/>
      <c r="M371" s="337" t="s">
        <v>784</v>
      </c>
      <c r="N371" s="337" t="s">
        <v>755</v>
      </c>
      <c r="O371" s="337" t="e">
        <v>#N/A</v>
      </c>
      <c r="P371" s="337"/>
      <c r="Q371" s="337"/>
      <c r="R371" s="343">
        <v>1060285.26</v>
      </c>
    </row>
    <row r="372" spans="1:18" x14ac:dyDescent="0.2">
      <c r="A372" s="342" t="s">
        <v>731</v>
      </c>
      <c r="B372" s="337" t="s">
        <v>789</v>
      </c>
      <c r="C372" s="337" t="s">
        <v>796</v>
      </c>
      <c r="D372" s="337" t="s">
        <v>798</v>
      </c>
      <c r="E372" s="337" t="s">
        <v>790</v>
      </c>
      <c r="F372" s="337" t="s">
        <v>771</v>
      </c>
      <c r="G372" s="337" t="s">
        <v>852</v>
      </c>
      <c r="H372" s="337" t="s">
        <v>853</v>
      </c>
      <c r="I372" s="337" t="s">
        <v>767</v>
      </c>
      <c r="J372" s="337" t="s">
        <v>765</v>
      </c>
      <c r="K372" s="337"/>
      <c r="L372" s="337"/>
      <c r="M372" s="337" t="s">
        <v>784</v>
      </c>
      <c r="N372" s="337" t="s">
        <v>755</v>
      </c>
      <c r="O372" s="337" t="e">
        <v>#N/A</v>
      </c>
      <c r="P372" s="337"/>
      <c r="Q372" s="337"/>
      <c r="R372" s="343">
        <v>798036.15</v>
      </c>
    </row>
    <row r="373" spans="1:18" x14ac:dyDescent="0.2">
      <c r="A373" s="342" t="s">
        <v>732</v>
      </c>
      <c r="B373" s="337" t="s">
        <v>789</v>
      </c>
      <c r="C373" s="337" t="s">
        <v>796</v>
      </c>
      <c r="D373" s="337" t="s">
        <v>798</v>
      </c>
      <c r="E373" s="337" t="s">
        <v>790</v>
      </c>
      <c r="F373" s="337" t="s">
        <v>771</v>
      </c>
      <c r="G373" s="337" t="s">
        <v>852</v>
      </c>
      <c r="H373" s="337" t="s">
        <v>853</v>
      </c>
      <c r="I373" s="337" t="s">
        <v>767</v>
      </c>
      <c r="J373" s="337" t="s">
        <v>765</v>
      </c>
      <c r="K373" s="337"/>
      <c r="L373" s="337"/>
      <c r="M373" s="337" t="s">
        <v>784</v>
      </c>
      <c r="N373" s="337" t="s">
        <v>755</v>
      </c>
      <c r="O373" s="337" t="e">
        <v>#N/A</v>
      </c>
      <c r="P373" s="337"/>
      <c r="Q373" s="337"/>
      <c r="R373" s="343">
        <v>743633.17</v>
      </c>
    </row>
    <row r="374" spans="1:18" x14ac:dyDescent="0.2">
      <c r="A374" s="342" t="s">
        <v>726</v>
      </c>
      <c r="B374" s="337" t="s">
        <v>789</v>
      </c>
      <c r="C374" s="337" t="s">
        <v>796</v>
      </c>
      <c r="D374" s="337" t="s">
        <v>798</v>
      </c>
      <c r="E374" s="337" t="s">
        <v>790</v>
      </c>
      <c r="F374" s="337" t="s">
        <v>771</v>
      </c>
      <c r="G374" s="337" t="s">
        <v>852</v>
      </c>
      <c r="H374" s="337" t="s">
        <v>853</v>
      </c>
      <c r="I374" s="337" t="s">
        <v>767</v>
      </c>
      <c r="J374" s="337" t="s">
        <v>765</v>
      </c>
      <c r="K374" s="337"/>
      <c r="L374" s="337"/>
      <c r="M374" s="337" t="s">
        <v>784</v>
      </c>
      <c r="N374" s="337" t="s">
        <v>755</v>
      </c>
      <c r="O374" s="337" t="e">
        <v>#N/A</v>
      </c>
      <c r="P374" s="337"/>
      <c r="Q374" s="337"/>
      <c r="R374" s="343">
        <v>735846.37</v>
      </c>
    </row>
    <row r="375" spans="1:18" x14ac:dyDescent="0.2">
      <c r="A375" s="342" t="s">
        <v>733</v>
      </c>
      <c r="B375" s="337" t="s">
        <v>789</v>
      </c>
      <c r="C375" s="337" t="s">
        <v>796</v>
      </c>
      <c r="D375" s="337" t="s">
        <v>798</v>
      </c>
      <c r="E375" s="337" t="s">
        <v>790</v>
      </c>
      <c r="F375" s="337" t="s">
        <v>771</v>
      </c>
      <c r="G375" s="337" t="s">
        <v>852</v>
      </c>
      <c r="H375" s="337" t="s">
        <v>853</v>
      </c>
      <c r="I375" s="337" t="s">
        <v>767</v>
      </c>
      <c r="J375" s="337" t="s">
        <v>765</v>
      </c>
      <c r="K375" s="337"/>
      <c r="L375" s="337"/>
      <c r="M375" s="337" t="s">
        <v>784</v>
      </c>
      <c r="N375" s="337" t="s">
        <v>755</v>
      </c>
      <c r="O375" s="337" t="e">
        <v>#N/A</v>
      </c>
      <c r="P375" s="337"/>
      <c r="Q375" s="337"/>
      <c r="R375" s="343">
        <v>775396.6</v>
      </c>
    </row>
    <row r="376" spans="1:18" x14ac:dyDescent="0.2">
      <c r="A376" s="342" t="s">
        <v>734</v>
      </c>
      <c r="B376" s="337" t="s">
        <v>789</v>
      </c>
      <c r="C376" s="337" t="s">
        <v>796</v>
      </c>
      <c r="D376" s="337" t="s">
        <v>798</v>
      </c>
      <c r="E376" s="337" t="s">
        <v>790</v>
      </c>
      <c r="F376" s="337" t="s">
        <v>771</v>
      </c>
      <c r="G376" s="337" t="s">
        <v>852</v>
      </c>
      <c r="H376" s="337" t="s">
        <v>853</v>
      </c>
      <c r="I376" s="337" t="s">
        <v>767</v>
      </c>
      <c r="J376" s="337" t="s">
        <v>765</v>
      </c>
      <c r="K376" s="337"/>
      <c r="L376" s="337"/>
      <c r="M376" s="337" t="s">
        <v>784</v>
      </c>
      <c r="N376" s="337" t="s">
        <v>755</v>
      </c>
      <c r="O376" s="337" t="e">
        <v>#N/A</v>
      </c>
      <c r="P376" s="337"/>
      <c r="Q376" s="337"/>
      <c r="R376" s="343">
        <v>357070.17</v>
      </c>
    </row>
    <row r="377" spans="1:18" x14ac:dyDescent="0.2">
      <c r="A377" s="342" t="s">
        <v>735</v>
      </c>
      <c r="B377" s="337" t="s">
        <v>789</v>
      </c>
      <c r="C377" s="337" t="s">
        <v>796</v>
      </c>
      <c r="D377" s="337" t="s">
        <v>798</v>
      </c>
      <c r="E377" s="337" t="s">
        <v>790</v>
      </c>
      <c r="F377" s="337" t="s">
        <v>771</v>
      </c>
      <c r="G377" s="337" t="s">
        <v>852</v>
      </c>
      <c r="H377" s="337" t="s">
        <v>853</v>
      </c>
      <c r="I377" s="337" t="s">
        <v>767</v>
      </c>
      <c r="J377" s="337" t="s">
        <v>765</v>
      </c>
      <c r="K377" s="337"/>
      <c r="L377" s="337"/>
      <c r="M377" s="337" t="s">
        <v>784</v>
      </c>
      <c r="N377" s="337" t="s">
        <v>755</v>
      </c>
      <c r="O377" s="337" t="e">
        <v>#N/A</v>
      </c>
      <c r="P377" s="337"/>
      <c r="Q377" s="337"/>
      <c r="R377" s="343">
        <v>304117.46999999997</v>
      </c>
    </row>
    <row r="378" spans="1:18" x14ac:dyDescent="0.2">
      <c r="A378" s="342" t="s">
        <v>736</v>
      </c>
      <c r="B378" s="337" t="s">
        <v>789</v>
      </c>
      <c r="C378" s="337" t="s">
        <v>796</v>
      </c>
      <c r="D378" s="337" t="s">
        <v>798</v>
      </c>
      <c r="E378" s="337" t="s">
        <v>790</v>
      </c>
      <c r="F378" s="337" t="s">
        <v>771</v>
      </c>
      <c r="G378" s="337" t="s">
        <v>852</v>
      </c>
      <c r="H378" s="337" t="s">
        <v>853</v>
      </c>
      <c r="I378" s="337" t="s">
        <v>767</v>
      </c>
      <c r="J378" s="337" t="s">
        <v>765</v>
      </c>
      <c r="K378" s="337"/>
      <c r="L378" s="337"/>
      <c r="M378" s="337" t="s">
        <v>784</v>
      </c>
      <c r="N378" s="337" t="s">
        <v>755</v>
      </c>
      <c r="O378" s="337" t="e">
        <v>#N/A</v>
      </c>
      <c r="P378" s="337"/>
      <c r="Q378" s="337"/>
      <c r="R378" s="343">
        <v>606419.04</v>
      </c>
    </row>
    <row r="379" spans="1:18" x14ac:dyDescent="0.2">
      <c r="A379" s="342" t="s">
        <v>737</v>
      </c>
      <c r="B379" s="337" t="s">
        <v>789</v>
      </c>
      <c r="C379" s="337" t="s">
        <v>796</v>
      </c>
      <c r="D379" s="337" t="s">
        <v>798</v>
      </c>
      <c r="E379" s="337" t="s">
        <v>790</v>
      </c>
      <c r="F379" s="337" t="s">
        <v>771</v>
      </c>
      <c r="G379" s="337" t="s">
        <v>852</v>
      </c>
      <c r="H379" s="337" t="s">
        <v>853</v>
      </c>
      <c r="I379" s="337" t="s">
        <v>767</v>
      </c>
      <c r="J379" s="337" t="s">
        <v>765</v>
      </c>
      <c r="K379" s="337"/>
      <c r="L379" s="337"/>
      <c r="M379" s="337" t="s">
        <v>784</v>
      </c>
      <c r="N379" s="337" t="s">
        <v>755</v>
      </c>
      <c r="O379" s="337" t="e">
        <v>#N/A</v>
      </c>
      <c r="P379" s="337"/>
      <c r="Q379" s="337"/>
      <c r="R379" s="343">
        <v>371763.12</v>
      </c>
    </row>
    <row r="380" spans="1:18" x14ac:dyDescent="0.2">
      <c r="A380" s="342" t="s">
        <v>738</v>
      </c>
      <c r="B380" s="337" t="s">
        <v>789</v>
      </c>
      <c r="C380" s="337" t="s">
        <v>796</v>
      </c>
      <c r="D380" s="337" t="s">
        <v>798</v>
      </c>
      <c r="E380" s="337" t="s">
        <v>790</v>
      </c>
      <c r="F380" s="337" t="s">
        <v>771</v>
      </c>
      <c r="G380" s="337" t="s">
        <v>852</v>
      </c>
      <c r="H380" s="337" t="s">
        <v>853</v>
      </c>
      <c r="I380" s="337" t="s">
        <v>767</v>
      </c>
      <c r="J380" s="337" t="s">
        <v>765</v>
      </c>
      <c r="K380" s="337"/>
      <c r="L380" s="337"/>
      <c r="M380" s="337" t="s">
        <v>784</v>
      </c>
      <c r="N380" s="337" t="s">
        <v>755</v>
      </c>
      <c r="O380" s="337" t="e">
        <v>#N/A</v>
      </c>
      <c r="P380" s="337"/>
      <c r="Q380" s="337"/>
      <c r="R380" s="343">
        <v>353227.36</v>
      </c>
    </row>
    <row r="381" spans="1:18" x14ac:dyDescent="0.2">
      <c r="A381" s="342" t="s">
        <v>727</v>
      </c>
      <c r="B381" s="337" t="s">
        <v>789</v>
      </c>
      <c r="C381" s="337" t="s">
        <v>796</v>
      </c>
      <c r="D381" s="337" t="s">
        <v>798</v>
      </c>
      <c r="E381" s="337" t="s">
        <v>790</v>
      </c>
      <c r="F381" s="337" t="s">
        <v>771</v>
      </c>
      <c r="G381" s="337" t="s">
        <v>852</v>
      </c>
      <c r="H381" s="337" t="s">
        <v>853</v>
      </c>
      <c r="I381" s="337" t="s">
        <v>767</v>
      </c>
      <c r="J381" s="337" t="s">
        <v>765</v>
      </c>
      <c r="K381" s="337"/>
      <c r="L381" s="337"/>
      <c r="M381" s="337" t="s">
        <v>784</v>
      </c>
      <c r="N381" s="337" t="s">
        <v>755</v>
      </c>
      <c r="O381" s="337" t="e">
        <v>#N/A</v>
      </c>
      <c r="P381" s="337"/>
      <c r="Q381" s="337"/>
      <c r="R381" s="343">
        <v>335277.87</v>
      </c>
    </row>
    <row r="382" spans="1:18" x14ac:dyDescent="0.2">
      <c r="A382" s="342" t="s">
        <v>730</v>
      </c>
      <c r="B382" s="337" t="s">
        <v>789</v>
      </c>
      <c r="C382" s="337" t="s">
        <v>796</v>
      </c>
      <c r="D382" s="337" t="s">
        <v>798</v>
      </c>
      <c r="E382" s="337" t="s">
        <v>790</v>
      </c>
      <c r="F382" s="337" t="s">
        <v>771</v>
      </c>
      <c r="G382" s="337" t="s">
        <v>852</v>
      </c>
      <c r="H382" s="337" t="s">
        <v>853</v>
      </c>
      <c r="I382" s="337" t="s">
        <v>767</v>
      </c>
      <c r="J382" s="337" t="s">
        <v>765</v>
      </c>
      <c r="K382" s="337"/>
      <c r="L382" s="337"/>
      <c r="M382" s="337" t="s">
        <v>802</v>
      </c>
      <c r="N382" s="337" t="s">
        <v>779</v>
      </c>
      <c r="O382" s="337" t="e">
        <v>#N/A</v>
      </c>
      <c r="P382" s="337"/>
      <c r="Q382" s="337"/>
      <c r="R382" s="343">
        <v>11101.17</v>
      </c>
    </row>
    <row r="383" spans="1:18" x14ac:dyDescent="0.2">
      <c r="A383" s="342" t="s">
        <v>731</v>
      </c>
      <c r="B383" s="337" t="s">
        <v>789</v>
      </c>
      <c r="C383" s="337" t="s">
        <v>796</v>
      </c>
      <c r="D383" s="337" t="s">
        <v>798</v>
      </c>
      <c r="E383" s="337" t="s">
        <v>790</v>
      </c>
      <c r="F383" s="337" t="s">
        <v>771</v>
      </c>
      <c r="G383" s="337" t="s">
        <v>852</v>
      </c>
      <c r="H383" s="337" t="s">
        <v>853</v>
      </c>
      <c r="I383" s="337" t="s">
        <v>767</v>
      </c>
      <c r="J383" s="337" t="s">
        <v>765</v>
      </c>
      <c r="K383" s="337"/>
      <c r="L383" s="337"/>
      <c r="M383" s="337" t="s">
        <v>802</v>
      </c>
      <c r="N383" s="337" t="s">
        <v>779</v>
      </c>
      <c r="O383" s="337" t="e">
        <v>#N/A</v>
      </c>
      <c r="P383" s="337"/>
      <c r="Q383" s="337"/>
      <c r="R383" s="343">
        <v>5371.54</v>
      </c>
    </row>
    <row r="384" spans="1:18" x14ac:dyDescent="0.2">
      <c r="A384" s="342" t="s">
        <v>732</v>
      </c>
      <c r="B384" s="337" t="s">
        <v>789</v>
      </c>
      <c r="C384" s="337" t="s">
        <v>796</v>
      </c>
      <c r="D384" s="337" t="s">
        <v>798</v>
      </c>
      <c r="E384" s="337" t="s">
        <v>790</v>
      </c>
      <c r="F384" s="337" t="s">
        <v>771</v>
      </c>
      <c r="G384" s="337" t="s">
        <v>852</v>
      </c>
      <c r="H384" s="337" t="s">
        <v>853</v>
      </c>
      <c r="I384" s="337" t="s">
        <v>767</v>
      </c>
      <c r="J384" s="337" t="s">
        <v>765</v>
      </c>
      <c r="K384" s="337"/>
      <c r="L384" s="337"/>
      <c r="M384" s="337" t="s">
        <v>802</v>
      </c>
      <c r="N384" s="337" t="s">
        <v>779</v>
      </c>
      <c r="O384" s="337" t="e">
        <v>#N/A</v>
      </c>
      <c r="P384" s="337"/>
      <c r="Q384" s="337"/>
      <c r="R384" s="343">
        <v>48120</v>
      </c>
    </row>
    <row r="385" spans="1:18" x14ac:dyDescent="0.2">
      <c r="A385" s="342" t="s">
        <v>726</v>
      </c>
      <c r="B385" s="337" t="s">
        <v>789</v>
      </c>
      <c r="C385" s="337" t="s">
        <v>796</v>
      </c>
      <c r="D385" s="337" t="s">
        <v>798</v>
      </c>
      <c r="E385" s="337" t="s">
        <v>790</v>
      </c>
      <c r="F385" s="337" t="s">
        <v>771</v>
      </c>
      <c r="G385" s="337" t="s">
        <v>852</v>
      </c>
      <c r="H385" s="337" t="s">
        <v>853</v>
      </c>
      <c r="I385" s="337" t="s">
        <v>767</v>
      </c>
      <c r="J385" s="337" t="s">
        <v>765</v>
      </c>
      <c r="K385" s="337"/>
      <c r="L385" s="337"/>
      <c r="M385" s="337" t="s">
        <v>802</v>
      </c>
      <c r="N385" s="337" t="s">
        <v>779</v>
      </c>
      <c r="O385" s="337" t="e">
        <v>#N/A</v>
      </c>
      <c r="P385" s="337"/>
      <c r="Q385" s="337"/>
      <c r="R385" s="343">
        <v>45658.05</v>
      </c>
    </row>
    <row r="386" spans="1:18" x14ac:dyDescent="0.2">
      <c r="A386" s="342" t="s">
        <v>733</v>
      </c>
      <c r="B386" s="337" t="s">
        <v>789</v>
      </c>
      <c r="C386" s="337" t="s">
        <v>796</v>
      </c>
      <c r="D386" s="337" t="s">
        <v>798</v>
      </c>
      <c r="E386" s="337" t="s">
        <v>790</v>
      </c>
      <c r="F386" s="337" t="s">
        <v>771</v>
      </c>
      <c r="G386" s="337" t="s">
        <v>852</v>
      </c>
      <c r="H386" s="337" t="s">
        <v>853</v>
      </c>
      <c r="I386" s="337" t="s">
        <v>767</v>
      </c>
      <c r="J386" s="337" t="s">
        <v>765</v>
      </c>
      <c r="K386" s="337"/>
      <c r="L386" s="337"/>
      <c r="M386" s="337" t="s">
        <v>802</v>
      </c>
      <c r="N386" s="337" t="s">
        <v>779</v>
      </c>
      <c r="O386" s="337" t="e">
        <v>#N/A</v>
      </c>
      <c r="P386" s="337"/>
      <c r="Q386" s="337"/>
      <c r="R386" s="343">
        <v>47179.98</v>
      </c>
    </row>
    <row r="387" spans="1:18" x14ac:dyDescent="0.2">
      <c r="A387" s="342" t="s">
        <v>734</v>
      </c>
      <c r="B387" s="337" t="s">
        <v>789</v>
      </c>
      <c r="C387" s="337" t="s">
        <v>796</v>
      </c>
      <c r="D387" s="337" t="s">
        <v>798</v>
      </c>
      <c r="E387" s="337" t="s">
        <v>790</v>
      </c>
      <c r="F387" s="337" t="s">
        <v>771</v>
      </c>
      <c r="G387" s="337" t="s">
        <v>852</v>
      </c>
      <c r="H387" s="337" t="s">
        <v>853</v>
      </c>
      <c r="I387" s="337" t="s">
        <v>767</v>
      </c>
      <c r="J387" s="337" t="s">
        <v>765</v>
      </c>
      <c r="K387" s="337"/>
      <c r="L387" s="337"/>
      <c r="M387" s="337" t="s">
        <v>802</v>
      </c>
      <c r="N387" s="337" t="s">
        <v>779</v>
      </c>
      <c r="O387" s="337" t="e">
        <v>#N/A</v>
      </c>
      <c r="P387" s="337"/>
      <c r="Q387" s="337"/>
      <c r="R387" s="343">
        <v>48505.08</v>
      </c>
    </row>
    <row r="388" spans="1:18" x14ac:dyDescent="0.2">
      <c r="A388" s="342" t="s">
        <v>735</v>
      </c>
      <c r="B388" s="337" t="s">
        <v>789</v>
      </c>
      <c r="C388" s="337" t="s">
        <v>796</v>
      </c>
      <c r="D388" s="337" t="s">
        <v>798</v>
      </c>
      <c r="E388" s="337" t="s">
        <v>790</v>
      </c>
      <c r="F388" s="337" t="s">
        <v>771</v>
      </c>
      <c r="G388" s="337" t="s">
        <v>852</v>
      </c>
      <c r="H388" s="337" t="s">
        <v>853</v>
      </c>
      <c r="I388" s="337" t="s">
        <v>767</v>
      </c>
      <c r="J388" s="337" t="s">
        <v>765</v>
      </c>
      <c r="K388" s="337"/>
      <c r="L388" s="337"/>
      <c r="M388" s="337" t="s">
        <v>802</v>
      </c>
      <c r="N388" s="337" t="s">
        <v>779</v>
      </c>
      <c r="O388" s="337" t="e">
        <v>#N/A</v>
      </c>
      <c r="P388" s="337"/>
      <c r="Q388" s="337"/>
      <c r="R388" s="343">
        <v>43811.040000000001</v>
      </c>
    </row>
    <row r="389" spans="1:18" x14ac:dyDescent="0.2">
      <c r="A389" s="342" t="s">
        <v>736</v>
      </c>
      <c r="B389" s="337" t="s">
        <v>789</v>
      </c>
      <c r="C389" s="337" t="s">
        <v>796</v>
      </c>
      <c r="D389" s="337" t="s">
        <v>798</v>
      </c>
      <c r="E389" s="337" t="s">
        <v>790</v>
      </c>
      <c r="F389" s="337" t="s">
        <v>771</v>
      </c>
      <c r="G389" s="337" t="s">
        <v>852</v>
      </c>
      <c r="H389" s="337" t="s">
        <v>853</v>
      </c>
      <c r="I389" s="337" t="s">
        <v>767</v>
      </c>
      <c r="J389" s="337" t="s">
        <v>765</v>
      </c>
      <c r="K389" s="337"/>
      <c r="L389" s="337"/>
      <c r="M389" s="337" t="s">
        <v>802</v>
      </c>
      <c r="N389" s="337" t="s">
        <v>779</v>
      </c>
      <c r="O389" s="337" t="e">
        <v>#N/A</v>
      </c>
      <c r="P389" s="337"/>
      <c r="Q389" s="337"/>
      <c r="R389" s="343">
        <v>-249746.85</v>
      </c>
    </row>
    <row r="390" spans="1:18" x14ac:dyDescent="0.2">
      <c r="A390" s="342" t="s">
        <v>735</v>
      </c>
      <c r="B390" s="337" t="s">
        <v>789</v>
      </c>
      <c r="C390" s="337" t="s">
        <v>796</v>
      </c>
      <c r="D390" s="337" t="s">
        <v>798</v>
      </c>
      <c r="E390" s="337" t="s">
        <v>790</v>
      </c>
      <c r="F390" s="337" t="s">
        <v>771</v>
      </c>
      <c r="G390" s="337" t="s">
        <v>852</v>
      </c>
      <c r="H390" s="337" t="s">
        <v>853</v>
      </c>
      <c r="I390" s="337" t="s">
        <v>767</v>
      </c>
      <c r="J390" s="337" t="s">
        <v>765</v>
      </c>
      <c r="K390" s="337"/>
      <c r="L390" s="337"/>
      <c r="M390" s="337" t="s">
        <v>803</v>
      </c>
      <c r="N390" s="337" t="s">
        <v>804</v>
      </c>
      <c r="O390" s="337" t="e">
        <v>#N/A</v>
      </c>
      <c r="P390" s="337"/>
      <c r="Q390" s="337"/>
      <c r="R390" s="343">
        <v>1408.19</v>
      </c>
    </row>
    <row r="391" spans="1:18" x14ac:dyDescent="0.2">
      <c r="A391" s="342" t="s">
        <v>736</v>
      </c>
      <c r="B391" s="337" t="s">
        <v>789</v>
      </c>
      <c r="C391" s="337" t="s">
        <v>796</v>
      </c>
      <c r="D391" s="337" t="s">
        <v>798</v>
      </c>
      <c r="E391" s="337" t="s">
        <v>790</v>
      </c>
      <c r="F391" s="337" t="s">
        <v>771</v>
      </c>
      <c r="G391" s="337" t="s">
        <v>852</v>
      </c>
      <c r="H391" s="337" t="s">
        <v>853</v>
      </c>
      <c r="I391" s="337" t="s">
        <v>767</v>
      </c>
      <c r="J391" s="337" t="s">
        <v>765</v>
      </c>
      <c r="K391" s="337"/>
      <c r="L391" s="337"/>
      <c r="M391" s="337" t="s">
        <v>803</v>
      </c>
      <c r="N391" s="337" t="s">
        <v>804</v>
      </c>
      <c r="O391" s="337" t="e">
        <v>#N/A</v>
      </c>
      <c r="P391" s="337"/>
      <c r="Q391" s="337"/>
      <c r="R391" s="343">
        <v>3164.22</v>
      </c>
    </row>
    <row r="392" spans="1:18" x14ac:dyDescent="0.2">
      <c r="A392" s="342" t="s">
        <v>737</v>
      </c>
      <c r="B392" s="337" t="s">
        <v>789</v>
      </c>
      <c r="C392" s="337" t="s">
        <v>796</v>
      </c>
      <c r="D392" s="337" t="s">
        <v>798</v>
      </c>
      <c r="E392" s="337" t="s">
        <v>790</v>
      </c>
      <c r="F392" s="337" t="s">
        <v>771</v>
      </c>
      <c r="G392" s="337" t="s">
        <v>852</v>
      </c>
      <c r="H392" s="337" t="s">
        <v>853</v>
      </c>
      <c r="I392" s="337" t="s">
        <v>767</v>
      </c>
      <c r="J392" s="337" t="s">
        <v>765</v>
      </c>
      <c r="K392" s="337"/>
      <c r="L392" s="337"/>
      <c r="M392" s="337" t="s">
        <v>803</v>
      </c>
      <c r="N392" s="337" t="s">
        <v>804</v>
      </c>
      <c r="O392" s="337" t="e">
        <v>#N/A</v>
      </c>
      <c r="P392" s="337"/>
      <c r="Q392" s="337"/>
      <c r="R392" s="343">
        <v>-1655.43</v>
      </c>
    </row>
    <row r="393" spans="1:18" x14ac:dyDescent="0.2">
      <c r="A393" s="342" t="s">
        <v>728</v>
      </c>
      <c r="B393" s="337" t="s">
        <v>789</v>
      </c>
      <c r="C393" s="337" t="s">
        <v>796</v>
      </c>
      <c r="D393" s="337" t="s">
        <v>798</v>
      </c>
      <c r="E393" s="337" t="s">
        <v>790</v>
      </c>
      <c r="F393" s="337" t="s">
        <v>771</v>
      </c>
      <c r="G393" s="337" t="s">
        <v>852</v>
      </c>
      <c r="H393" s="337" t="s">
        <v>853</v>
      </c>
      <c r="I393" s="337" t="s">
        <v>767</v>
      </c>
      <c r="J393" s="337" t="s">
        <v>765</v>
      </c>
      <c r="K393" s="337"/>
      <c r="L393" s="337"/>
      <c r="M393" s="337" t="s">
        <v>805</v>
      </c>
      <c r="N393" s="337" t="s">
        <v>806</v>
      </c>
      <c r="O393" s="337" t="e">
        <v>#N/A</v>
      </c>
      <c r="P393" s="337"/>
      <c r="Q393" s="337"/>
      <c r="R393" s="343">
        <v>21910.99</v>
      </c>
    </row>
    <row r="394" spans="1:18" x14ac:dyDescent="0.2">
      <c r="A394" s="342" t="s">
        <v>730</v>
      </c>
      <c r="B394" s="337" t="s">
        <v>789</v>
      </c>
      <c r="C394" s="337" t="s">
        <v>796</v>
      </c>
      <c r="D394" s="337" t="s">
        <v>798</v>
      </c>
      <c r="E394" s="337" t="s">
        <v>790</v>
      </c>
      <c r="F394" s="337" t="s">
        <v>771</v>
      </c>
      <c r="G394" s="337" t="s">
        <v>852</v>
      </c>
      <c r="H394" s="337" t="s">
        <v>853</v>
      </c>
      <c r="I394" s="337" t="s">
        <v>767</v>
      </c>
      <c r="J394" s="337" t="s">
        <v>765</v>
      </c>
      <c r="K394" s="337"/>
      <c r="L394" s="337"/>
      <c r="M394" s="337" t="s">
        <v>805</v>
      </c>
      <c r="N394" s="337" t="s">
        <v>806</v>
      </c>
      <c r="O394" s="337" t="e">
        <v>#N/A</v>
      </c>
      <c r="P394" s="337"/>
      <c r="Q394" s="337"/>
      <c r="R394" s="343">
        <v>21910.99</v>
      </c>
    </row>
    <row r="395" spans="1:18" x14ac:dyDescent="0.2">
      <c r="A395" s="342" t="s">
        <v>731</v>
      </c>
      <c r="B395" s="337" t="s">
        <v>789</v>
      </c>
      <c r="C395" s="337" t="s">
        <v>796</v>
      </c>
      <c r="D395" s="337" t="s">
        <v>798</v>
      </c>
      <c r="E395" s="337" t="s">
        <v>790</v>
      </c>
      <c r="F395" s="337" t="s">
        <v>771</v>
      </c>
      <c r="G395" s="337" t="s">
        <v>852</v>
      </c>
      <c r="H395" s="337" t="s">
        <v>853</v>
      </c>
      <c r="I395" s="337" t="s">
        <v>767</v>
      </c>
      <c r="J395" s="337" t="s">
        <v>765</v>
      </c>
      <c r="K395" s="337"/>
      <c r="L395" s="337"/>
      <c r="M395" s="337" t="s">
        <v>805</v>
      </c>
      <c r="N395" s="337" t="s">
        <v>806</v>
      </c>
      <c r="O395" s="337" t="e">
        <v>#N/A</v>
      </c>
      <c r="P395" s="337"/>
      <c r="Q395" s="337"/>
      <c r="R395" s="343">
        <v>25130.880000000001</v>
      </c>
    </row>
    <row r="396" spans="1:18" x14ac:dyDescent="0.2">
      <c r="A396" s="342" t="s">
        <v>732</v>
      </c>
      <c r="B396" s="337" t="s">
        <v>789</v>
      </c>
      <c r="C396" s="337" t="s">
        <v>796</v>
      </c>
      <c r="D396" s="337" t="s">
        <v>798</v>
      </c>
      <c r="E396" s="337" t="s">
        <v>790</v>
      </c>
      <c r="F396" s="337" t="s">
        <v>771</v>
      </c>
      <c r="G396" s="337" t="s">
        <v>852</v>
      </c>
      <c r="H396" s="337" t="s">
        <v>853</v>
      </c>
      <c r="I396" s="337" t="s">
        <v>767</v>
      </c>
      <c r="J396" s="337" t="s">
        <v>765</v>
      </c>
      <c r="K396" s="337"/>
      <c r="L396" s="337"/>
      <c r="M396" s="337" t="s">
        <v>805</v>
      </c>
      <c r="N396" s="337" t="s">
        <v>806</v>
      </c>
      <c r="O396" s="337" t="e">
        <v>#N/A</v>
      </c>
      <c r="P396" s="337"/>
      <c r="Q396" s="337"/>
      <c r="R396" s="343">
        <v>30431.93</v>
      </c>
    </row>
    <row r="397" spans="1:18" x14ac:dyDescent="0.2">
      <c r="A397" s="342" t="s">
        <v>726</v>
      </c>
      <c r="B397" s="337" t="s">
        <v>789</v>
      </c>
      <c r="C397" s="337" t="s">
        <v>796</v>
      </c>
      <c r="D397" s="337" t="s">
        <v>798</v>
      </c>
      <c r="E397" s="337" t="s">
        <v>790</v>
      </c>
      <c r="F397" s="337" t="s">
        <v>771</v>
      </c>
      <c r="G397" s="337" t="s">
        <v>852</v>
      </c>
      <c r="H397" s="337" t="s">
        <v>853</v>
      </c>
      <c r="I397" s="337" t="s">
        <v>767</v>
      </c>
      <c r="J397" s="337" t="s">
        <v>765</v>
      </c>
      <c r="K397" s="337"/>
      <c r="L397" s="337"/>
      <c r="M397" s="337" t="s">
        <v>805</v>
      </c>
      <c r="N397" s="337" t="s">
        <v>806</v>
      </c>
      <c r="O397" s="337" t="e">
        <v>#N/A</v>
      </c>
      <c r="P397" s="337"/>
      <c r="Q397" s="337"/>
      <c r="R397" s="343">
        <v>87852.5</v>
      </c>
    </row>
    <row r="398" spans="1:18" x14ac:dyDescent="0.2">
      <c r="A398" s="342" t="s">
        <v>733</v>
      </c>
      <c r="B398" s="337" t="s">
        <v>789</v>
      </c>
      <c r="C398" s="337" t="s">
        <v>796</v>
      </c>
      <c r="D398" s="337" t="s">
        <v>798</v>
      </c>
      <c r="E398" s="337" t="s">
        <v>790</v>
      </c>
      <c r="F398" s="337" t="s">
        <v>771</v>
      </c>
      <c r="G398" s="337" t="s">
        <v>852</v>
      </c>
      <c r="H398" s="337" t="s">
        <v>853</v>
      </c>
      <c r="I398" s="337" t="s">
        <v>767</v>
      </c>
      <c r="J398" s="337" t="s">
        <v>765</v>
      </c>
      <c r="K398" s="337"/>
      <c r="L398" s="337"/>
      <c r="M398" s="337" t="s">
        <v>805</v>
      </c>
      <c r="N398" s="337" t="s">
        <v>806</v>
      </c>
      <c r="O398" s="337" t="e">
        <v>#N/A</v>
      </c>
      <c r="P398" s="337"/>
      <c r="Q398" s="337"/>
      <c r="R398" s="343">
        <v>45215.3</v>
      </c>
    </row>
    <row r="399" spans="1:18" x14ac:dyDescent="0.2">
      <c r="A399" s="342" t="s">
        <v>734</v>
      </c>
      <c r="B399" s="337" t="s">
        <v>789</v>
      </c>
      <c r="C399" s="337" t="s">
        <v>796</v>
      </c>
      <c r="D399" s="337" t="s">
        <v>798</v>
      </c>
      <c r="E399" s="337" t="s">
        <v>790</v>
      </c>
      <c r="F399" s="337" t="s">
        <v>771</v>
      </c>
      <c r="G399" s="337" t="s">
        <v>852</v>
      </c>
      <c r="H399" s="337" t="s">
        <v>853</v>
      </c>
      <c r="I399" s="337" t="s">
        <v>767</v>
      </c>
      <c r="J399" s="337" t="s">
        <v>765</v>
      </c>
      <c r="K399" s="337"/>
      <c r="L399" s="337"/>
      <c r="M399" s="337" t="s">
        <v>805</v>
      </c>
      <c r="N399" s="337" t="s">
        <v>806</v>
      </c>
      <c r="O399" s="337" t="e">
        <v>#N/A</v>
      </c>
      <c r="P399" s="337"/>
      <c r="Q399" s="337"/>
      <c r="R399" s="343">
        <v>42822.7</v>
      </c>
    </row>
    <row r="400" spans="1:18" x14ac:dyDescent="0.2">
      <c r="A400" s="342" t="s">
        <v>735</v>
      </c>
      <c r="B400" s="337" t="s">
        <v>789</v>
      </c>
      <c r="C400" s="337" t="s">
        <v>796</v>
      </c>
      <c r="D400" s="337" t="s">
        <v>798</v>
      </c>
      <c r="E400" s="337" t="s">
        <v>790</v>
      </c>
      <c r="F400" s="337" t="s">
        <v>771</v>
      </c>
      <c r="G400" s="337" t="s">
        <v>852</v>
      </c>
      <c r="H400" s="337" t="s">
        <v>853</v>
      </c>
      <c r="I400" s="337" t="s">
        <v>767</v>
      </c>
      <c r="J400" s="337" t="s">
        <v>765</v>
      </c>
      <c r="K400" s="337"/>
      <c r="L400" s="337"/>
      <c r="M400" s="337" t="s">
        <v>805</v>
      </c>
      <c r="N400" s="337" t="s">
        <v>806</v>
      </c>
      <c r="O400" s="337" t="e">
        <v>#N/A</v>
      </c>
      <c r="P400" s="337"/>
      <c r="Q400" s="337"/>
      <c r="R400" s="343">
        <v>77479.570000000007</v>
      </c>
    </row>
    <row r="401" spans="1:18" x14ac:dyDescent="0.2">
      <c r="A401" s="342" t="s">
        <v>736</v>
      </c>
      <c r="B401" s="337" t="s">
        <v>789</v>
      </c>
      <c r="C401" s="337" t="s">
        <v>796</v>
      </c>
      <c r="D401" s="337" t="s">
        <v>798</v>
      </c>
      <c r="E401" s="337" t="s">
        <v>790</v>
      </c>
      <c r="F401" s="337" t="s">
        <v>771</v>
      </c>
      <c r="G401" s="337" t="s">
        <v>852</v>
      </c>
      <c r="H401" s="337" t="s">
        <v>853</v>
      </c>
      <c r="I401" s="337" t="s">
        <v>767</v>
      </c>
      <c r="J401" s="337" t="s">
        <v>765</v>
      </c>
      <c r="K401" s="337"/>
      <c r="L401" s="337"/>
      <c r="M401" s="337" t="s">
        <v>805</v>
      </c>
      <c r="N401" s="337" t="s">
        <v>806</v>
      </c>
      <c r="O401" s="337" t="e">
        <v>#N/A</v>
      </c>
      <c r="P401" s="337"/>
      <c r="Q401" s="337"/>
      <c r="R401" s="343">
        <v>81867.679999999993</v>
      </c>
    </row>
    <row r="402" spans="1:18" x14ac:dyDescent="0.2">
      <c r="A402" s="342" t="s">
        <v>737</v>
      </c>
      <c r="B402" s="337" t="s">
        <v>789</v>
      </c>
      <c r="C402" s="337" t="s">
        <v>796</v>
      </c>
      <c r="D402" s="337" t="s">
        <v>798</v>
      </c>
      <c r="E402" s="337" t="s">
        <v>790</v>
      </c>
      <c r="F402" s="337" t="s">
        <v>771</v>
      </c>
      <c r="G402" s="337" t="s">
        <v>852</v>
      </c>
      <c r="H402" s="337" t="s">
        <v>853</v>
      </c>
      <c r="I402" s="337" t="s">
        <v>767</v>
      </c>
      <c r="J402" s="337" t="s">
        <v>765</v>
      </c>
      <c r="K402" s="337"/>
      <c r="L402" s="337"/>
      <c r="M402" s="337" t="s">
        <v>805</v>
      </c>
      <c r="N402" s="337" t="s">
        <v>806</v>
      </c>
      <c r="O402" s="337" t="e">
        <v>#N/A</v>
      </c>
      <c r="P402" s="337"/>
      <c r="Q402" s="337"/>
      <c r="R402" s="343">
        <v>37612.5</v>
      </c>
    </row>
    <row r="403" spans="1:18" x14ac:dyDescent="0.2">
      <c r="A403" s="342" t="s">
        <v>738</v>
      </c>
      <c r="B403" s="337" t="s">
        <v>789</v>
      </c>
      <c r="C403" s="337" t="s">
        <v>796</v>
      </c>
      <c r="D403" s="337" t="s">
        <v>798</v>
      </c>
      <c r="E403" s="337" t="s">
        <v>790</v>
      </c>
      <c r="F403" s="337" t="s">
        <v>771</v>
      </c>
      <c r="G403" s="337" t="s">
        <v>852</v>
      </c>
      <c r="H403" s="337" t="s">
        <v>853</v>
      </c>
      <c r="I403" s="337" t="s">
        <v>767</v>
      </c>
      <c r="J403" s="337" t="s">
        <v>765</v>
      </c>
      <c r="K403" s="337"/>
      <c r="L403" s="337"/>
      <c r="M403" s="337" t="s">
        <v>805</v>
      </c>
      <c r="N403" s="337" t="s">
        <v>806</v>
      </c>
      <c r="O403" s="337" t="e">
        <v>#N/A</v>
      </c>
      <c r="P403" s="337"/>
      <c r="Q403" s="337"/>
      <c r="R403" s="343">
        <v>72681.149999999994</v>
      </c>
    </row>
    <row r="404" spans="1:18" x14ac:dyDescent="0.2">
      <c r="A404" s="342" t="s">
        <v>727</v>
      </c>
      <c r="B404" s="337" t="s">
        <v>789</v>
      </c>
      <c r="C404" s="337" t="s">
        <v>796</v>
      </c>
      <c r="D404" s="337" t="s">
        <v>798</v>
      </c>
      <c r="E404" s="337" t="s">
        <v>790</v>
      </c>
      <c r="F404" s="337" t="s">
        <v>771</v>
      </c>
      <c r="G404" s="337" t="s">
        <v>852</v>
      </c>
      <c r="H404" s="337" t="s">
        <v>853</v>
      </c>
      <c r="I404" s="337" t="s">
        <v>767</v>
      </c>
      <c r="J404" s="337" t="s">
        <v>765</v>
      </c>
      <c r="K404" s="337"/>
      <c r="L404" s="337"/>
      <c r="M404" s="337" t="s">
        <v>805</v>
      </c>
      <c r="N404" s="337" t="s">
        <v>806</v>
      </c>
      <c r="O404" s="337" t="e">
        <v>#N/A</v>
      </c>
      <c r="P404" s="337"/>
      <c r="Q404" s="337"/>
      <c r="R404" s="343">
        <v>107222.33</v>
      </c>
    </row>
    <row r="405" spans="1:18" x14ac:dyDescent="0.2">
      <c r="A405" s="342" t="s">
        <v>728</v>
      </c>
      <c r="B405" s="337" t="s">
        <v>789</v>
      </c>
      <c r="C405" s="337" t="s">
        <v>796</v>
      </c>
      <c r="D405" s="337" t="s">
        <v>798</v>
      </c>
      <c r="E405" s="337" t="s">
        <v>790</v>
      </c>
      <c r="F405" s="337" t="s">
        <v>771</v>
      </c>
      <c r="G405" s="337" t="s">
        <v>852</v>
      </c>
      <c r="H405" s="337" t="s">
        <v>853</v>
      </c>
      <c r="I405" s="337" t="s">
        <v>767</v>
      </c>
      <c r="J405" s="337" t="s">
        <v>765</v>
      </c>
      <c r="K405" s="337"/>
      <c r="L405" s="337"/>
      <c r="M405" s="337" t="s">
        <v>807</v>
      </c>
      <c r="N405" s="337" t="s">
        <v>760</v>
      </c>
      <c r="O405" s="337" t="e">
        <v>#N/A</v>
      </c>
      <c r="P405" s="337"/>
      <c r="Q405" s="337"/>
      <c r="R405" s="343">
        <v>1217.1600000000001</v>
      </c>
    </row>
    <row r="406" spans="1:18" x14ac:dyDescent="0.2">
      <c r="A406" s="342" t="s">
        <v>730</v>
      </c>
      <c r="B406" s="337" t="s">
        <v>789</v>
      </c>
      <c r="C406" s="337" t="s">
        <v>796</v>
      </c>
      <c r="D406" s="337" t="s">
        <v>798</v>
      </c>
      <c r="E406" s="337" t="s">
        <v>790</v>
      </c>
      <c r="F406" s="337" t="s">
        <v>771</v>
      </c>
      <c r="G406" s="337" t="s">
        <v>852</v>
      </c>
      <c r="H406" s="337" t="s">
        <v>853</v>
      </c>
      <c r="I406" s="337" t="s">
        <v>767</v>
      </c>
      <c r="J406" s="337" t="s">
        <v>765</v>
      </c>
      <c r="K406" s="337"/>
      <c r="L406" s="337"/>
      <c r="M406" s="337" t="s">
        <v>807</v>
      </c>
      <c r="N406" s="337" t="s">
        <v>760</v>
      </c>
      <c r="O406" s="337" t="e">
        <v>#N/A</v>
      </c>
      <c r="P406" s="337"/>
      <c r="Q406" s="337"/>
      <c r="R406" s="343">
        <v>2054.86</v>
      </c>
    </row>
    <row r="407" spans="1:18" x14ac:dyDescent="0.2">
      <c r="A407" s="342" t="s">
        <v>731</v>
      </c>
      <c r="B407" s="337" t="s">
        <v>789</v>
      </c>
      <c r="C407" s="337" t="s">
        <v>796</v>
      </c>
      <c r="D407" s="337" t="s">
        <v>798</v>
      </c>
      <c r="E407" s="337" t="s">
        <v>790</v>
      </c>
      <c r="F407" s="337" t="s">
        <v>771</v>
      </c>
      <c r="G407" s="337" t="s">
        <v>852</v>
      </c>
      <c r="H407" s="337" t="s">
        <v>853</v>
      </c>
      <c r="I407" s="337" t="s">
        <v>767</v>
      </c>
      <c r="J407" s="337" t="s">
        <v>765</v>
      </c>
      <c r="K407" s="337"/>
      <c r="L407" s="337"/>
      <c r="M407" s="337" t="s">
        <v>807</v>
      </c>
      <c r="N407" s="337" t="s">
        <v>760</v>
      </c>
      <c r="O407" s="337" t="e">
        <v>#N/A</v>
      </c>
      <c r="P407" s="337"/>
      <c r="Q407" s="337"/>
      <c r="R407" s="343">
        <v>1202.5</v>
      </c>
    </row>
    <row r="408" spans="1:18" x14ac:dyDescent="0.2">
      <c r="A408" s="342" t="s">
        <v>732</v>
      </c>
      <c r="B408" s="337" t="s">
        <v>789</v>
      </c>
      <c r="C408" s="337" t="s">
        <v>796</v>
      </c>
      <c r="D408" s="337" t="s">
        <v>798</v>
      </c>
      <c r="E408" s="337" t="s">
        <v>790</v>
      </c>
      <c r="F408" s="337" t="s">
        <v>771</v>
      </c>
      <c r="G408" s="337" t="s">
        <v>852</v>
      </c>
      <c r="H408" s="337" t="s">
        <v>853</v>
      </c>
      <c r="I408" s="337" t="s">
        <v>767</v>
      </c>
      <c r="J408" s="337" t="s">
        <v>765</v>
      </c>
      <c r="K408" s="337"/>
      <c r="L408" s="337"/>
      <c r="M408" s="337" t="s">
        <v>807</v>
      </c>
      <c r="N408" s="337" t="s">
        <v>760</v>
      </c>
      <c r="O408" s="337" t="e">
        <v>#N/A</v>
      </c>
      <c r="P408" s="337"/>
      <c r="Q408" s="337"/>
      <c r="R408" s="343">
        <v>1502.79</v>
      </c>
    </row>
    <row r="409" spans="1:18" x14ac:dyDescent="0.2">
      <c r="A409" s="342" t="s">
        <v>726</v>
      </c>
      <c r="B409" s="337" t="s">
        <v>789</v>
      </c>
      <c r="C409" s="337" t="s">
        <v>796</v>
      </c>
      <c r="D409" s="337" t="s">
        <v>798</v>
      </c>
      <c r="E409" s="337" t="s">
        <v>790</v>
      </c>
      <c r="F409" s="337" t="s">
        <v>771</v>
      </c>
      <c r="G409" s="337" t="s">
        <v>852</v>
      </c>
      <c r="H409" s="337" t="s">
        <v>853</v>
      </c>
      <c r="I409" s="337" t="s">
        <v>767</v>
      </c>
      <c r="J409" s="337" t="s">
        <v>765</v>
      </c>
      <c r="K409" s="337"/>
      <c r="L409" s="337"/>
      <c r="M409" s="337" t="s">
        <v>807</v>
      </c>
      <c r="N409" s="337" t="s">
        <v>760</v>
      </c>
      <c r="O409" s="337" t="e">
        <v>#N/A</v>
      </c>
      <c r="P409" s="337"/>
      <c r="Q409" s="337"/>
      <c r="R409" s="343">
        <v>2692.72</v>
      </c>
    </row>
    <row r="410" spans="1:18" x14ac:dyDescent="0.2">
      <c r="A410" s="342" t="s">
        <v>733</v>
      </c>
      <c r="B410" s="337" t="s">
        <v>789</v>
      </c>
      <c r="C410" s="337" t="s">
        <v>796</v>
      </c>
      <c r="D410" s="337" t="s">
        <v>798</v>
      </c>
      <c r="E410" s="337" t="s">
        <v>790</v>
      </c>
      <c r="F410" s="337" t="s">
        <v>771</v>
      </c>
      <c r="G410" s="337" t="s">
        <v>852</v>
      </c>
      <c r="H410" s="337" t="s">
        <v>853</v>
      </c>
      <c r="I410" s="337" t="s">
        <v>767</v>
      </c>
      <c r="J410" s="337" t="s">
        <v>765</v>
      </c>
      <c r="K410" s="337"/>
      <c r="L410" s="337"/>
      <c r="M410" s="337" t="s">
        <v>807</v>
      </c>
      <c r="N410" s="337" t="s">
        <v>760</v>
      </c>
      <c r="O410" s="337" t="e">
        <v>#N/A</v>
      </c>
      <c r="P410" s="337"/>
      <c r="Q410" s="337"/>
      <c r="R410" s="343">
        <v>1192.24</v>
      </c>
    </row>
    <row r="411" spans="1:18" x14ac:dyDescent="0.2">
      <c r="A411" s="342" t="s">
        <v>734</v>
      </c>
      <c r="B411" s="337" t="s">
        <v>789</v>
      </c>
      <c r="C411" s="337" t="s">
        <v>796</v>
      </c>
      <c r="D411" s="337" t="s">
        <v>798</v>
      </c>
      <c r="E411" s="337" t="s">
        <v>790</v>
      </c>
      <c r="F411" s="337" t="s">
        <v>771</v>
      </c>
      <c r="G411" s="337" t="s">
        <v>852</v>
      </c>
      <c r="H411" s="337" t="s">
        <v>853</v>
      </c>
      <c r="I411" s="337" t="s">
        <v>767</v>
      </c>
      <c r="J411" s="337" t="s">
        <v>765</v>
      </c>
      <c r="K411" s="337"/>
      <c r="L411" s="337"/>
      <c r="M411" s="337" t="s">
        <v>807</v>
      </c>
      <c r="N411" s="337" t="s">
        <v>760</v>
      </c>
      <c r="O411" s="337" t="e">
        <v>#N/A</v>
      </c>
      <c r="P411" s="337"/>
      <c r="Q411" s="337"/>
      <c r="R411" s="343">
        <v>1193.79</v>
      </c>
    </row>
    <row r="412" spans="1:18" x14ac:dyDescent="0.2">
      <c r="A412" s="342" t="s">
        <v>735</v>
      </c>
      <c r="B412" s="337" t="s">
        <v>789</v>
      </c>
      <c r="C412" s="337" t="s">
        <v>796</v>
      </c>
      <c r="D412" s="337" t="s">
        <v>798</v>
      </c>
      <c r="E412" s="337" t="s">
        <v>790</v>
      </c>
      <c r="F412" s="337" t="s">
        <v>771</v>
      </c>
      <c r="G412" s="337" t="s">
        <v>852</v>
      </c>
      <c r="H412" s="337" t="s">
        <v>853</v>
      </c>
      <c r="I412" s="337" t="s">
        <v>767</v>
      </c>
      <c r="J412" s="337" t="s">
        <v>765</v>
      </c>
      <c r="K412" s="337"/>
      <c r="L412" s="337"/>
      <c r="M412" s="337" t="s">
        <v>807</v>
      </c>
      <c r="N412" s="337" t="s">
        <v>760</v>
      </c>
      <c r="O412" s="337" t="e">
        <v>#N/A</v>
      </c>
      <c r="P412" s="337"/>
      <c r="Q412" s="337"/>
      <c r="R412" s="343">
        <v>1492.23</v>
      </c>
    </row>
    <row r="413" spans="1:18" x14ac:dyDescent="0.2">
      <c r="A413" s="342" t="s">
        <v>736</v>
      </c>
      <c r="B413" s="337" t="s">
        <v>789</v>
      </c>
      <c r="C413" s="337" t="s">
        <v>796</v>
      </c>
      <c r="D413" s="337" t="s">
        <v>798</v>
      </c>
      <c r="E413" s="337" t="s">
        <v>790</v>
      </c>
      <c r="F413" s="337" t="s">
        <v>771</v>
      </c>
      <c r="G413" s="337" t="s">
        <v>852</v>
      </c>
      <c r="H413" s="337" t="s">
        <v>853</v>
      </c>
      <c r="I413" s="337" t="s">
        <v>767</v>
      </c>
      <c r="J413" s="337" t="s">
        <v>765</v>
      </c>
      <c r="K413" s="337"/>
      <c r="L413" s="337"/>
      <c r="M413" s="337" t="s">
        <v>807</v>
      </c>
      <c r="N413" s="337" t="s">
        <v>760</v>
      </c>
      <c r="O413" s="337" t="e">
        <v>#N/A</v>
      </c>
      <c r="P413" s="337"/>
      <c r="Q413" s="337"/>
      <c r="R413" s="343">
        <v>1333.32</v>
      </c>
    </row>
    <row r="414" spans="1:18" x14ac:dyDescent="0.2">
      <c r="A414" s="342" t="s">
        <v>737</v>
      </c>
      <c r="B414" s="337" t="s">
        <v>789</v>
      </c>
      <c r="C414" s="337" t="s">
        <v>796</v>
      </c>
      <c r="D414" s="337" t="s">
        <v>798</v>
      </c>
      <c r="E414" s="337" t="s">
        <v>790</v>
      </c>
      <c r="F414" s="337" t="s">
        <v>771</v>
      </c>
      <c r="G414" s="337" t="s">
        <v>852</v>
      </c>
      <c r="H414" s="337" t="s">
        <v>853</v>
      </c>
      <c r="I414" s="337" t="s">
        <v>767</v>
      </c>
      <c r="J414" s="337" t="s">
        <v>765</v>
      </c>
      <c r="K414" s="337"/>
      <c r="L414" s="337"/>
      <c r="M414" s="337" t="s">
        <v>807</v>
      </c>
      <c r="N414" s="337" t="s">
        <v>760</v>
      </c>
      <c r="O414" s="337" t="e">
        <v>#N/A</v>
      </c>
      <c r="P414" s="337"/>
      <c r="Q414" s="337"/>
      <c r="R414" s="343">
        <v>1800.53</v>
      </c>
    </row>
    <row r="415" spans="1:18" x14ac:dyDescent="0.2">
      <c r="A415" s="342" t="s">
        <v>738</v>
      </c>
      <c r="B415" s="337" t="s">
        <v>789</v>
      </c>
      <c r="C415" s="337" t="s">
        <v>796</v>
      </c>
      <c r="D415" s="337" t="s">
        <v>798</v>
      </c>
      <c r="E415" s="337" t="s">
        <v>790</v>
      </c>
      <c r="F415" s="337" t="s">
        <v>771</v>
      </c>
      <c r="G415" s="337" t="s">
        <v>852</v>
      </c>
      <c r="H415" s="337" t="s">
        <v>853</v>
      </c>
      <c r="I415" s="337" t="s">
        <v>767</v>
      </c>
      <c r="J415" s="337" t="s">
        <v>765</v>
      </c>
      <c r="K415" s="337"/>
      <c r="L415" s="337"/>
      <c r="M415" s="337" t="s">
        <v>807</v>
      </c>
      <c r="N415" s="337" t="s">
        <v>760</v>
      </c>
      <c r="O415" s="337" t="e">
        <v>#N/A</v>
      </c>
      <c r="P415" s="337"/>
      <c r="Q415" s="337"/>
      <c r="R415" s="343">
        <v>1502.08</v>
      </c>
    </row>
    <row r="416" spans="1:18" x14ac:dyDescent="0.2">
      <c r="A416" s="342" t="s">
        <v>727</v>
      </c>
      <c r="B416" s="337" t="s">
        <v>789</v>
      </c>
      <c r="C416" s="337" t="s">
        <v>796</v>
      </c>
      <c r="D416" s="337" t="s">
        <v>798</v>
      </c>
      <c r="E416" s="337" t="s">
        <v>790</v>
      </c>
      <c r="F416" s="337" t="s">
        <v>771</v>
      </c>
      <c r="G416" s="337" t="s">
        <v>852</v>
      </c>
      <c r="H416" s="337" t="s">
        <v>853</v>
      </c>
      <c r="I416" s="337" t="s">
        <v>767</v>
      </c>
      <c r="J416" s="337" t="s">
        <v>765</v>
      </c>
      <c r="K416" s="337"/>
      <c r="L416" s="337"/>
      <c r="M416" s="337" t="s">
        <v>807</v>
      </c>
      <c r="N416" s="337" t="s">
        <v>760</v>
      </c>
      <c r="O416" s="337" t="e">
        <v>#N/A</v>
      </c>
      <c r="P416" s="337"/>
      <c r="Q416" s="337"/>
      <c r="R416" s="343">
        <v>1502.08</v>
      </c>
    </row>
    <row r="417" spans="1:18" x14ac:dyDescent="0.2">
      <c r="A417" s="342" t="s">
        <v>735</v>
      </c>
      <c r="B417" s="337" t="s">
        <v>789</v>
      </c>
      <c r="C417" s="337" t="s">
        <v>796</v>
      </c>
      <c r="D417" s="337" t="s">
        <v>798</v>
      </c>
      <c r="E417" s="337" t="s">
        <v>790</v>
      </c>
      <c r="F417" s="337" t="s">
        <v>771</v>
      </c>
      <c r="G417" s="337" t="s">
        <v>852</v>
      </c>
      <c r="H417" s="337" t="s">
        <v>853</v>
      </c>
      <c r="I417" s="337" t="s">
        <v>767</v>
      </c>
      <c r="J417" s="337" t="s">
        <v>765</v>
      </c>
      <c r="K417" s="337"/>
      <c r="L417" s="337"/>
      <c r="M417" s="337" t="s">
        <v>808</v>
      </c>
      <c r="N417" s="337" t="s">
        <v>809</v>
      </c>
      <c r="O417" s="337" t="e">
        <v>#N/A</v>
      </c>
      <c r="P417" s="337"/>
      <c r="Q417" s="337"/>
      <c r="R417" s="343">
        <v>18544.97</v>
      </c>
    </row>
    <row r="418" spans="1:18" x14ac:dyDescent="0.2">
      <c r="A418" s="342" t="s">
        <v>726</v>
      </c>
      <c r="B418" s="337" t="s">
        <v>789</v>
      </c>
      <c r="C418" s="337" t="s">
        <v>796</v>
      </c>
      <c r="D418" s="337" t="s">
        <v>798</v>
      </c>
      <c r="E418" s="337" t="s">
        <v>790</v>
      </c>
      <c r="F418" s="337" t="s">
        <v>771</v>
      </c>
      <c r="G418" s="337" t="s">
        <v>852</v>
      </c>
      <c r="H418" s="337" t="s">
        <v>853</v>
      </c>
      <c r="I418" s="337" t="s">
        <v>767</v>
      </c>
      <c r="J418" s="337" t="s">
        <v>765</v>
      </c>
      <c r="K418" s="337"/>
      <c r="L418" s="337"/>
      <c r="M418" s="337" t="s">
        <v>810</v>
      </c>
      <c r="N418" s="337" t="s">
        <v>811</v>
      </c>
      <c r="O418" s="337" t="e">
        <v>#N/A</v>
      </c>
      <c r="P418" s="337"/>
      <c r="Q418" s="337"/>
      <c r="R418" s="343">
        <v>-530.95000000000005</v>
      </c>
    </row>
    <row r="419" spans="1:18" x14ac:dyDescent="0.2">
      <c r="A419" s="342" t="s">
        <v>733</v>
      </c>
      <c r="B419" s="337" t="s">
        <v>789</v>
      </c>
      <c r="C419" s="337" t="s">
        <v>796</v>
      </c>
      <c r="D419" s="337" t="s">
        <v>798</v>
      </c>
      <c r="E419" s="337" t="s">
        <v>790</v>
      </c>
      <c r="F419" s="337" t="s">
        <v>771</v>
      </c>
      <c r="G419" s="337" t="s">
        <v>852</v>
      </c>
      <c r="H419" s="337" t="s">
        <v>853</v>
      </c>
      <c r="I419" s="337" t="s">
        <v>767</v>
      </c>
      <c r="J419" s="337" t="s">
        <v>765</v>
      </c>
      <c r="K419" s="337"/>
      <c r="L419" s="337"/>
      <c r="M419" s="337" t="s">
        <v>810</v>
      </c>
      <c r="N419" s="337" t="s">
        <v>811</v>
      </c>
      <c r="O419" s="337" t="e">
        <v>#N/A</v>
      </c>
      <c r="P419" s="337"/>
      <c r="Q419" s="337"/>
      <c r="R419" s="343">
        <v>530.95000000000005</v>
      </c>
    </row>
    <row r="420" spans="1:18" x14ac:dyDescent="0.2">
      <c r="A420" s="342" t="s">
        <v>728</v>
      </c>
      <c r="B420" s="337" t="s">
        <v>789</v>
      </c>
      <c r="C420" s="337" t="s">
        <v>796</v>
      </c>
      <c r="D420" s="337" t="s">
        <v>798</v>
      </c>
      <c r="E420" s="337" t="s">
        <v>790</v>
      </c>
      <c r="F420" s="337" t="s">
        <v>771</v>
      </c>
      <c r="G420" s="337" t="s">
        <v>852</v>
      </c>
      <c r="H420" s="337" t="s">
        <v>853</v>
      </c>
      <c r="I420" s="337" t="s">
        <v>767</v>
      </c>
      <c r="J420" s="337" t="s">
        <v>765</v>
      </c>
      <c r="K420" s="337"/>
      <c r="L420" s="337"/>
      <c r="M420" s="337" t="s">
        <v>812</v>
      </c>
      <c r="N420" s="337" t="s">
        <v>759</v>
      </c>
      <c r="O420" s="337" t="e">
        <v>#N/A</v>
      </c>
      <c r="P420" s="337"/>
      <c r="Q420" s="337"/>
      <c r="R420" s="343">
        <v>23226.63</v>
      </c>
    </row>
    <row r="421" spans="1:18" x14ac:dyDescent="0.2">
      <c r="A421" s="342" t="s">
        <v>730</v>
      </c>
      <c r="B421" s="337" t="s">
        <v>789</v>
      </c>
      <c r="C421" s="337" t="s">
        <v>796</v>
      </c>
      <c r="D421" s="337" t="s">
        <v>798</v>
      </c>
      <c r="E421" s="337" t="s">
        <v>790</v>
      </c>
      <c r="F421" s="337" t="s">
        <v>771</v>
      </c>
      <c r="G421" s="337" t="s">
        <v>852</v>
      </c>
      <c r="H421" s="337" t="s">
        <v>853</v>
      </c>
      <c r="I421" s="337" t="s">
        <v>767</v>
      </c>
      <c r="J421" s="337" t="s">
        <v>765</v>
      </c>
      <c r="K421" s="337"/>
      <c r="L421" s="337"/>
      <c r="M421" s="337" t="s">
        <v>812</v>
      </c>
      <c r="N421" s="337" t="s">
        <v>759</v>
      </c>
      <c r="O421" s="337" t="e">
        <v>#N/A</v>
      </c>
      <c r="P421" s="337"/>
      <c r="Q421" s="337"/>
      <c r="R421" s="343">
        <v>7485</v>
      </c>
    </row>
    <row r="422" spans="1:18" x14ac:dyDescent="0.2">
      <c r="A422" s="342" t="s">
        <v>731</v>
      </c>
      <c r="B422" s="337" t="s">
        <v>789</v>
      </c>
      <c r="C422" s="337" t="s">
        <v>796</v>
      </c>
      <c r="D422" s="337" t="s">
        <v>798</v>
      </c>
      <c r="E422" s="337" t="s">
        <v>790</v>
      </c>
      <c r="F422" s="337" t="s">
        <v>771</v>
      </c>
      <c r="G422" s="337" t="s">
        <v>852</v>
      </c>
      <c r="H422" s="337" t="s">
        <v>853</v>
      </c>
      <c r="I422" s="337" t="s">
        <v>767</v>
      </c>
      <c r="J422" s="337" t="s">
        <v>765</v>
      </c>
      <c r="K422" s="337"/>
      <c r="L422" s="337"/>
      <c r="M422" s="337" t="s">
        <v>812</v>
      </c>
      <c r="N422" s="337" t="s">
        <v>759</v>
      </c>
      <c r="O422" s="337" t="e">
        <v>#N/A</v>
      </c>
      <c r="P422" s="337"/>
      <c r="Q422" s="337"/>
      <c r="R422" s="343">
        <v>13478.64</v>
      </c>
    </row>
    <row r="423" spans="1:18" x14ac:dyDescent="0.2">
      <c r="A423" s="342" t="s">
        <v>732</v>
      </c>
      <c r="B423" s="337" t="s">
        <v>789</v>
      </c>
      <c r="C423" s="337" t="s">
        <v>796</v>
      </c>
      <c r="D423" s="337" t="s">
        <v>798</v>
      </c>
      <c r="E423" s="337" t="s">
        <v>790</v>
      </c>
      <c r="F423" s="337" t="s">
        <v>771</v>
      </c>
      <c r="G423" s="337" t="s">
        <v>852</v>
      </c>
      <c r="H423" s="337" t="s">
        <v>853</v>
      </c>
      <c r="I423" s="337" t="s">
        <v>767</v>
      </c>
      <c r="J423" s="337" t="s">
        <v>765</v>
      </c>
      <c r="K423" s="337"/>
      <c r="L423" s="337"/>
      <c r="M423" s="337" t="s">
        <v>812</v>
      </c>
      <c r="N423" s="337" t="s">
        <v>759</v>
      </c>
      <c r="O423" s="337" t="e">
        <v>#N/A</v>
      </c>
      <c r="P423" s="337"/>
      <c r="Q423" s="337"/>
      <c r="R423" s="343">
        <v>25243.599999999999</v>
      </c>
    </row>
    <row r="424" spans="1:18" x14ac:dyDescent="0.2">
      <c r="A424" s="342" t="s">
        <v>726</v>
      </c>
      <c r="B424" s="337" t="s">
        <v>789</v>
      </c>
      <c r="C424" s="337" t="s">
        <v>796</v>
      </c>
      <c r="D424" s="337" t="s">
        <v>798</v>
      </c>
      <c r="E424" s="337" t="s">
        <v>790</v>
      </c>
      <c r="F424" s="337" t="s">
        <v>771</v>
      </c>
      <c r="G424" s="337" t="s">
        <v>852</v>
      </c>
      <c r="H424" s="337" t="s">
        <v>853</v>
      </c>
      <c r="I424" s="337" t="s">
        <v>767</v>
      </c>
      <c r="J424" s="337" t="s">
        <v>765</v>
      </c>
      <c r="K424" s="337"/>
      <c r="L424" s="337"/>
      <c r="M424" s="337" t="s">
        <v>812</v>
      </c>
      <c r="N424" s="337" t="s">
        <v>759</v>
      </c>
      <c r="O424" s="337" t="e">
        <v>#N/A</v>
      </c>
      <c r="P424" s="337"/>
      <c r="Q424" s="337"/>
      <c r="R424" s="343">
        <v>9687.11</v>
      </c>
    </row>
    <row r="425" spans="1:18" x14ac:dyDescent="0.2">
      <c r="A425" s="342" t="s">
        <v>733</v>
      </c>
      <c r="B425" s="337" t="s">
        <v>789</v>
      </c>
      <c r="C425" s="337" t="s">
        <v>796</v>
      </c>
      <c r="D425" s="337" t="s">
        <v>798</v>
      </c>
      <c r="E425" s="337" t="s">
        <v>790</v>
      </c>
      <c r="F425" s="337" t="s">
        <v>771</v>
      </c>
      <c r="G425" s="337" t="s">
        <v>852</v>
      </c>
      <c r="H425" s="337" t="s">
        <v>853</v>
      </c>
      <c r="I425" s="337" t="s">
        <v>767</v>
      </c>
      <c r="J425" s="337" t="s">
        <v>765</v>
      </c>
      <c r="K425" s="337"/>
      <c r="L425" s="337"/>
      <c r="M425" s="337" t="s">
        <v>812</v>
      </c>
      <c r="N425" s="337" t="s">
        <v>759</v>
      </c>
      <c r="O425" s="337" t="e">
        <v>#N/A</v>
      </c>
      <c r="P425" s="337"/>
      <c r="Q425" s="337"/>
      <c r="R425" s="343">
        <v>3.05</v>
      </c>
    </row>
    <row r="426" spans="1:18" x14ac:dyDescent="0.2">
      <c r="A426" s="342" t="s">
        <v>734</v>
      </c>
      <c r="B426" s="337" t="s">
        <v>789</v>
      </c>
      <c r="C426" s="337" t="s">
        <v>796</v>
      </c>
      <c r="D426" s="337" t="s">
        <v>798</v>
      </c>
      <c r="E426" s="337" t="s">
        <v>790</v>
      </c>
      <c r="F426" s="337" t="s">
        <v>771</v>
      </c>
      <c r="G426" s="337" t="s">
        <v>852</v>
      </c>
      <c r="H426" s="337" t="s">
        <v>853</v>
      </c>
      <c r="I426" s="337" t="s">
        <v>767</v>
      </c>
      <c r="J426" s="337" t="s">
        <v>765</v>
      </c>
      <c r="K426" s="337"/>
      <c r="L426" s="337"/>
      <c r="M426" s="337" t="s">
        <v>812</v>
      </c>
      <c r="N426" s="337" t="s">
        <v>759</v>
      </c>
      <c r="O426" s="337" t="e">
        <v>#N/A</v>
      </c>
      <c r="P426" s="337"/>
      <c r="Q426" s="337"/>
      <c r="R426" s="343">
        <v>5020.26</v>
      </c>
    </row>
    <row r="427" spans="1:18" x14ac:dyDescent="0.2">
      <c r="A427" s="342" t="s">
        <v>735</v>
      </c>
      <c r="B427" s="337" t="s">
        <v>789</v>
      </c>
      <c r="C427" s="337" t="s">
        <v>796</v>
      </c>
      <c r="D427" s="337" t="s">
        <v>798</v>
      </c>
      <c r="E427" s="337" t="s">
        <v>790</v>
      </c>
      <c r="F427" s="337" t="s">
        <v>771</v>
      </c>
      <c r="G427" s="337" t="s">
        <v>852</v>
      </c>
      <c r="H427" s="337" t="s">
        <v>853</v>
      </c>
      <c r="I427" s="337" t="s">
        <v>767</v>
      </c>
      <c r="J427" s="337" t="s">
        <v>765</v>
      </c>
      <c r="K427" s="337"/>
      <c r="L427" s="337"/>
      <c r="M427" s="337" t="s">
        <v>812</v>
      </c>
      <c r="N427" s="337" t="s">
        <v>759</v>
      </c>
      <c r="O427" s="337" t="e">
        <v>#N/A</v>
      </c>
      <c r="P427" s="337"/>
      <c r="Q427" s="337"/>
      <c r="R427" s="343">
        <v>49782.6</v>
      </c>
    </row>
    <row r="428" spans="1:18" x14ac:dyDescent="0.2">
      <c r="A428" s="342" t="s">
        <v>736</v>
      </c>
      <c r="B428" s="337" t="s">
        <v>789</v>
      </c>
      <c r="C428" s="337" t="s">
        <v>796</v>
      </c>
      <c r="D428" s="337" t="s">
        <v>798</v>
      </c>
      <c r="E428" s="337" t="s">
        <v>790</v>
      </c>
      <c r="F428" s="337" t="s">
        <v>771</v>
      </c>
      <c r="G428" s="337" t="s">
        <v>852</v>
      </c>
      <c r="H428" s="337" t="s">
        <v>853</v>
      </c>
      <c r="I428" s="337" t="s">
        <v>767</v>
      </c>
      <c r="J428" s="337" t="s">
        <v>765</v>
      </c>
      <c r="K428" s="337"/>
      <c r="L428" s="337"/>
      <c r="M428" s="337" t="s">
        <v>812</v>
      </c>
      <c r="N428" s="337" t="s">
        <v>759</v>
      </c>
      <c r="O428" s="337" t="e">
        <v>#N/A</v>
      </c>
      <c r="P428" s="337"/>
      <c r="Q428" s="337"/>
      <c r="R428" s="343">
        <v>30016.35</v>
      </c>
    </row>
    <row r="429" spans="1:18" x14ac:dyDescent="0.2">
      <c r="A429" s="342" t="s">
        <v>737</v>
      </c>
      <c r="B429" s="337" t="s">
        <v>789</v>
      </c>
      <c r="C429" s="337" t="s">
        <v>796</v>
      </c>
      <c r="D429" s="337" t="s">
        <v>798</v>
      </c>
      <c r="E429" s="337" t="s">
        <v>790</v>
      </c>
      <c r="F429" s="337" t="s">
        <v>771</v>
      </c>
      <c r="G429" s="337" t="s">
        <v>852</v>
      </c>
      <c r="H429" s="337" t="s">
        <v>853</v>
      </c>
      <c r="I429" s="337" t="s">
        <v>767</v>
      </c>
      <c r="J429" s="337" t="s">
        <v>765</v>
      </c>
      <c r="K429" s="337"/>
      <c r="L429" s="337"/>
      <c r="M429" s="337" t="s">
        <v>812</v>
      </c>
      <c r="N429" s="337" t="s">
        <v>759</v>
      </c>
      <c r="O429" s="337" t="e">
        <v>#N/A</v>
      </c>
      <c r="P429" s="337"/>
      <c r="Q429" s="337"/>
      <c r="R429" s="343">
        <v>7654.92</v>
      </c>
    </row>
    <row r="430" spans="1:18" x14ac:dyDescent="0.2">
      <c r="A430" s="342" t="s">
        <v>738</v>
      </c>
      <c r="B430" s="337" t="s">
        <v>789</v>
      </c>
      <c r="C430" s="337" t="s">
        <v>796</v>
      </c>
      <c r="D430" s="337" t="s">
        <v>798</v>
      </c>
      <c r="E430" s="337" t="s">
        <v>790</v>
      </c>
      <c r="F430" s="337" t="s">
        <v>771</v>
      </c>
      <c r="G430" s="337" t="s">
        <v>852</v>
      </c>
      <c r="H430" s="337" t="s">
        <v>853</v>
      </c>
      <c r="I430" s="337" t="s">
        <v>767</v>
      </c>
      <c r="J430" s="337" t="s">
        <v>765</v>
      </c>
      <c r="K430" s="337"/>
      <c r="L430" s="337"/>
      <c r="M430" s="337" t="s">
        <v>812</v>
      </c>
      <c r="N430" s="337" t="s">
        <v>759</v>
      </c>
      <c r="O430" s="337" t="e">
        <v>#N/A</v>
      </c>
      <c r="P430" s="337"/>
      <c r="Q430" s="337"/>
      <c r="R430" s="343">
        <v>13268.22</v>
      </c>
    </row>
    <row r="431" spans="1:18" x14ac:dyDescent="0.2">
      <c r="A431" s="342" t="s">
        <v>727</v>
      </c>
      <c r="B431" s="337" t="s">
        <v>789</v>
      </c>
      <c r="C431" s="337" t="s">
        <v>796</v>
      </c>
      <c r="D431" s="337" t="s">
        <v>798</v>
      </c>
      <c r="E431" s="337" t="s">
        <v>790</v>
      </c>
      <c r="F431" s="337" t="s">
        <v>771</v>
      </c>
      <c r="G431" s="337" t="s">
        <v>852</v>
      </c>
      <c r="H431" s="337" t="s">
        <v>853</v>
      </c>
      <c r="I431" s="337" t="s">
        <v>767</v>
      </c>
      <c r="J431" s="337" t="s">
        <v>765</v>
      </c>
      <c r="K431" s="337"/>
      <c r="L431" s="337"/>
      <c r="M431" s="337" t="s">
        <v>812</v>
      </c>
      <c r="N431" s="337" t="s">
        <v>759</v>
      </c>
      <c r="O431" s="337" t="e">
        <v>#N/A</v>
      </c>
      <c r="P431" s="337"/>
      <c r="Q431" s="337"/>
      <c r="R431" s="343">
        <v>5820.78</v>
      </c>
    </row>
    <row r="432" spans="1:18" x14ac:dyDescent="0.2">
      <c r="A432" s="342" t="s">
        <v>735</v>
      </c>
      <c r="B432" s="337" t="s">
        <v>789</v>
      </c>
      <c r="C432" s="337" t="s">
        <v>796</v>
      </c>
      <c r="D432" s="337" t="s">
        <v>798</v>
      </c>
      <c r="E432" s="337" t="s">
        <v>790</v>
      </c>
      <c r="F432" s="337" t="s">
        <v>771</v>
      </c>
      <c r="G432" s="337" t="s">
        <v>852</v>
      </c>
      <c r="H432" s="337" t="s">
        <v>853</v>
      </c>
      <c r="I432" s="337" t="s">
        <v>767</v>
      </c>
      <c r="J432" s="337" t="s">
        <v>765</v>
      </c>
      <c r="K432" s="337"/>
      <c r="L432" s="337"/>
      <c r="M432" s="337" t="s">
        <v>813</v>
      </c>
      <c r="N432" s="337" t="s">
        <v>814</v>
      </c>
      <c r="O432" s="337" t="e">
        <v>#N/A</v>
      </c>
      <c r="P432" s="337"/>
      <c r="Q432" s="337"/>
      <c r="R432" s="343">
        <v>2857.22</v>
      </c>
    </row>
    <row r="433" spans="1:18" x14ac:dyDescent="0.2">
      <c r="A433" s="342" t="s">
        <v>728</v>
      </c>
      <c r="B433" s="337" t="s">
        <v>789</v>
      </c>
      <c r="C433" s="337" t="s">
        <v>796</v>
      </c>
      <c r="D433" s="337" t="s">
        <v>798</v>
      </c>
      <c r="E433" s="337" t="s">
        <v>790</v>
      </c>
      <c r="F433" s="337" t="s">
        <v>771</v>
      </c>
      <c r="G433" s="337" t="s">
        <v>852</v>
      </c>
      <c r="H433" s="337" t="s">
        <v>853</v>
      </c>
      <c r="I433" s="337" t="s">
        <v>767</v>
      </c>
      <c r="J433" s="337" t="s">
        <v>765</v>
      </c>
      <c r="K433" s="337"/>
      <c r="L433" s="337"/>
      <c r="M433" s="337" t="s">
        <v>815</v>
      </c>
      <c r="N433" s="337" t="s">
        <v>762</v>
      </c>
      <c r="O433" s="337" t="e">
        <v>#N/A</v>
      </c>
      <c r="P433" s="337"/>
      <c r="Q433" s="337"/>
      <c r="R433" s="343">
        <v>9805.9599999999991</v>
      </c>
    </row>
    <row r="434" spans="1:18" x14ac:dyDescent="0.2">
      <c r="A434" s="342" t="s">
        <v>730</v>
      </c>
      <c r="B434" s="337" t="s">
        <v>789</v>
      </c>
      <c r="C434" s="337" t="s">
        <v>796</v>
      </c>
      <c r="D434" s="337" t="s">
        <v>798</v>
      </c>
      <c r="E434" s="337" t="s">
        <v>790</v>
      </c>
      <c r="F434" s="337" t="s">
        <v>771</v>
      </c>
      <c r="G434" s="337" t="s">
        <v>852</v>
      </c>
      <c r="H434" s="337" t="s">
        <v>853</v>
      </c>
      <c r="I434" s="337" t="s">
        <v>767</v>
      </c>
      <c r="J434" s="337" t="s">
        <v>765</v>
      </c>
      <c r="K434" s="337"/>
      <c r="L434" s="337"/>
      <c r="M434" s="337" t="s">
        <v>815</v>
      </c>
      <c r="N434" s="337" t="s">
        <v>762</v>
      </c>
      <c r="O434" s="337" t="e">
        <v>#N/A</v>
      </c>
      <c r="P434" s="337"/>
      <c r="Q434" s="337"/>
      <c r="R434" s="343">
        <v>25532.01</v>
      </c>
    </row>
    <row r="435" spans="1:18" x14ac:dyDescent="0.2">
      <c r="A435" s="342" t="s">
        <v>731</v>
      </c>
      <c r="B435" s="337" t="s">
        <v>789</v>
      </c>
      <c r="C435" s="337" t="s">
        <v>796</v>
      </c>
      <c r="D435" s="337" t="s">
        <v>798</v>
      </c>
      <c r="E435" s="337" t="s">
        <v>790</v>
      </c>
      <c r="F435" s="337" t="s">
        <v>771</v>
      </c>
      <c r="G435" s="337" t="s">
        <v>852</v>
      </c>
      <c r="H435" s="337" t="s">
        <v>853</v>
      </c>
      <c r="I435" s="337" t="s">
        <v>767</v>
      </c>
      <c r="J435" s="337" t="s">
        <v>765</v>
      </c>
      <c r="K435" s="337"/>
      <c r="L435" s="337"/>
      <c r="M435" s="337" t="s">
        <v>815</v>
      </c>
      <c r="N435" s="337" t="s">
        <v>762</v>
      </c>
      <c r="O435" s="337" t="e">
        <v>#N/A</v>
      </c>
      <c r="P435" s="337"/>
      <c r="Q435" s="337"/>
      <c r="R435" s="343">
        <v>22975.27</v>
      </c>
    </row>
    <row r="436" spans="1:18" x14ac:dyDescent="0.2">
      <c r="A436" s="342" t="s">
        <v>732</v>
      </c>
      <c r="B436" s="337" t="s">
        <v>789</v>
      </c>
      <c r="C436" s="337" t="s">
        <v>796</v>
      </c>
      <c r="D436" s="337" t="s">
        <v>798</v>
      </c>
      <c r="E436" s="337" t="s">
        <v>790</v>
      </c>
      <c r="F436" s="337" t="s">
        <v>771</v>
      </c>
      <c r="G436" s="337" t="s">
        <v>852</v>
      </c>
      <c r="H436" s="337" t="s">
        <v>853</v>
      </c>
      <c r="I436" s="337" t="s">
        <v>767</v>
      </c>
      <c r="J436" s="337" t="s">
        <v>765</v>
      </c>
      <c r="K436" s="337"/>
      <c r="L436" s="337"/>
      <c r="M436" s="337" t="s">
        <v>815</v>
      </c>
      <c r="N436" s="337" t="s">
        <v>762</v>
      </c>
      <c r="O436" s="337" t="e">
        <v>#N/A</v>
      </c>
      <c r="P436" s="337"/>
      <c r="Q436" s="337"/>
      <c r="R436" s="343">
        <v>43307.46</v>
      </c>
    </row>
    <row r="437" spans="1:18" x14ac:dyDescent="0.2">
      <c r="A437" s="342" t="s">
        <v>726</v>
      </c>
      <c r="B437" s="337" t="s">
        <v>789</v>
      </c>
      <c r="C437" s="337" t="s">
        <v>796</v>
      </c>
      <c r="D437" s="337" t="s">
        <v>798</v>
      </c>
      <c r="E437" s="337" t="s">
        <v>790</v>
      </c>
      <c r="F437" s="337" t="s">
        <v>771</v>
      </c>
      <c r="G437" s="337" t="s">
        <v>852</v>
      </c>
      <c r="H437" s="337" t="s">
        <v>853</v>
      </c>
      <c r="I437" s="337" t="s">
        <v>767</v>
      </c>
      <c r="J437" s="337" t="s">
        <v>765</v>
      </c>
      <c r="K437" s="337"/>
      <c r="L437" s="337"/>
      <c r="M437" s="337" t="s">
        <v>815</v>
      </c>
      <c r="N437" s="337" t="s">
        <v>762</v>
      </c>
      <c r="O437" s="337" t="e">
        <v>#N/A</v>
      </c>
      <c r="P437" s="337"/>
      <c r="Q437" s="337"/>
      <c r="R437" s="343">
        <v>29261.3</v>
      </c>
    </row>
    <row r="438" spans="1:18" x14ac:dyDescent="0.2">
      <c r="A438" s="342" t="s">
        <v>733</v>
      </c>
      <c r="B438" s="337" t="s">
        <v>789</v>
      </c>
      <c r="C438" s="337" t="s">
        <v>796</v>
      </c>
      <c r="D438" s="337" t="s">
        <v>798</v>
      </c>
      <c r="E438" s="337" t="s">
        <v>790</v>
      </c>
      <c r="F438" s="337" t="s">
        <v>771</v>
      </c>
      <c r="G438" s="337" t="s">
        <v>852</v>
      </c>
      <c r="H438" s="337" t="s">
        <v>853</v>
      </c>
      <c r="I438" s="337" t="s">
        <v>767</v>
      </c>
      <c r="J438" s="337" t="s">
        <v>765</v>
      </c>
      <c r="K438" s="337"/>
      <c r="L438" s="337"/>
      <c r="M438" s="337" t="s">
        <v>815</v>
      </c>
      <c r="N438" s="337" t="s">
        <v>762</v>
      </c>
      <c r="O438" s="337" t="e">
        <v>#N/A</v>
      </c>
      <c r="P438" s="337"/>
      <c r="Q438" s="337"/>
      <c r="R438" s="343">
        <v>128541.52</v>
      </c>
    </row>
    <row r="439" spans="1:18" x14ac:dyDescent="0.2">
      <c r="A439" s="342" t="s">
        <v>734</v>
      </c>
      <c r="B439" s="337" t="s">
        <v>789</v>
      </c>
      <c r="C439" s="337" t="s">
        <v>796</v>
      </c>
      <c r="D439" s="337" t="s">
        <v>798</v>
      </c>
      <c r="E439" s="337" t="s">
        <v>790</v>
      </c>
      <c r="F439" s="337" t="s">
        <v>771</v>
      </c>
      <c r="G439" s="337" t="s">
        <v>852</v>
      </c>
      <c r="H439" s="337" t="s">
        <v>853</v>
      </c>
      <c r="I439" s="337" t="s">
        <v>767</v>
      </c>
      <c r="J439" s="337" t="s">
        <v>765</v>
      </c>
      <c r="K439" s="337"/>
      <c r="L439" s="337"/>
      <c r="M439" s="337" t="s">
        <v>815</v>
      </c>
      <c r="N439" s="337" t="s">
        <v>762</v>
      </c>
      <c r="O439" s="337" t="e">
        <v>#N/A</v>
      </c>
      <c r="P439" s="337"/>
      <c r="Q439" s="337"/>
      <c r="R439" s="343">
        <v>7157.28</v>
      </c>
    </row>
    <row r="440" spans="1:18" x14ac:dyDescent="0.2">
      <c r="A440" s="342" t="s">
        <v>735</v>
      </c>
      <c r="B440" s="337" t="s">
        <v>789</v>
      </c>
      <c r="C440" s="337" t="s">
        <v>796</v>
      </c>
      <c r="D440" s="337" t="s">
        <v>798</v>
      </c>
      <c r="E440" s="337" t="s">
        <v>790</v>
      </c>
      <c r="F440" s="337" t="s">
        <v>771</v>
      </c>
      <c r="G440" s="337" t="s">
        <v>852</v>
      </c>
      <c r="H440" s="337" t="s">
        <v>853</v>
      </c>
      <c r="I440" s="337" t="s">
        <v>767</v>
      </c>
      <c r="J440" s="337" t="s">
        <v>765</v>
      </c>
      <c r="K440" s="337"/>
      <c r="L440" s="337"/>
      <c r="M440" s="337" t="s">
        <v>815</v>
      </c>
      <c r="N440" s="337" t="s">
        <v>762</v>
      </c>
      <c r="O440" s="337" t="e">
        <v>#N/A</v>
      </c>
      <c r="P440" s="337"/>
      <c r="Q440" s="337"/>
      <c r="R440" s="343">
        <v>55948.28</v>
      </c>
    </row>
    <row r="441" spans="1:18" x14ac:dyDescent="0.2">
      <c r="A441" s="342" t="s">
        <v>736</v>
      </c>
      <c r="B441" s="337" t="s">
        <v>789</v>
      </c>
      <c r="C441" s="337" t="s">
        <v>796</v>
      </c>
      <c r="D441" s="337" t="s">
        <v>798</v>
      </c>
      <c r="E441" s="337" t="s">
        <v>790</v>
      </c>
      <c r="F441" s="337" t="s">
        <v>771</v>
      </c>
      <c r="G441" s="337" t="s">
        <v>852</v>
      </c>
      <c r="H441" s="337" t="s">
        <v>853</v>
      </c>
      <c r="I441" s="337" t="s">
        <v>767</v>
      </c>
      <c r="J441" s="337" t="s">
        <v>765</v>
      </c>
      <c r="K441" s="337"/>
      <c r="L441" s="337"/>
      <c r="M441" s="337" t="s">
        <v>815</v>
      </c>
      <c r="N441" s="337" t="s">
        <v>762</v>
      </c>
      <c r="O441" s="337" t="e">
        <v>#N/A</v>
      </c>
      <c r="P441" s="337"/>
      <c r="Q441" s="337"/>
      <c r="R441" s="343">
        <v>56347.17</v>
      </c>
    </row>
    <row r="442" spans="1:18" x14ac:dyDescent="0.2">
      <c r="A442" s="342" t="s">
        <v>737</v>
      </c>
      <c r="B442" s="337" t="s">
        <v>789</v>
      </c>
      <c r="C442" s="337" t="s">
        <v>796</v>
      </c>
      <c r="D442" s="337" t="s">
        <v>798</v>
      </c>
      <c r="E442" s="337" t="s">
        <v>790</v>
      </c>
      <c r="F442" s="337" t="s">
        <v>771</v>
      </c>
      <c r="G442" s="337" t="s">
        <v>852</v>
      </c>
      <c r="H442" s="337" t="s">
        <v>853</v>
      </c>
      <c r="I442" s="337" t="s">
        <v>767</v>
      </c>
      <c r="J442" s="337" t="s">
        <v>765</v>
      </c>
      <c r="K442" s="337"/>
      <c r="L442" s="337"/>
      <c r="M442" s="337" t="s">
        <v>815</v>
      </c>
      <c r="N442" s="337" t="s">
        <v>762</v>
      </c>
      <c r="O442" s="337" t="e">
        <v>#N/A</v>
      </c>
      <c r="P442" s="337"/>
      <c r="Q442" s="337"/>
      <c r="R442" s="343">
        <v>64379.54</v>
      </c>
    </row>
    <row r="443" spans="1:18" x14ac:dyDescent="0.2">
      <c r="A443" s="342" t="s">
        <v>738</v>
      </c>
      <c r="B443" s="337" t="s">
        <v>789</v>
      </c>
      <c r="C443" s="337" t="s">
        <v>796</v>
      </c>
      <c r="D443" s="337" t="s">
        <v>798</v>
      </c>
      <c r="E443" s="337" t="s">
        <v>790</v>
      </c>
      <c r="F443" s="337" t="s">
        <v>771</v>
      </c>
      <c r="G443" s="337" t="s">
        <v>852</v>
      </c>
      <c r="H443" s="337" t="s">
        <v>853</v>
      </c>
      <c r="I443" s="337" t="s">
        <v>767</v>
      </c>
      <c r="J443" s="337" t="s">
        <v>765</v>
      </c>
      <c r="K443" s="337"/>
      <c r="L443" s="337"/>
      <c r="M443" s="337" t="s">
        <v>815</v>
      </c>
      <c r="N443" s="337" t="s">
        <v>762</v>
      </c>
      <c r="O443" s="337" t="e">
        <v>#N/A</v>
      </c>
      <c r="P443" s="337"/>
      <c r="Q443" s="337"/>
      <c r="R443" s="343">
        <v>7237.64</v>
      </c>
    </row>
    <row r="444" spans="1:18" x14ac:dyDescent="0.2">
      <c r="A444" s="342" t="s">
        <v>727</v>
      </c>
      <c r="B444" s="337" t="s">
        <v>789</v>
      </c>
      <c r="C444" s="337" t="s">
        <v>796</v>
      </c>
      <c r="D444" s="337" t="s">
        <v>798</v>
      </c>
      <c r="E444" s="337" t="s">
        <v>790</v>
      </c>
      <c r="F444" s="337" t="s">
        <v>771</v>
      </c>
      <c r="G444" s="337" t="s">
        <v>852</v>
      </c>
      <c r="H444" s="337" t="s">
        <v>853</v>
      </c>
      <c r="I444" s="337" t="s">
        <v>767</v>
      </c>
      <c r="J444" s="337" t="s">
        <v>765</v>
      </c>
      <c r="K444" s="337"/>
      <c r="L444" s="337"/>
      <c r="M444" s="337" t="s">
        <v>815</v>
      </c>
      <c r="N444" s="337" t="s">
        <v>762</v>
      </c>
      <c r="O444" s="337" t="e">
        <v>#N/A</v>
      </c>
      <c r="P444" s="337"/>
      <c r="Q444" s="337"/>
      <c r="R444" s="343">
        <v>14548.12</v>
      </c>
    </row>
    <row r="445" spans="1:18" x14ac:dyDescent="0.2">
      <c r="A445" s="342" t="s">
        <v>728</v>
      </c>
      <c r="B445" s="337" t="s">
        <v>789</v>
      </c>
      <c r="C445" s="337" t="s">
        <v>796</v>
      </c>
      <c r="D445" s="337" t="s">
        <v>798</v>
      </c>
      <c r="E445" s="337" t="s">
        <v>790</v>
      </c>
      <c r="F445" s="337" t="s">
        <v>771</v>
      </c>
      <c r="G445" s="337" t="s">
        <v>852</v>
      </c>
      <c r="H445" s="337" t="s">
        <v>853</v>
      </c>
      <c r="I445" s="337" t="s">
        <v>767</v>
      </c>
      <c r="J445" s="337" t="s">
        <v>765</v>
      </c>
      <c r="K445" s="337"/>
      <c r="L445" s="337"/>
      <c r="M445" s="337" t="s">
        <v>816</v>
      </c>
      <c r="N445" s="337" t="s">
        <v>817</v>
      </c>
      <c r="O445" s="337" t="e">
        <v>#N/A</v>
      </c>
      <c r="P445" s="337"/>
      <c r="Q445" s="337"/>
      <c r="R445" s="343">
        <v>4886.2</v>
      </c>
    </row>
    <row r="446" spans="1:18" x14ac:dyDescent="0.2">
      <c r="A446" s="342" t="s">
        <v>730</v>
      </c>
      <c r="B446" s="337" t="s">
        <v>789</v>
      </c>
      <c r="C446" s="337" t="s">
        <v>796</v>
      </c>
      <c r="D446" s="337" t="s">
        <v>798</v>
      </c>
      <c r="E446" s="337" t="s">
        <v>790</v>
      </c>
      <c r="F446" s="337" t="s">
        <v>771</v>
      </c>
      <c r="G446" s="337" t="s">
        <v>852</v>
      </c>
      <c r="H446" s="337" t="s">
        <v>853</v>
      </c>
      <c r="I446" s="337" t="s">
        <v>767</v>
      </c>
      <c r="J446" s="337" t="s">
        <v>765</v>
      </c>
      <c r="K446" s="337"/>
      <c r="L446" s="337"/>
      <c r="M446" s="337" t="s">
        <v>816</v>
      </c>
      <c r="N446" s="337" t="s">
        <v>817</v>
      </c>
      <c r="O446" s="337" t="e">
        <v>#N/A</v>
      </c>
      <c r="P446" s="337"/>
      <c r="Q446" s="337"/>
      <c r="R446" s="343">
        <v>215954.6</v>
      </c>
    </row>
    <row r="447" spans="1:18" x14ac:dyDescent="0.2">
      <c r="A447" s="342" t="s">
        <v>731</v>
      </c>
      <c r="B447" s="337" t="s">
        <v>789</v>
      </c>
      <c r="C447" s="337" t="s">
        <v>796</v>
      </c>
      <c r="D447" s="337" t="s">
        <v>798</v>
      </c>
      <c r="E447" s="337" t="s">
        <v>790</v>
      </c>
      <c r="F447" s="337" t="s">
        <v>771</v>
      </c>
      <c r="G447" s="337" t="s">
        <v>852</v>
      </c>
      <c r="H447" s="337" t="s">
        <v>853</v>
      </c>
      <c r="I447" s="337" t="s">
        <v>767</v>
      </c>
      <c r="J447" s="337" t="s">
        <v>765</v>
      </c>
      <c r="K447" s="337"/>
      <c r="L447" s="337"/>
      <c r="M447" s="337" t="s">
        <v>816</v>
      </c>
      <c r="N447" s="337" t="s">
        <v>817</v>
      </c>
      <c r="O447" s="337" t="e">
        <v>#N/A</v>
      </c>
      <c r="P447" s="337"/>
      <c r="Q447" s="337"/>
      <c r="R447" s="343">
        <v>160760.25</v>
      </c>
    </row>
    <row r="448" spans="1:18" x14ac:dyDescent="0.2">
      <c r="A448" s="342" t="s">
        <v>732</v>
      </c>
      <c r="B448" s="337" t="s">
        <v>789</v>
      </c>
      <c r="C448" s="337" t="s">
        <v>796</v>
      </c>
      <c r="D448" s="337" t="s">
        <v>798</v>
      </c>
      <c r="E448" s="337" t="s">
        <v>790</v>
      </c>
      <c r="F448" s="337" t="s">
        <v>771</v>
      </c>
      <c r="G448" s="337" t="s">
        <v>852</v>
      </c>
      <c r="H448" s="337" t="s">
        <v>853</v>
      </c>
      <c r="I448" s="337" t="s">
        <v>767</v>
      </c>
      <c r="J448" s="337" t="s">
        <v>765</v>
      </c>
      <c r="K448" s="337"/>
      <c r="L448" s="337"/>
      <c r="M448" s="337" t="s">
        <v>816</v>
      </c>
      <c r="N448" s="337" t="s">
        <v>817</v>
      </c>
      <c r="O448" s="337" t="e">
        <v>#N/A</v>
      </c>
      <c r="P448" s="337"/>
      <c r="Q448" s="337"/>
      <c r="R448" s="343">
        <v>5717.78</v>
      </c>
    </row>
    <row r="449" spans="1:18" x14ac:dyDescent="0.2">
      <c r="A449" s="342" t="s">
        <v>726</v>
      </c>
      <c r="B449" s="337" t="s">
        <v>789</v>
      </c>
      <c r="C449" s="337" t="s">
        <v>796</v>
      </c>
      <c r="D449" s="337" t="s">
        <v>798</v>
      </c>
      <c r="E449" s="337" t="s">
        <v>790</v>
      </c>
      <c r="F449" s="337" t="s">
        <v>771</v>
      </c>
      <c r="G449" s="337" t="s">
        <v>852</v>
      </c>
      <c r="H449" s="337" t="s">
        <v>853</v>
      </c>
      <c r="I449" s="337" t="s">
        <v>767</v>
      </c>
      <c r="J449" s="337" t="s">
        <v>765</v>
      </c>
      <c r="K449" s="337"/>
      <c r="L449" s="337"/>
      <c r="M449" s="337" t="s">
        <v>816</v>
      </c>
      <c r="N449" s="337" t="s">
        <v>817</v>
      </c>
      <c r="O449" s="337" t="e">
        <v>#N/A</v>
      </c>
      <c r="P449" s="337"/>
      <c r="Q449" s="337"/>
      <c r="R449" s="343">
        <v>161107.76999999999</v>
      </c>
    </row>
    <row r="450" spans="1:18" x14ac:dyDescent="0.2">
      <c r="A450" s="342" t="s">
        <v>733</v>
      </c>
      <c r="B450" s="337" t="s">
        <v>789</v>
      </c>
      <c r="C450" s="337" t="s">
        <v>796</v>
      </c>
      <c r="D450" s="337" t="s">
        <v>798</v>
      </c>
      <c r="E450" s="337" t="s">
        <v>790</v>
      </c>
      <c r="F450" s="337" t="s">
        <v>771</v>
      </c>
      <c r="G450" s="337" t="s">
        <v>852</v>
      </c>
      <c r="H450" s="337" t="s">
        <v>853</v>
      </c>
      <c r="I450" s="337" t="s">
        <v>767</v>
      </c>
      <c r="J450" s="337" t="s">
        <v>765</v>
      </c>
      <c r="K450" s="337"/>
      <c r="L450" s="337"/>
      <c r="M450" s="337" t="s">
        <v>816</v>
      </c>
      <c r="N450" s="337" t="s">
        <v>817</v>
      </c>
      <c r="O450" s="337" t="e">
        <v>#N/A</v>
      </c>
      <c r="P450" s="337"/>
      <c r="Q450" s="337"/>
      <c r="R450" s="343">
        <v>5370.26</v>
      </c>
    </row>
    <row r="451" spans="1:18" x14ac:dyDescent="0.2">
      <c r="A451" s="342" t="s">
        <v>734</v>
      </c>
      <c r="B451" s="337" t="s">
        <v>789</v>
      </c>
      <c r="C451" s="337" t="s">
        <v>796</v>
      </c>
      <c r="D451" s="337" t="s">
        <v>798</v>
      </c>
      <c r="E451" s="337" t="s">
        <v>790</v>
      </c>
      <c r="F451" s="337" t="s">
        <v>771</v>
      </c>
      <c r="G451" s="337" t="s">
        <v>852</v>
      </c>
      <c r="H451" s="337" t="s">
        <v>853</v>
      </c>
      <c r="I451" s="337" t="s">
        <v>767</v>
      </c>
      <c r="J451" s="337" t="s">
        <v>765</v>
      </c>
      <c r="K451" s="337"/>
      <c r="L451" s="337"/>
      <c r="M451" s="337" t="s">
        <v>816</v>
      </c>
      <c r="N451" s="337" t="s">
        <v>817</v>
      </c>
      <c r="O451" s="337" t="e">
        <v>#N/A</v>
      </c>
      <c r="P451" s="337"/>
      <c r="Q451" s="337"/>
      <c r="R451" s="343">
        <v>359.11</v>
      </c>
    </row>
    <row r="452" spans="1:18" x14ac:dyDescent="0.2">
      <c r="A452" s="342" t="s">
        <v>735</v>
      </c>
      <c r="B452" s="337" t="s">
        <v>789</v>
      </c>
      <c r="C452" s="337" t="s">
        <v>796</v>
      </c>
      <c r="D452" s="337" t="s">
        <v>798</v>
      </c>
      <c r="E452" s="337" t="s">
        <v>790</v>
      </c>
      <c r="F452" s="337" t="s">
        <v>771</v>
      </c>
      <c r="G452" s="337" t="s">
        <v>852</v>
      </c>
      <c r="H452" s="337" t="s">
        <v>853</v>
      </c>
      <c r="I452" s="337" t="s">
        <v>767</v>
      </c>
      <c r="J452" s="337" t="s">
        <v>765</v>
      </c>
      <c r="K452" s="337"/>
      <c r="L452" s="337"/>
      <c r="M452" s="337" t="s">
        <v>816</v>
      </c>
      <c r="N452" s="337" t="s">
        <v>817</v>
      </c>
      <c r="O452" s="337" t="e">
        <v>#N/A</v>
      </c>
      <c r="P452" s="337"/>
      <c r="Q452" s="337"/>
      <c r="R452" s="343">
        <v>-16145.53</v>
      </c>
    </row>
    <row r="453" spans="1:18" x14ac:dyDescent="0.2">
      <c r="A453" s="342" t="s">
        <v>736</v>
      </c>
      <c r="B453" s="337" t="s">
        <v>789</v>
      </c>
      <c r="C453" s="337" t="s">
        <v>796</v>
      </c>
      <c r="D453" s="337" t="s">
        <v>798</v>
      </c>
      <c r="E453" s="337" t="s">
        <v>790</v>
      </c>
      <c r="F453" s="337" t="s">
        <v>771</v>
      </c>
      <c r="G453" s="337" t="s">
        <v>852</v>
      </c>
      <c r="H453" s="337" t="s">
        <v>853</v>
      </c>
      <c r="I453" s="337" t="s">
        <v>767</v>
      </c>
      <c r="J453" s="337" t="s">
        <v>765</v>
      </c>
      <c r="K453" s="337"/>
      <c r="L453" s="337"/>
      <c r="M453" s="337" t="s">
        <v>816</v>
      </c>
      <c r="N453" s="337" t="s">
        <v>817</v>
      </c>
      <c r="O453" s="337" t="e">
        <v>#N/A</v>
      </c>
      <c r="P453" s="337"/>
      <c r="Q453" s="337"/>
      <c r="R453" s="343">
        <v>16145.53</v>
      </c>
    </row>
    <row r="454" spans="1:18" x14ac:dyDescent="0.2">
      <c r="A454" s="342" t="s">
        <v>737</v>
      </c>
      <c r="B454" s="337" t="s">
        <v>789</v>
      </c>
      <c r="C454" s="337" t="s">
        <v>796</v>
      </c>
      <c r="D454" s="337" t="s">
        <v>798</v>
      </c>
      <c r="E454" s="337" t="s">
        <v>790</v>
      </c>
      <c r="F454" s="337" t="s">
        <v>771</v>
      </c>
      <c r="G454" s="337" t="s">
        <v>852</v>
      </c>
      <c r="H454" s="337" t="s">
        <v>853</v>
      </c>
      <c r="I454" s="337" t="s">
        <v>767</v>
      </c>
      <c r="J454" s="337" t="s">
        <v>765</v>
      </c>
      <c r="K454" s="337"/>
      <c r="L454" s="337"/>
      <c r="M454" s="337" t="s">
        <v>816</v>
      </c>
      <c r="N454" s="337" t="s">
        <v>817</v>
      </c>
      <c r="O454" s="337" t="e">
        <v>#N/A</v>
      </c>
      <c r="P454" s="337"/>
      <c r="Q454" s="337"/>
      <c r="R454" s="343">
        <v>-105702.46</v>
      </c>
    </row>
    <row r="455" spans="1:18" x14ac:dyDescent="0.2">
      <c r="A455" s="342" t="s">
        <v>738</v>
      </c>
      <c r="B455" s="337" t="s">
        <v>789</v>
      </c>
      <c r="C455" s="337" t="s">
        <v>796</v>
      </c>
      <c r="D455" s="337" t="s">
        <v>798</v>
      </c>
      <c r="E455" s="337" t="s">
        <v>790</v>
      </c>
      <c r="F455" s="337" t="s">
        <v>771</v>
      </c>
      <c r="G455" s="337" t="s">
        <v>852</v>
      </c>
      <c r="H455" s="337" t="s">
        <v>853</v>
      </c>
      <c r="I455" s="337" t="s">
        <v>767</v>
      </c>
      <c r="J455" s="337" t="s">
        <v>765</v>
      </c>
      <c r="K455" s="337"/>
      <c r="L455" s="337"/>
      <c r="M455" s="337" t="s">
        <v>816</v>
      </c>
      <c r="N455" s="337" t="s">
        <v>817</v>
      </c>
      <c r="O455" s="337" t="e">
        <v>#N/A</v>
      </c>
      <c r="P455" s="337"/>
      <c r="Q455" s="337"/>
      <c r="R455" s="343">
        <v>53619.39</v>
      </c>
    </row>
    <row r="456" spans="1:18" x14ac:dyDescent="0.2">
      <c r="A456" s="342" t="s">
        <v>727</v>
      </c>
      <c r="B456" s="337" t="s">
        <v>789</v>
      </c>
      <c r="C456" s="337" t="s">
        <v>796</v>
      </c>
      <c r="D456" s="337" t="s">
        <v>798</v>
      </c>
      <c r="E456" s="337" t="s">
        <v>790</v>
      </c>
      <c r="F456" s="337" t="s">
        <v>771</v>
      </c>
      <c r="G456" s="337" t="s">
        <v>852</v>
      </c>
      <c r="H456" s="337" t="s">
        <v>853</v>
      </c>
      <c r="I456" s="337" t="s">
        <v>767</v>
      </c>
      <c r="J456" s="337" t="s">
        <v>765</v>
      </c>
      <c r="K456" s="337"/>
      <c r="L456" s="337"/>
      <c r="M456" s="337" t="s">
        <v>816</v>
      </c>
      <c r="N456" s="337" t="s">
        <v>817</v>
      </c>
      <c r="O456" s="337" t="e">
        <v>#N/A</v>
      </c>
      <c r="P456" s="337"/>
      <c r="Q456" s="337"/>
      <c r="R456" s="343">
        <v>-71920.850000000006</v>
      </c>
    </row>
    <row r="457" spans="1:18" x14ac:dyDescent="0.2">
      <c r="A457" s="342" t="s">
        <v>728</v>
      </c>
      <c r="B457" s="337" t="s">
        <v>789</v>
      </c>
      <c r="C457" s="337" t="s">
        <v>796</v>
      </c>
      <c r="D457" s="337" t="s">
        <v>798</v>
      </c>
      <c r="E457" s="337" t="s">
        <v>790</v>
      </c>
      <c r="F457" s="337" t="s">
        <v>771</v>
      </c>
      <c r="G457" s="337" t="s">
        <v>852</v>
      </c>
      <c r="H457" s="337" t="s">
        <v>853</v>
      </c>
      <c r="I457" s="337" t="s">
        <v>767</v>
      </c>
      <c r="J457" s="337" t="s">
        <v>765</v>
      </c>
      <c r="K457" s="337"/>
      <c r="L457" s="337"/>
      <c r="M457" s="337" t="s">
        <v>818</v>
      </c>
      <c r="N457" s="337" t="s">
        <v>763</v>
      </c>
      <c r="O457" s="337" t="e">
        <v>#N/A</v>
      </c>
      <c r="P457" s="337"/>
      <c r="Q457" s="337"/>
      <c r="R457" s="343">
        <v>1436.27</v>
      </c>
    </row>
    <row r="458" spans="1:18" x14ac:dyDescent="0.2">
      <c r="A458" s="342" t="s">
        <v>730</v>
      </c>
      <c r="B458" s="337" t="s">
        <v>789</v>
      </c>
      <c r="C458" s="337" t="s">
        <v>796</v>
      </c>
      <c r="D458" s="337" t="s">
        <v>798</v>
      </c>
      <c r="E458" s="337" t="s">
        <v>790</v>
      </c>
      <c r="F458" s="337" t="s">
        <v>771</v>
      </c>
      <c r="G458" s="337" t="s">
        <v>852</v>
      </c>
      <c r="H458" s="337" t="s">
        <v>853</v>
      </c>
      <c r="I458" s="337" t="s">
        <v>767</v>
      </c>
      <c r="J458" s="337" t="s">
        <v>765</v>
      </c>
      <c r="K458" s="337"/>
      <c r="L458" s="337"/>
      <c r="M458" s="337" t="s">
        <v>818</v>
      </c>
      <c r="N458" s="337" t="s">
        <v>763</v>
      </c>
      <c r="O458" s="337" t="e">
        <v>#N/A</v>
      </c>
      <c r="P458" s="337"/>
      <c r="Q458" s="337"/>
      <c r="R458" s="343">
        <v>-493.49</v>
      </c>
    </row>
    <row r="459" spans="1:18" x14ac:dyDescent="0.2">
      <c r="A459" s="342" t="s">
        <v>731</v>
      </c>
      <c r="B459" s="337" t="s">
        <v>789</v>
      </c>
      <c r="C459" s="337" t="s">
        <v>796</v>
      </c>
      <c r="D459" s="337" t="s">
        <v>798</v>
      </c>
      <c r="E459" s="337" t="s">
        <v>790</v>
      </c>
      <c r="F459" s="337" t="s">
        <v>771</v>
      </c>
      <c r="G459" s="337" t="s">
        <v>852</v>
      </c>
      <c r="H459" s="337" t="s">
        <v>853</v>
      </c>
      <c r="I459" s="337" t="s">
        <v>767</v>
      </c>
      <c r="J459" s="337" t="s">
        <v>765</v>
      </c>
      <c r="K459" s="337"/>
      <c r="L459" s="337"/>
      <c r="M459" s="337" t="s">
        <v>818</v>
      </c>
      <c r="N459" s="337" t="s">
        <v>763</v>
      </c>
      <c r="O459" s="337" t="e">
        <v>#N/A</v>
      </c>
      <c r="P459" s="337"/>
      <c r="Q459" s="337"/>
      <c r="R459" s="343">
        <v>10269.620000000001</v>
      </c>
    </row>
    <row r="460" spans="1:18" x14ac:dyDescent="0.2">
      <c r="A460" s="342" t="s">
        <v>732</v>
      </c>
      <c r="B460" s="337" t="s">
        <v>789</v>
      </c>
      <c r="C460" s="337" t="s">
        <v>796</v>
      </c>
      <c r="D460" s="337" t="s">
        <v>798</v>
      </c>
      <c r="E460" s="337" t="s">
        <v>790</v>
      </c>
      <c r="F460" s="337" t="s">
        <v>771</v>
      </c>
      <c r="G460" s="337" t="s">
        <v>852</v>
      </c>
      <c r="H460" s="337" t="s">
        <v>853</v>
      </c>
      <c r="I460" s="337" t="s">
        <v>767</v>
      </c>
      <c r="J460" s="337" t="s">
        <v>765</v>
      </c>
      <c r="K460" s="337"/>
      <c r="L460" s="337"/>
      <c r="M460" s="337" t="s">
        <v>818</v>
      </c>
      <c r="N460" s="337" t="s">
        <v>763</v>
      </c>
      <c r="O460" s="337" t="e">
        <v>#N/A</v>
      </c>
      <c r="P460" s="337"/>
      <c r="Q460" s="337"/>
      <c r="R460" s="343">
        <v>-4963.24</v>
      </c>
    </row>
    <row r="461" spans="1:18" x14ac:dyDescent="0.2">
      <c r="A461" s="342" t="s">
        <v>726</v>
      </c>
      <c r="B461" s="337" t="s">
        <v>789</v>
      </c>
      <c r="C461" s="337" t="s">
        <v>796</v>
      </c>
      <c r="D461" s="337" t="s">
        <v>798</v>
      </c>
      <c r="E461" s="337" t="s">
        <v>790</v>
      </c>
      <c r="F461" s="337" t="s">
        <v>771</v>
      </c>
      <c r="G461" s="337" t="s">
        <v>852</v>
      </c>
      <c r="H461" s="337" t="s">
        <v>853</v>
      </c>
      <c r="I461" s="337" t="s">
        <v>767</v>
      </c>
      <c r="J461" s="337" t="s">
        <v>765</v>
      </c>
      <c r="K461" s="337"/>
      <c r="L461" s="337"/>
      <c r="M461" s="337" t="s">
        <v>818</v>
      </c>
      <c r="N461" s="337" t="s">
        <v>763</v>
      </c>
      <c r="O461" s="337" t="e">
        <v>#N/A</v>
      </c>
      <c r="P461" s="337"/>
      <c r="Q461" s="337"/>
      <c r="R461" s="343">
        <v>858.45</v>
      </c>
    </row>
    <row r="462" spans="1:18" x14ac:dyDescent="0.2">
      <c r="A462" s="342" t="s">
        <v>733</v>
      </c>
      <c r="B462" s="337" t="s">
        <v>789</v>
      </c>
      <c r="C462" s="337" t="s">
        <v>796</v>
      </c>
      <c r="D462" s="337" t="s">
        <v>798</v>
      </c>
      <c r="E462" s="337" t="s">
        <v>790</v>
      </c>
      <c r="F462" s="337" t="s">
        <v>771</v>
      </c>
      <c r="G462" s="337" t="s">
        <v>852</v>
      </c>
      <c r="H462" s="337" t="s">
        <v>853</v>
      </c>
      <c r="I462" s="337" t="s">
        <v>767</v>
      </c>
      <c r="J462" s="337" t="s">
        <v>765</v>
      </c>
      <c r="K462" s="337"/>
      <c r="L462" s="337"/>
      <c r="M462" s="337" t="s">
        <v>818</v>
      </c>
      <c r="N462" s="337" t="s">
        <v>763</v>
      </c>
      <c r="O462" s="337" t="e">
        <v>#N/A</v>
      </c>
      <c r="P462" s="337"/>
      <c r="Q462" s="337"/>
      <c r="R462" s="343">
        <v>1633.28</v>
      </c>
    </row>
    <row r="463" spans="1:18" x14ac:dyDescent="0.2">
      <c r="A463" s="342" t="s">
        <v>734</v>
      </c>
      <c r="B463" s="337" t="s">
        <v>789</v>
      </c>
      <c r="C463" s="337" t="s">
        <v>796</v>
      </c>
      <c r="D463" s="337" t="s">
        <v>798</v>
      </c>
      <c r="E463" s="337" t="s">
        <v>790</v>
      </c>
      <c r="F463" s="337" t="s">
        <v>771</v>
      </c>
      <c r="G463" s="337" t="s">
        <v>852</v>
      </c>
      <c r="H463" s="337" t="s">
        <v>853</v>
      </c>
      <c r="I463" s="337" t="s">
        <v>767</v>
      </c>
      <c r="J463" s="337" t="s">
        <v>765</v>
      </c>
      <c r="K463" s="337"/>
      <c r="L463" s="337"/>
      <c r="M463" s="337" t="s">
        <v>818</v>
      </c>
      <c r="N463" s="337" t="s">
        <v>763</v>
      </c>
      <c r="O463" s="337" t="e">
        <v>#N/A</v>
      </c>
      <c r="P463" s="337"/>
      <c r="Q463" s="337"/>
      <c r="R463" s="343">
        <v>9900.51</v>
      </c>
    </row>
    <row r="464" spans="1:18" x14ac:dyDescent="0.2">
      <c r="A464" s="342" t="s">
        <v>735</v>
      </c>
      <c r="B464" s="337" t="s">
        <v>789</v>
      </c>
      <c r="C464" s="337" t="s">
        <v>796</v>
      </c>
      <c r="D464" s="337" t="s">
        <v>798</v>
      </c>
      <c r="E464" s="337" t="s">
        <v>790</v>
      </c>
      <c r="F464" s="337" t="s">
        <v>771</v>
      </c>
      <c r="G464" s="337" t="s">
        <v>852</v>
      </c>
      <c r="H464" s="337" t="s">
        <v>853</v>
      </c>
      <c r="I464" s="337" t="s">
        <v>767</v>
      </c>
      <c r="J464" s="337" t="s">
        <v>765</v>
      </c>
      <c r="K464" s="337"/>
      <c r="L464" s="337"/>
      <c r="M464" s="337" t="s">
        <v>818</v>
      </c>
      <c r="N464" s="337" t="s">
        <v>763</v>
      </c>
      <c r="O464" s="337" t="e">
        <v>#N/A</v>
      </c>
      <c r="P464" s="337"/>
      <c r="Q464" s="337"/>
      <c r="R464" s="343">
        <v>209.06</v>
      </c>
    </row>
    <row r="465" spans="1:18" x14ac:dyDescent="0.2">
      <c r="A465" s="342" t="s">
        <v>736</v>
      </c>
      <c r="B465" s="337" t="s">
        <v>789</v>
      </c>
      <c r="C465" s="337" t="s">
        <v>796</v>
      </c>
      <c r="D465" s="337" t="s">
        <v>798</v>
      </c>
      <c r="E465" s="337" t="s">
        <v>790</v>
      </c>
      <c r="F465" s="337" t="s">
        <v>771</v>
      </c>
      <c r="G465" s="337" t="s">
        <v>852</v>
      </c>
      <c r="H465" s="337" t="s">
        <v>853</v>
      </c>
      <c r="I465" s="337" t="s">
        <v>767</v>
      </c>
      <c r="J465" s="337" t="s">
        <v>765</v>
      </c>
      <c r="K465" s="337"/>
      <c r="L465" s="337"/>
      <c r="M465" s="337" t="s">
        <v>818</v>
      </c>
      <c r="N465" s="337" t="s">
        <v>763</v>
      </c>
      <c r="O465" s="337" t="e">
        <v>#N/A</v>
      </c>
      <c r="P465" s="337"/>
      <c r="Q465" s="337"/>
      <c r="R465" s="343">
        <v>490.21</v>
      </c>
    </row>
    <row r="466" spans="1:18" x14ac:dyDescent="0.2">
      <c r="A466" s="342" t="s">
        <v>737</v>
      </c>
      <c r="B466" s="337" t="s">
        <v>789</v>
      </c>
      <c r="C466" s="337" t="s">
        <v>796</v>
      </c>
      <c r="D466" s="337" t="s">
        <v>798</v>
      </c>
      <c r="E466" s="337" t="s">
        <v>790</v>
      </c>
      <c r="F466" s="337" t="s">
        <v>771</v>
      </c>
      <c r="G466" s="337" t="s">
        <v>852</v>
      </c>
      <c r="H466" s="337" t="s">
        <v>853</v>
      </c>
      <c r="I466" s="337" t="s">
        <v>767</v>
      </c>
      <c r="J466" s="337" t="s">
        <v>765</v>
      </c>
      <c r="K466" s="337"/>
      <c r="L466" s="337"/>
      <c r="M466" s="337" t="s">
        <v>818</v>
      </c>
      <c r="N466" s="337" t="s">
        <v>763</v>
      </c>
      <c r="O466" s="337" t="e">
        <v>#N/A</v>
      </c>
      <c r="P466" s="337"/>
      <c r="Q466" s="337"/>
      <c r="R466" s="343">
        <v>11211.75</v>
      </c>
    </row>
    <row r="467" spans="1:18" x14ac:dyDescent="0.2">
      <c r="A467" s="342" t="s">
        <v>738</v>
      </c>
      <c r="B467" s="337" t="s">
        <v>789</v>
      </c>
      <c r="C467" s="337" t="s">
        <v>796</v>
      </c>
      <c r="D467" s="337" t="s">
        <v>798</v>
      </c>
      <c r="E467" s="337" t="s">
        <v>790</v>
      </c>
      <c r="F467" s="337" t="s">
        <v>771</v>
      </c>
      <c r="G467" s="337" t="s">
        <v>852</v>
      </c>
      <c r="H467" s="337" t="s">
        <v>853</v>
      </c>
      <c r="I467" s="337" t="s">
        <v>767</v>
      </c>
      <c r="J467" s="337" t="s">
        <v>765</v>
      </c>
      <c r="K467" s="337"/>
      <c r="L467" s="337"/>
      <c r="M467" s="337" t="s">
        <v>818</v>
      </c>
      <c r="N467" s="337" t="s">
        <v>763</v>
      </c>
      <c r="O467" s="337" t="e">
        <v>#N/A</v>
      </c>
      <c r="P467" s="337"/>
      <c r="Q467" s="337"/>
      <c r="R467" s="343">
        <v>-1965.82</v>
      </c>
    </row>
    <row r="468" spans="1:18" x14ac:dyDescent="0.2">
      <c r="A468" s="342" t="s">
        <v>727</v>
      </c>
      <c r="B468" s="337" t="s">
        <v>789</v>
      </c>
      <c r="C468" s="337" t="s">
        <v>796</v>
      </c>
      <c r="D468" s="337" t="s">
        <v>798</v>
      </c>
      <c r="E468" s="337" t="s">
        <v>790</v>
      </c>
      <c r="F468" s="337" t="s">
        <v>771</v>
      </c>
      <c r="G468" s="337" t="s">
        <v>852</v>
      </c>
      <c r="H468" s="337" t="s">
        <v>853</v>
      </c>
      <c r="I468" s="337" t="s">
        <v>767</v>
      </c>
      <c r="J468" s="337" t="s">
        <v>765</v>
      </c>
      <c r="K468" s="337"/>
      <c r="L468" s="337"/>
      <c r="M468" s="337" t="s">
        <v>818</v>
      </c>
      <c r="N468" s="337" t="s">
        <v>763</v>
      </c>
      <c r="O468" s="337" t="e">
        <v>#N/A</v>
      </c>
      <c r="P468" s="337"/>
      <c r="Q468" s="337"/>
      <c r="R468" s="343">
        <v>-548.79999999999995</v>
      </c>
    </row>
    <row r="469" spans="1:18" x14ac:dyDescent="0.2">
      <c r="A469" s="342" t="s">
        <v>735</v>
      </c>
      <c r="B469" s="337" t="s">
        <v>789</v>
      </c>
      <c r="C469" s="337" t="s">
        <v>796</v>
      </c>
      <c r="D469" s="337" t="s">
        <v>798</v>
      </c>
      <c r="E469" s="337" t="s">
        <v>790</v>
      </c>
      <c r="F469" s="337" t="s">
        <v>771</v>
      </c>
      <c r="G469" s="337" t="s">
        <v>852</v>
      </c>
      <c r="H469" s="337" t="s">
        <v>853</v>
      </c>
      <c r="I469" s="337" t="s">
        <v>767</v>
      </c>
      <c r="J469" s="337" t="s">
        <v>765</v>
      </c>
      <c r="K469" s="337"/>
      <c r="L469" s="337"/>
      <c r="M469" s="337" t="s">
        <v>819</v>
      </c>
      <c r="N469" s="337" t="s">
        <v>820</v>
      </c>
      <c r="O469" s="337" t="e">
        <v>#N/A</v>
      </c>
      <c r="P469" s="337"/>
      <c r="Q469" s="337"/>
      <c r="R469" s="343">
        <v>16750.3</v>
      </c>
    </row>
    <row r="470" spans="1:18" x14ac:dyDescent="0.2">
      <c r="A470" s="342" t="s">
        <v>736</v>
      </c>
      <c r="B470" s="337" t="s">
        <v>789</v>
      </c>
      <c r="C470" s="337" t="s">
        <v>796</v>
      </c>
      <c r="D470" s="337" t="s">
        <v>798</v>
      </c>
      <c r="E470" s="337" t="s">
        <v>790</v>
      </c>
      <c r="F470" s="337" t="s">
        <v>771</v>
      </c>
      <c r="G470" s="337" t="s">
        <v>852</v>
      </c>
      <c r="H470" s="337" t="s">
        <v>853</v>
      </c>
      <c r="I470" s="337" t="s">
        <v>767</v>
      </c>
      <c r="J470" s="337" t="s">
        <v>765</v>
      </c>
      <c r="K470" s="337"/>
      <c r="L470" s="337"/>
      <c r="M470" s="337" t="s">
        <v>819</v>
      </c>
      <c r="N470" s="337" t="s">
        <v>820</v>
      </c>
      <c r="O470" s="337" t="e">
        <v>#N/A</v>
      </c>
      <c r="P470" s="337"/>
      <c r="Q470" s="337"/>
      <c r="R470" s="343">
        <v>17344.97</v>
      </c>
    </row>
    <row r="471" spans="1:18" x14ac:dyDescent="0.2">
      <c r="A471" s="342" t="s">
        <v>737</v>
      </c>
      <c r="B471" s="337" t="s">
        <v>789</v>
      </c>
      <c r="C471" s="337" t="s">
        <v>796</v>
      </c>
      <c r="D471" s="337" t="s">
        <v>798</v>
      </c>
      <c r="E471" s="337" t="s">
        <v>790</v>
      </c>
      <c r="F471" s="337" t="s">
        <v>771</v>
      </c>
      <c r="G471" s="337" t="s">
        <v>852</v>
      </c>
      <c r="H471" s="337" t="s">
        <v>853</v>
      </c>
      <c r="I471" s="337" t="s">
        <v>767</v>
      </c>
      <c r="J471" s="337" t="s">
        <v>765</v>
      </c>
      <c r="K471" s="337"/>
      <c r="L471" s="337"/>
      <c r="M471" s="337" t="s">
        <v>819</v>
      </c>
      <c r="N471" s="337" t="s">
        <v>820</v>
      </c>
      <c r="O471" s="337" t="e">
        <v>#N/A</v>
      </c>
      <c r="P471" s="337"/>
      <c r="Q471" s="337"/>
      <c r="R471" s="343">
        <v>1200</v>
      </c>
    </row>
    <row r="472" spans="1:18" x14ac:dyDescent="0.2">
      <c r="A472" s="342" t="s">
        <v>738</v>
      </c>
      <c r="B472" s="337" t="s">
        <v>789</v>
      </c>
      <c r="C472" s="337" t="s">
        <v>796</v>
      </c>
      <c r="D472" s="337" t="s">
        <v>798</v>
      </c>
      <c r="E472" s="337" t="s">
        <v>790</v>
      </c>
      <c r="F472" s="337" t="s">
        <v>771</v>
      </c>
      <c r="G472" s="337" t="s">
        <v>852</v>
      </c>
      <c r="H472" s="337" t="s">
        <v>853</v>
      </c>
      <c r="I472" s="337" t="s">
        <v>767</v>
      </c>
      <c r="J472" s="337" t="s">
        <v>765</v>
      </c>
      <c r="K472" s="337"/>
      <c r="L472" s="337"/>
      <c r="M472" s="337" t="s">
        <v>819</v>
      </c>
      <c r="N472" s="337" t="s">
        <v>820</v>
      </c>
      <c r="O472" s="337" t="e">
        <v>#N/A</v>
      </c>
      <c r="P472" s="337"/>
      <c r="Q472" s="337"/>
      <c r="R472" s="343">
        <v>18114.11</v>
      </c>
    </row>
    <row r="473" spans="1:18" x14ac:dyDescent="0.2">
      <c r="A473" s="342" t="s">
        <v>728</v>
      </c>
      <c r="B473" s="337" t="s">
        <v>789</v>
      </c>
      <c r="C473" s="337" t="s">
        <v>796</v>
      </c>
      <c r="D473" s="337" t="s">
        <v>798</v>
      </c>
      <c r="E473" s="337" t="s">
        <v>790</v>
      </c>
      <c r="F473" s="337" t="s">
        <v>771</v>
      </c>
      <c r="G473" s="337" t="s">
        <v>852</v>
      </c>
      <c r="H473" s="337" t="s">
        <v>853</v>
      </c>
      <c r="I473" s="337" t="s">
        <v>767</v>
      </c>
      <c r="J473" s="337" t="s">
        <v>765</v>
      </c>
      <c r="K473" s="337"/>
      <c r="L473" s="337"/>
      <c r="M473" s="337" t="s">
        <v>821</v>
      </c>
      <c r="N473" s="337" t="s">
        <v>757</v>
      </c>
      <c r="O473" s="337" t="e">
        <v>#N/A</v>
      </c>
      <c r="P473" s="337"/>
      <c r="Q473" s="337"/>
      <c r="R473" s="343">
        <v>1168.9100000000001</v>
      </c>
    </row>
    <row r="474" spans="1:18" x14ac:dyDescent="0.2">
      <c r="A474" s="342" t="s">
        <v>730</v>
      </c>
      <c r="B474" s="337" t="s">
        <v>789</v>
      </c>
      <c r="C474" s="337" t="s">
        <v>796</v>
      </c>
      <c r="D474" s="337" t="s">
        <v>798</v>
      </c>
      <c r="E474" s="337" t="s">
        <v>790</v>
      </c>
      <c r="F474" s="337" t="s">
        <v>771</v>
      </c>
      <c r="G474" s="337" t="s">
        <v>852</v>
      </c>
      <c r="H474" s="337" t="s">
        <v>853</v>
      </c>
      <c r="I474" s="337" t="s">
        <v>767</v>
      </c>
      <c r="J474" s="337" t="s">
        <v>765</v>
      </c>
      <c r="K474" s="337"/>
      <c r="L474" s="337"/>
      <c r="M474" s="337" t="s">
        <v>821</v>
      </c>
      <c r="N474" s="337" t="s">
        <v>757</v>
      </c>
      <c r="O474" s="337" t="e">
        <v>#N/A</v>
      </c>
      <c r="P474" s="337"/>
      <c r="Q474" s="337"/>
      <c r="R474" s="343">
        <v>1520.8</v>
      </c>
    </row>
    <row r="475" spans="1:18" x14ac:dyDescent="0.2">
      <c r="A475" s="342" t="s">
        <v>731</v>
      </c>
      <c r="B475" s="337" t="s">
        <v>789</v>
      </c>
      <c r="C475" s="337" t="s">
        <v>796</v>
      </c>
      <c r="D475" s="337" t="s">
        <v>798</v>
      </c>
      <c r="E475" s="337" t="s">
        <v>790</v>
      </c>
      <c r="F475" s="337" t="s">
        <v>771</v>
      </c>
      <c r="G475" s="337" t="s">
        <v>852</v>
      </c>
      <c r="H475" s="337" t="s">
        <v>853</v>
      </c>
      <c r="I475" s="337" t="s">
        <v>767</v>
      </c>
      <c r="J475" s="337" t="s">
        <v>765</v>
      </c>
      <c r="K475" s="337"/>
      <c r="L475" s="337"/>
      <c r="M475" s="337" t="s">
        <v>821</v>
      </c>
      <c r="N475" s="337" t="s">
        <v>757</v>
      </c>
      <c r="O475" s="337" t="e">
        <v>#N/A</v>
      </c>
      <c r="P475" s="337"/>
      <c r="Q475" s="337"/>
      <c r="R475" s="343">
        <v>1318.74</v>
      </c>
    </row>
    <row r="476" spans="1:18" x14ac:dyDescent="0.2">
      <c r="A476" s="342" t="s">
        <v>732</v>
      </c>
      <c r="B476" s="337" t="s">
        <v>789</v>
      </c>
      <c r="C476" s="337" t="s">
        <v>796</v>
      </c>
      <c r="D476" s="337" t="s">
        <v>798</v>
      </c>
      <c r="E476" s="337" t="s">
        <v>790</v>
      </c>
      <c r="F476" s="337" t="s">
        <v>771</v>
      </c>
      <c r="G476" s="337" t="s">
        <v>852</v>
      </c>
      <c r="H476" s="337" t="s">
        <v>853</v>
      </c>
      <c r="I476" s="337" t="s">
        <v>767</v>
      </c>
      <c r="J476" s="337" t="s">
        <v>765</v>
      </c>
      <c r="K476" s="337"/>
      <c r="L476" s="337"/>
      <c r="M476" s="337" t="s">
        <v>821</v>
      </c>
      <c r="N476" s="337" t="s">
        <v>757</v>
      </c>
      <c r="O476" s="337" t="e">
        <v>#N/A</v>
      </c>
      <c r="P476" s="337"/>
      <c r="Q476" s="337"/>
      <c r="R476" s="343">
        <v>1489.81</v>
      </c>
    </row>
    <row r="477" spans="1:18" x14ac:dyDescent="0.2">
      <c r="A477" s="342" t="s">
        <v>726</v>
      </c>
      <c r="B477" s="337" t="s">
        <v>789</v>
      </c>
      <c r="C477" s="337" t="s">
        <v>796</v>
      </c>
      <c r="D477" s="337" t="s">
        <v>798</v>
      </c>
      <c r="E477" s="337" t="s">
        <v>790</v>
      </c>
      <c r="F477" s="337" t="s">
        <v>771</v>
      </c>
      <c r="G477" s="337" t="s">
        <v>852</v>
      </c>
      <c r="H477" s="337" t="s">
        <v>853</v>
      </c>
      <c r="I477" s="337" t="s">
        <v>767</v>
      </c>
      <c r="J477" s="337" t="s">
        <v>765</v>
      </c>
      <c r="K477" s="337"/>
      <c r="L477" s="337"/>
      <c r="M477" s="337" t="s">
        <v>821</v>
      </c>
      <c r="N477" s="337" t="s">
        <v>757</v>
      </c>
      <c r="O477" s="337" t="e">
        <v>#N/A</v>
      </c>
      <c r="P477" s="337"/>
      <c r="Q477" s="337"/>
      <c r="R477" s="343">
        <v>1444.95</v>
      </c>
    </row>
    <row r="478" spans="1:18" x14ac:dyDescent="0.2">
      <c r="A478" s="342" t="s">
        <v>733</v>
      </c>
      <c r="B478" s="337" t="s">
        <v>789</v>
      </c>
      <c r="C478" s="337" t="s">
        <v>796</v>
      </c>
      <c r="D478" s="337" t="s">
        <v>798</v>
      </c>
      <c r="E478" s="337" t="s">
        <v>790</v>
      </c>
      <c r="F478" s="337" t="s">
        <v>771</v>
      </c>
      <c r="G478" s="337" t="s">
        <v>852</v>
      </c>
      <c r="H478" s="337" t="s">
        <v>853</v>
      </c>
      <c r="I478" s="337" t="s">
        <v>767</v>
      </c>
      <c r="J478" s="337" t="s">
        <v>765</v>
      </c>
      <c r="K478" s="337"/>
      <c r="L478" s="337"/>
      <c r="M478" s="337" t="s">
        <v>821</v>
      </c>
      <c r="N478" s="337" t="s">
        <v>757</v>
      </c>
      <c r="O478" s="337" t="e">
        <v>#N/A</v>
      </c>
      <c r="P478" s="337"/>
      <c r="Q478" s="337"/>
      <c r="R478" s="343">
        <v>1403.83</v>
      </c>
    </row>
    <row r="479" spans="1:18" x14ac:dyDescent="0.2">
      <c r="A479" s="342" t="s">
        <v>734</v>
      </c>
      <c r="B479" s="337" t="s">
        <v>789</v>
      </c>
      <c r="C479" s="337" t="s">
        <v>796</v>
      </c>
      <c r="D479" s="337" t="s">
        <v>798</v>
      </c>
      <c r="E479" s="337" t="s">
        <v>790</v>
      </c>
      <c r="F479" s="337" t="s">
        <v>771</v>
      </c>
      <c r="G479" s="337" t="s">
        <v>852</v>
      </c>
      <c r="H479" s="337" t="s">
        <v>853</v>
      </c>
      <c r="I479" s="337" t="s">
        <v>767</v>
      </c>
      <c r="J479" s="337" t="s">
        <v>765</v>
      </c>
      <c r="K479" s="337"/>
      <c r="L479" s="337"/>
      <c r="M479" s="337" t="s">
        <v>821</v>
      </c>
      <c r="N479" s="337" t="s">
        <v>757</v>
      </c>
      <c r="O479" s="337" t="e">
        <v>#N/A</v>
      </c>
      <c r="P479" s="337"/>
      <c r="Q479" s="337"/>
      <c r="R479" s="343">
        <v>2611.42</v>
      </c>
    </row>
    <row r="480" spans="1:18" x14ac:dyDescent="0.2">
      <c r="A480" s="342" t="s">
        <v>735</v>
      </c>
      <c r="B480" s="337" t="s">
        <v>789</v>
      </c>
      <c r="C480" s="337" t="s">
        <v>796</v>
      </c>
      <c r="D480" s="337" t="s">
        <v>798</v>
      </c>
      <c r="E480" s="337" t="s">
        <v>790</v>
      </c>
      <c r="F480" s="337" t="s">
        <v>771</v>
      </c>
      <c r="G480" s="337" t="s">
        <v>852</v>
      </c>
      <c r="H480" s="337" t="s">
        <v>853</v>
      </c>
      <c r="I480" s="337" t="s">
        <v>767</v>
      </c>
      <c r="J480" s="337" t="s">
        <v>765</v>
      </c>
      <c r="K480" s="337"/>
      <c r="L480" s="337"/>
      <c r="M480" s="337" t="s">
        <v>821</v>
      </c>
      <c r="N480" s="337" t="s">
        <v>757</v>
      </c>
      <c r="O480" s="337" t="e">
        <v>#N/A</v>
      </c>
      <c r="P480" s="337"/>
      <c r="Q480" s="337"/>
      <c r="R480" s="343">
        <v>2611.42</v>
      </c>
    </row>
    <row r="481" spans="1:18" x14ac:dyDescent="0.2">
      <c r="A481" s="342" t="s">
        <v>736</v>
      </c>
      <c r="B481" s="337" t="s">
        <v>789</v>
      </c>
      <c r="C481" s="337" t="s">
        <v>796</v>
      </c>
      <c r="D481" s="337" t="s">
        <v>798</v>
      </c>
      <c r="E481" s="337" t="s">
        <v>790</v>
      </c>
      <c r="F481" s="337" t="s">
        <v>771</v>
      </c>
      <c r="G481" s="337" t="s">
        <v>852</v>
      </c>
      <c r="H481" s="337" t="s">
        <v>853</v>
      </c>
      <c r="I481" s="337" t="s">
        <v>767</v>
      </c>
      <c r="J481" s="337" t="s">
        <v>765</v>
      </c>
      <c r="K481" s="337"/>
      <c r="L481" s="337"/>
      <c r="M481" s="337" t="s">
        <v>821</v>
      </c>
      <c r="N481" s="337" t="s">
        <v>757</v>
      </c>
      <c r="O481" s="337" t="e">
        <v>#N/A</v>
      </c>
      <c r="P481" s="337"/>
      <c r="Q481" s="337"/>
      <c r="R481" s="343">
        <v>2611.42</v>
      </c>
    </row>
    <row r="482" spans="1:18" x14ac:dyDescent="0.2">
      <c r="A482" s="342" t="s">
        <v>737</v>
      </c>
      <c r="B482" s="337" t="s">
        <v>789</v>
      </c>
      <c r="C482" s="337" t="s">
        <v>796</v>
      </c>
      <c r="D482" s="337" t="s">
        <v>798</v>
      </c>
      <c r="E482" s="337" t="s">
        <v>790</v>
      </c>
      <c r="F482" s="337" t="s">
        <v>771</v>
      </c>
      <c r="G482" s="337" t="s">
        <v>852</v>
      </c>
      <c r="H482" s="337" t="s">
        <v>853</v>
      </c>
      <c r="I482" s="337" t="s">
        <v>767</v>
      </c>
      <c r="J482" s="337" t="s">
        <v>765</v>
      </c>
      <c r="K482" s="337"/>
      <c r="L482" s="337"/>
      <c r="M482" s="337" t="s">
        <v>821</v>
      </c>
      <c r="N482" s="337" t="s">
        <v>757</v>
      </c>
      <c r="O482" s="337" t="e">
        <v>#N/A</v>
      </c>
      <c r="P482" s="337"/>
      <c r="Q482" s="337"/>
      <c r="R482" s="343">
        <v>2123.2800000000002</v>
      </c>
    </row>
    <row r="483" spans="1:18" x14ac:dyDescent="0.2">
      <c r="A483" s="342" t="s">
        <v>738</v>
      </c>
      <c r="B483" s="337" t="s">
        <v>789</v>
      </c>
      <c r="C483" s="337" t="s">
        <v>796</v>
      </c>
      <c r="D483" s="337" t="s">
        <v>798</v>
      </c>
      <c r="E483" s="337" t="s">
        <v>790</v>
      </c>
      <c r="F483" s="337" t="s">
        <v>771</v>
      </c>
      <c r="G483" s="337" t="s">
        <v>852</v>
      </c>
      <c r="H483" s="337" t="s">
        <v>853</v>
      </c>
      <c r="I483" s="337" t="s">
        <v>767</v>
      </c>
      <c r="J483" s="337" t="s">
        <v>765</v>
      </c>
      <c r="K483" s="337"/>
      <c r="L483" s="337"/>
      <c r="M483" s="337" t="s">
        <v>821</v>
      </c>
      <c r="N483" s="337" t="s">
        <v>757</v>
      </c>
      <c r="O483" s="337" t="e">
        <v>#N/A</v>
      </c>
      <c r="P483" s="337"/>
      <c r="Q483" s="337"/>
      <c r="R483" s="343">
        <v>1597.7</v>
      </c>
    </row>
    <row r="484" spans="1:18" x14ac:dyDescent="0.2">
      <c r="A484" s="342" t="s">
        <v>727</v>
      </c>
      <c r="B484" s="337" t="s">
        <v>789</v>
      </c>
      <c r="C484" s="337" t="s">
        <v>796</v>
      </c>
      <c r="D484" s="337" t="s">
        <v>798</v>
      </c>
      <c r="E484" s="337" t="s">
        <v>790</v>
      </c>
      <c r="F484" s="337" t="s">
        <v>771</v>
      </c>
      <c r="G484" s="337" t="s">
        <v>852</v>
      </c>
      <c r="H484" s="337" t="s">
        <v>853</v>
      </c>
      <c r="I484" s="337" t="s">
        <v>767</v>
      </c>
      <c r="J484" s="337" t="s">
        <v>765</v>
      </c>
      <c r="K484" s="337"/>
      <c r="L484" s="337"/>
      <c r="M484" s="337" t="s">
        <v>821</v>
      </c>
      <c r="N484" s="337" t="s">
        <v>757</v>
      </c>
      <c r="O484" s="337" t="e">
        <v>#N/A</v>
      </c>
      <c r="P484" s="337"/>
      <c r="Q484" s="337"/>
      <c r="R484" s="343">
        <v>1491.82</v>
      </c>
    </row>
    <row r="485" spans="1:18" x14ac:dyDescent="0.2">
      <c r="A485" s="342" t="s">
        <v>737</v>
      </c>
      <c r="B485" s="337" t="s">
        <v>789</v>
      </c>
      <c r="C485" s="337" t="s">
        <v>796</v>
      </c>
      <c r="D485" s="337" t="s">
        <v>798</v>
      </c>
      <c r="E485" s="337" t="s">
        <v>790</v>
      </c>
      <c r="F485" s="337" t="s">
        <v>771</v>
      </c>
      <c r="G485" s="337" t="s">
        <v>852</v>
      </c>
      <c r="H485" s="337" t="s">
        <v>853</v>
      </c>
      <c r="I485" s="337" t="s">
        <v>767</v>
      </c>
      <c r="J485" s="337" t="s">
        <v>765</v>
      </c>
      <c r="K485" s="337"/>
      <c r="L485" s="337"/>
      <c r="M485" s="337" t="s">
        <v>822</v>
      </c>
      <c r="N485" s="337" t="s">
        <v>764</v>
      </c>
      <c r="O485" s="337" t="e">
        <v>#N/A</v>
      </c>
      <c r="P485" s="337"/>
      <c r="Q485" s="337"/>
      <c r="R485" s="343">
        <v>17621.68</v>
      </c>
    </row>
    <row r="486" spans="1:18" x14ac:dyDescent="0.2">
      <c r="A486" s="342" t="s">
        <v>737</v>
      </c>
      <c r="B486" s="337" t="s">
        <v>789</v>
      </c>
      <c r="C486" s="337" t="s">
        <v>796</v>
      </c>
      <c r="D486" s="337" t="s">
        <v>798</v>
      </c>
      <c r="E486" s="337" t="s">
        <v>790</v>
      </c>
      <c r="F486" s="337" t="s">
        <v>771</v>
      </c>
      <c r="G486" s="337" t="s">
        <v>852</v>
      </c>
      <c r="H486" s="337" t="s">
        <v>853</v>
      </c>
      <c r="I486" s="337" t="s">
        <v>767</v>
      </c>
      <c r="J486" s="337" t="s">
        <v>765</v>
      </c>
      <c r="K486" s="337"/>
      <c r="L486" s="337"/>
      <c r="M486" s="337" t="s">
        <v>823</v>
      </c>
      <c r="N486" s="337" t="s">
        <v>780</v>
      </c>
      <c r="O486" s="337" t="e">
        <v>#N/A</v>
      </c>
      <c r="P486" s="337"/>
      <c r="Q486" s="337"/>
      <c r="R486" s="343">
        <v>101826.22</v>
      </c>
    </row>
    <row r="487" spans="1:18" x14ac:dyDescent="0.2">
      <c r="A487" s="342" t="s">
        <v>738</v>
      </c>
      <c r="B487" s="337" t="s">
        <v>789</v>
      </c>
      <c r="C487" s="337" t="s">
        <v>796</v>
      </c>
      <c r="D487" s="337" t="s">
        <v>798</v>
      </c>
      <c r="E487" s="337" t="s">
        <v>790</v>
      </c>
      <c r="F487" s="337" t="s">
        <v>771</v>
      </c>
      <c r="G487" s="337" t="s">
        <v>852</v>
      </c>
      <c r="H487" s="337" t="s">
        <v>853</v>
      </c>
      <c r="I487" s="337" t="s">
        <v>767</v>
      </c>
      <c r="J487" s="337" t="s">
        <v>765</v>
      </c>
      <c r="K487" s="337"/>
      <c r="L487" s="337"/>
      <c r="M487" s="337" t="s">
        <v>823</v>
      </c>
      <c r="N487" s="337" t="s">
        <v>780</v>
      </c>
      <c r="O487" s="337" t="e">
        <v>#N/A</v>
      </c>
      <c r="P487" s="337"/>
      <c r="Q487" s="337"/>
      <c r="R487" s="343">
        <v>53638.86</v>
      </c>
    </row>
    <row r="488" spans="1:18" x14ac:dyDescent="0.2">
      <c r="A488" s="342" t="s">
        <v>727</v>
      </c>
      <c r="B488" s="337" t="s">
        <v>789</v>
      </c>
      <c r="C488" s="337" t="s">
        <v>796</v>
      </c>
      <c r="D488" s="337" t="s">
        <v>798</v>
      </c>
      <c r="E488" s="337" t="s">
        <v>790</v>
      </c>
      <c r="F488" s="337" t="s">
        <v>771</v>
      </c>
      <c r="G488" s="337" t="s">
        <v>852</v>
      </c>
      <c r="H488" s="337" t="s">
        <v>853</v>
      </c>
      <c r="I488" s="337" t="s">
        <v>767</v>
      </c>
      <c r="J488" s="337" t="s">
        <v>765</v>
      </c>
      <c r="K488" s="337"/>
      <c r="L488" s="337"/>
      <c r="M488" s="337" t="s">
        <v>823</v>
      </c>
      <c r="N488" s="337" t="s">
        <v>780</v>
      </c>
      <c r="O488" s="337" t="e">
        <v>#N/A</v>
      </c>
      <c r="P488" s="337"/>
      <c r="Q488" s="337"/>
      <c r="R488" s="343">
        <v>120127.67999999999</v>
      </c>
    </row>
    <row r="489" spans="1:18" x14ac:dyDescent="0.2">
      <c r="A489" s="342" t="s">
        <v>728</v>
      </c>
      <c r="B489" s="337" t="s">
        <v>789</v>
      </c>
      <c r="C489" s="337" t="s">
        <v>796</v>
      </c>
      <c r="D489" s="337" t="s">
        <v>798</v>
      </c>
      <c r="E489" s="337" t="s">
        <v>790</v>
      </c>
      <c r="F489" s="337" t="s">
        <v>771</v>
      </c>
      <c r="G489" s="337" t="s">
        <v>852</v>
      </c>
      <c r="H489" s="337" t="s">
        <v>853</v>
      </c>
      <c r="I489" s="337" t="s">
        <v>767</v>
      </c>
      <c r="J489" s="337" t="s">
        <v>765</v>
      </c>
      <c r="K489" s="337"/>
      <c r="L489" s="337"/>
      <c r="M489" s="337" t="s">
        <v>824</v>
      </c>
      <c r="N489" s="337" t="s">
        <v>761</v>
      </c>
      <c r="O489" s="337" t="e">
        <v>#N/A</v>
      </c>
      <c r="P489" s="337"/>
      <c r="Q489" s="337"/>
      <c r="R489" s="343">
        <v>120221.37</v>
      </c>
    </row>
    <row r="490" spans="1:18" x14ac:dyDescent="0.2">
      <c r="A490" s="342" t="s">
        <v>730</v>
      </c>
      <c r="B490" s="337" t="s">
        <v>789</v>
      </c>
      <c r="C490" s="337" t="s">
        <v>796</v>
      </c>
      <c r="D490" s="337" t="s">
        <v>798</v>
      </c>
      <c r="E490" s="337" t="s">
        <v>790</v>
      </c>
      <c r="F490" s="337" t="s">
        <v>771</v>
      </c>
      <c r="G490" s="337" t="s">
        <v>852</v>
      </c>
      <c r="H490" s="337" t="s">
        <v>853</v>
      </c>
      <c r="I490" s="337" t="s">
        <v>767</v>
      </c>
      <c r="J490" s="337" t="s">
        <v>765</v>
      </c>
      <c r="K490" s="337"/>
      <c r="L490" s="337"/>
      <c r="M490" s="337" t="s">
        <v>824</v>
      </c>
      <c r="N490" s="337" t="s">
        <v>761</v>
      </c>
      <c r="O490" s="337" t="e">
        <v>#N/A</v>
      </c>
      <c r="P490" s="337"/>
      <c r="Q490" s="337"/>
      <c r="R490" s="343">
        <v>645063.4</v>
      </c>
    </row>
    <row r="491" spans="1:18" x14ac:dyDescent="0.2">
      <c r="A491" s="342" t="s">
        <v>731</v>
      </c>
      <c r="B491" s="337" t="s">
        <v>789</v>
      </c>
      <c r="C491" s="337" t="s">
        <v>796</v>
      </c>
      <c r="D491" s="337" t="s">
        <v>798</v>
      </c>
      <c r="E491" s="337" t="s">
        <v>790</v>
      </c>
      <c r="F491" s="337" t="s">
        <v>771</v>
      </c>
      <c r="G491" s="337" t="s">
        <v>852</v>
      </c>
      <c r="H491" s="337" t="s">
        <v>853</v>
      </c>
      <c r="I491" s="337" t="s">
        <v>767</v>
      </c>
      <c r="J491" s="337" t="s">
        <v>765</v>
      </c>
      <c r="K491" s="337"/>
      <c r="L491" s="337"/>
      <c r="M491" s="337" t="s">
        <v>824</v>
      </c>
      <c r="N491" s="337" t="s">
        <v>761</v>
      </c>
      <c r="O491" s="337" t="e">
        <v>#N/A</v>
      </c>
      <c r="P491" s="337"/>
      <c r="Q491" s="337"/>
      <c r="R491" s="343">
        <v>368020.13</v>
      </c>
    </row>
    <row r="492" spans="1:18" x14ac:dyDescent="0.2">
      <c r="A492" s="342" t="s">
        <v>732</v>
      </c>
      <c r="B492" s="337" t="s">
        <v>789</v>
      </c>
      <c r="C492" s="337" t="s">
        <v>796</v>
      </c>
      <c r="D492" s="337" t="s">
        <v>798</v>
      </c>
      <c r="E492" s="337" t="s">
        <v>790</v>
      </c>
      <c r="F492" s="337" t="s">
        <v>771</v>
      </c>
      <c r="G492" s="337" t="s">
        <v>852</v>
      </c>
      <c r="H492" s="337" t="s">
        <v>853</v>
      </c>
      <c r="I492" s="337" t="s">
        <v>767</v>
      </c>
      <c r="J492" s="337" t="s">
        <v>765</v>
      </c>
      <c r="K492" s="337"/>
      <c r="L492" s="337"/>
      <c r="M492" s="337" t="s">
        <v>824</v>
      </c>
      <c r="N492" s="337" t="s">
        <v>761</v>
      </c>
      <c r="O492" s="337" t="e">
        <v>#N/A</v>
      </c>
      <c r="P492" s="337"/>
      <c r="Q492" s="337"/>
      <c r="R492" s="343">
        <v>257137.92000000001</v>
      </c>
    </row>
    <row r="493" spans="1:18" x14ac:dyDescent="0.2">
      <c r="A493" s="342" t="s">
        <v>726</v>
      </c>
      <c r="B493" s="337" t="s">
        <v>789</v>
      </c>
      <c r="C493" s="337" t="s">
        <v>796</v>
      </c>
      <c r="D493" s="337" t="s">
        <v>798</v>
      </c>
      <c r="E493" s="337" t="s">
        <v>790</v>
      </c>
      <c r="F493" s="337" t="s">
        <v>771</v>
      </c>
      <c r="G493" s="337" t="s">
        <v>852</v>
      </c>
      <c r="H493" s="337" t="s">
        <v>853</v>
      </c>
      <c r="I493" s="337" t="s">
        <v>767</v>
      </c>
      <c r="J493" s="337" t="s">
        <v>765</v>
      </c>
      <c r="K493" s="337"/>
      <c r="L493" s="337"/>
      <c r="M493" s="337" t="s">
        <v>824</v>
      </c>
      <c r="N493" s="337" t="s">
        <v>761</v>
      </c>
      <c r="O493" s="337" t="e">
        <v>#N/A</v>
      </c>
      <c r="P493" s="337"/>
      <c r="Q493" s="337"/>
      <c r="R493" s="343">
        <v>223550.05</v>
      </c>
    </row>
    <row r="494" spans="1:18" x14ac:dyDescent="0.2">
      <c r="A494" s="342" t="s">
        <v>733</v>
      </c>
      <c r="B494" s="337" t="s">
        <v>789</v>
      </c>
      <c r="C494" s="337" t="s">
        <v>796</v>
      </c>
      <c r="D494" s="337" t="s">
        <v>798</v>
      </c>
      <c r="E494" s="337" t="s">
        <v>790</v>
      </c>
      <c r="F494" s="337" t="s">
        <v>771</v>
      </c>
      <c r="G494" s="337" t="s">
        <v>852</v>
      </c>
      <c r="H494" s="337" t="s">
        <v>853</v>
      </c>
      <c r="I494" s="337" t="s">
        <v>767</v>
      </c>
      <c r="J494" s="337" t="s">
        <v>765</v>
      </c>
      <c r="K494" s="337"/>
      <c r="L494" s="337"/>
      <c r="M494" s="337" t="s">
        <v>824</v>
      </c>
      <c r="N494" s="337" t="s">
        <v>761</v>
      </c>
      <c r="O494" s="337" t="e">
        <v>#N/A</v>
      </c>
      <c r="P494" s="337"/>
      <c r="Q494" s="337"/>
      <c r="R494" s="343">
        <v>347180.3</v>
      </c>
    </row>
    <row r="495" spans="1:18" x14ac:dyDescent="0.2">
      <c r="A495" s="342" t="s">
        <v>734</v>
      </c>
      <c r="B495" s="337" t="s">
        <v>789</v>
      </c>
      <c r="C495" s="337" t="s">
        <v>796</v>
      </c>
      <c r="D495" s="337" t="s">
        <v>798</v>
      </c>
      <c r="E495" s="337" t="s">
        <v>790</v>
      </c>
      <c r="F495" s="337" t="s">
        <v>771</v>
      </c>
      <c r="G495" s="337" t="s">
        <v>852</v>
      </c>
      <c r="H495" s="337" t="s">
        <v>853</v>
      </c>
      <c r="I495" s="337" t="s">
        <v>767</v>
      </c>
      <c r="J495" s="337" t="s">
        <v>765</v>
      </c>
      <c r="K495" s="337"/>
      <c r="L495" s="337"/>
      <c r="M495" s="337" t="s">
        <v>824</v>
      </c>
      <c r="N495" s="337" t="s">
        <v>761</v>
      </c>
      <c r="O495" s="337" t="e">
        <v>#N/A</v>
      </c>
      <c r="P495" s="337"/>
      <c r="Q495" s="337"/>
      <c r="R495" s="343">
        <v>749477.92</v>
      </c>
    </row>
    <row r="496" spans="1:18" x14ac:dyDescent="0.2">
      <c r="A496" s="342" t="s">
        <v>735</v>
      </c>
      <c r="B496" s="337" t="s">
        <v>789</v>
      </c>
      <c r="C496" s="337" t="s">
        <v>796</v>
      </c>
      <c r="D496" s="337" t="s">
        <v>798</v>
      </c>
      <c r="E496" s="337" t="s">
        <v>790</v>
      </c>
      <c r="F496" s="337" t="s">
        <v>771</v>
      </c>
      <c r="G496" s="337" t="s">
        <v>852</v>
      </c>
      <c r="H496" s="337" t="s">
        <v>853</v>
      </c>
      <c r="I496" s="337" t="s">
        <v>767</v>
      </c>
      <c r="J496" s="337" t="s">
        <v>765</v>
      </c>
      <c r="K496" s="337"/>
      <c r="L496" s="337"/>
      <c r="M496" s="337" t="s">
        <v>824</v>
      </c>
      <c r="N496" s="337" t="s">
        <v>761</v>
      </c>
      <c r="O496" s="337" t="e">
        <v>#N/A</v>
      </c>
      <c r="P496" s="337"/>
      <c r="Q496" s="337"/>
      <c r="R496" s="343">
        <v>686264.44</v>
      </c>
    </row>
    <row r="497" spans="1:18" x14ac:dyDescent="0.2">
      <c r="A497" s="342" t="s">
        <v>736</v>
      </c>
      <c r="B497" s="337" t="s">
        <v>789</v>
      </c>
      <c r="C497" s="337" t="s">
        <v>796</v>
      </c>
      <c r="D497" s="337" t="s">
        <v>798</v>
      </c>
      <c r="E497" s="337" t="s">
        <v>790</v>
      </c>
      <c r="F497" s="337" t="s">
        <v>771</v>
      </c>
      <c r="G497" s="337" t="s">
        <v>852</v>
      </c>
      <c r="H497" s="337" t="s">
        <v>853</v>
      </c>
      <c r="I497" s="337" t="s">
        <v>767</v>
      </c>
      <c r="J497" s="337" t="s">
        <v>765</v>
      </c>
      <c r="K497" s="337"/>
      <c r="L497" s="337"/>
      <c r="M497" s="337" t="s">
        <v>824</v>
      </c>
      <c r="N497" s="337" t="s">
        <v>761</v>
      </c>
      <c r="O497" s="337" t="e">
        <v>#N/A</v>
      </c>
      <c r="P497" s="337"/>
      <c r="Q497" s="337"/>
      <c r="R497" s="343">
        <v>629686.61</v>
      </c>
    </row>
    <row r="498" spans="1:18" x14ac:dyDescent="0.2">
      <c r="A498" s="342" t="s">
        <v>737</v>
      </c>
      <c r="B498" s="337" t="s">
        <v>789</v>
      </c>
      <c r="C498" s="337" t="s">
        <v>796</v>
      </c>
      <c r="D498" s="337" t="s">
        <v>798</v>
      </c>
      <c r="E498" s="337" t="s">
        <v>790</v>
      </c>
      <c r="F498" s="337" t="s">
        <v>771</v>
      </c>
      <c r="G498" s="337" t="s">
        <v>852</v>
      </c>
      <c r="H498" s="337" t="s">
        <v>853</v>
      </c>
      <c r="I498" s="337" t="s">
        <v>767</v>
      </c>
      <c r="J498" s="337" t="s">
        <v>765</v>
      </c>
      <c r="K498" s="337"/>
      <c r="L498" s="337"/>
      <c r="M498" s="337" t="s">
        <v>824</v>
      </c>
      <c r="N498" s="337" t="s">
        <v>761</v>
      </c>
      <c r="O498" s="337" t="e">
        <v>#N/A</v>
      </c>
      <c r="P498" s="337"/>
      <c r="Q498" s="337"/>
      <c r="R498" s="343">
        <v>440499.46</v>
      </c>
    </row>
    <row r="499" spans="1:18" x14ac:dyDescent="0.2">
      <c r="A499" s="342" t="s">
        <v>738</v>
      </c>
      <c r="B499" s="337" t="s">
        <v>789</v>
      </c>
      <c r="C499" s="337" t="s">
        <v>796</v>
      </c>
      <c r="D499" s="337" t="s">
        <v>798</v>
      </c>
      <c r="E499" s="337" t="s">
        <v>790</v>
      </c>
      <c r="F499" s="337" t="s">
        <v>771</v>
      </c>
      <c r="G499" s="337" t="s">
        <v>852</v>
      </c>
      <c r="H499" s="337" t="s">
        <v>853</v>
      </c>
      <c r="I499" s="337" t="s">
        <v>767</v>
      </c>
      <c r="J499" s="337" t="s">
        <v>765</v>
      </c>
      <c r="K499" s="337"/>
      <c r="L499" s="337"/>
      <c r="M499" s="337" t="s">
        <v>824</v>
      </c>
      <c r="N499" s="337" t="s">
        <v>761</v>
      </c>
      <c r="O499" s="337" t="e">
        <v>#N/A</v>
      </c>
      <c r="P499" s="337"/>
      <c r="Q499" s="337"/>
      <c r="R499" s="343">
        <v>534910.13</v>
      </c>
    </row>
    <row r="500" spans="1:18" x14ac:dyDescent="0.2">
      <c r="A500" s="342" t="s">
        <v>727</v>
      </c>
      <c r="B500" s="337" t="s">
        <v>789</v>
      </c>
      <c r="C500" s="337" t="s">
        <v>796</v>
      </c>
      <c r="D500" s="337" t="s">
        <v>798</v>
      </c>
      <c r="E500" s="337" t="s">
        <v>790</v>
      </c>
      <c r="F500" s="337" t="s">
        <v>771</v>
      </c>
      <c r="G500" s="337" t="s">
        <v>852</v>
      </c>
      <c r="H500" s="337" t="s">
        <v>853</v>
      </c>
      <c r="I500" s="337" t="s">
        <v>767</v>
      </c>
      <c r="J500" s="337" t="s">
        <v>765</v>
      </c>
      <c r="K500" s="337"/>
      <c r="L500" s="337"/>
      <c r="M500" s="337" t="s">
        <v>824</v>
      </c>
      <c r="N500" s="337" t="s">
        <v>761</v>
      </c>
      <c r="O500" s="337" t="e">
        <v>#N/A</v>
      </c>
      <c r="P500" s="337"/>
      <c r="Q500" s="337"/>
      <c r="R500" s="343">
        <v>403502.25</v>
      </c>
    </row>
    <row r="501" spans="1:18" x14ac:dyDescent="0.2">
      <c r="A501" s="342" t="s">
        <v>728</v>
      </c>
      <c r="B501" s="337" t="s">
        <v>789</v>
      </c>
      <c r="C501" s="337" t="s">
        <v>796</v>
      </c>
      <c r="D501" s="337" t="s">
        <v>798</v>
      </c>
      <c r="E501" s="337" t="s">
        <v>790</v>
      </c>
      <c r="F501" s="337" t="s">
        <v>771</v>
      </c>
      <c r="G501" s="337" t="s">
        <v>852</v>
      </c>
      <c r="H501" s="337" t="s">
        <v>853</v>
      </c>
      <c r="I501" s="337" t="s">
        <v>767</v>
      </c>
      <c r="J501" s="337" t="s">
        <v>765</v>
      </c>
      <c r="K501" s="337"/>
      <c r="L501" s="337"/>
      <c r="M501" s="337" t="s">
        <v>825</v>
      </c>
      <c r="N501" s="337" t="s">
        <v>781</v>
      </c>
      <c r="O501" s="337" t="e">
        <v>#N/A</v>
      </c>
      <c r="P501" s="337"/>
      <c r="Q501" s="337"/>
      <c r="R501" s="343">
        <v>9034.16</v>
      </c>
    </row>
    <row r="502" spans="1:18" x14ac:dyDescent="0.2">
      <c r="A502" s="342" t="s">
        <v>730</v>
      </c>
      <c r="B502" s="337" t="s">
        <v>789</v>
      </c>
      <c r="C502" s="337" t="s">
        <v>796</v>
      </c>
      <c r="D502" s="337" t="s">
        <v>798</v>
      </c>
      <c r="E502" s="337" t="s">
        <v>790</v>
      </c>
      <c r="F502" s="337" t="s">
        <v>771</v>
      </c>
      <c r="G502" s="337" t="s">
        <v>852</v>
      </c>
      <c r="H502" s="337" t="s">
        <v>853</v>
      </c>
      <c r="I502" s="337" t="s">
        <v>767</v>
      </c>
      <c r="J502" s="337" t="s">
        <v>765</v>
      </c>
      <c r="K502" s="337"/>
      <c r="L502" s="337"/>
      <c r="M502" s="337" t="s">
        <v>825</v>
      </c>
      <c r="N502" s="337" t="s">
        <v>781</v>
      </c>
      <c r="O502" s="337" t="e">
        <v>#N/A</v>
      </c>
      <c r="P502" s="337"/>
      <c r="Q502" s="337"/>
      <c r="R502" s="343">
        <v>6711.47</v>
      </c>
    </row>
    <row r="503" spans="1:18" x14ac:dyDescent="0.2">
      <c r="A503" s="342" t="s">
        <v>731</v>
      </c>
      <c r="B503" s="337" t="s">
        <v>789</v>
      </c>
      <c r="C503" s="337" t="s">
        <v>796</v>
      </c>
      <c r="D503" s="337" t="s">
        <v>798</v>
      </c>
      <c r="E503" s="337" t="s">
        <v>790</v>
      </c>
      <c r="F503" s="337" t="s">
        <v>771</v>
      </c>
      <c r="G503" s="337" t="s">
        <v>852</v>
      </c>
      <c r="H503" s="337" t="s">
        <v>853</v>
      </c>
      <c r="I503" s="337" t="s">
        <v>767</v>
      </c>
      <c r="J503" s="337" t="s">
        <v>765</v>
      </c>
      <c r="K503" s="337"/>
      <c r="L503" s="337"/>
      <c r="M503" s="337" t="s">
        <v>825</v>
      </c>
      <c r="N503" s="337" t="s">
        <v>781</v>
      </c>
      <c r="O503" s="337" t="e">
        <v>#N/A</v>
      </c>
      <c r="P503" s="337"/>
      <c r="Q503" s="337"/>
      <c r="R503" s="343">
        <v>2820.98</v>
      </c>
    </row>
    <row r="504" spans="1:18" x14ac:dyDescent="0.2">
      <c r="A504" s="342" t="s">
        <v>732</v>
      </c>
      <c r="B504" s="337" t="s">
        <v>789</v>
      </c>
      <c r="C504" s="337" t="s">
        <v>796</v>
      </c>
      <c r="D504" s="337" t="s">
        <v>798</v>
      </c>
      <c r="E504" s="337" t="s">
        <v>790</v>
      </c>
      <c r="F504" s="337" t="s">
        <v>771</v>
      </c>
      <c r="G504" s="337" t="s">
        <v>852</v>
      </c>
      <c r="H504" s="337" t="s">
        <v>853</v>
      </c>
      <c r="I504" s="337" t="s">
        <v>767</v>
      </c>
      <c r="J504" s="337" t="s">
        <v>765</v>
      </c>
      <c r="K504" s="337"/>
      <c r="L504" s="337"/>
      <c r="M504" s="337" t="s">
        <v>825</v>
      </c>
      <c r="N504" s="337" t="s">
        <v>781</v>
      </c>
      <c r="O504" s="337" t="e">
        <v>#N/A</v>
      </c>
      <c r="P504" s="337"/>
      <c r="Q504" s="337"/>
      <c r="R504" s="343">
        <v>9411.73</v>
      </c>
    </row>
    <row r="505" spans="1:18" x14ac:dyDescent="0.2">
      <c r="A505" s="342" t="s">
        <v>726</v>
      </c>
      <c r="B505" s="337" t="s">
        <v>789</v>
      </c>
      <c r="C505" s="337" t="s">
        <v>796</v>
      </c>
      <c r="D505" s="337" t="s">
        <v>798</v>
      </c>
      <c r="E505" s="337" t="s">
        <v>790</v>
      </c>
      <c r="F505" s="337" t="s">
        <v>771</v>
      </c>
      <c r="G505" s="337" t="s">
        <v>852</v>
      </c>
      <c r="H505" s="337" t="s">
        <v>853</v>
      </c>
      <c r="I505" s="337" t="s">
        <v>767</v>
      </c>
      <c r="J505" s="337" t="s">
        <v>765</v>
      </c>
      <c r="K505" s="337"/>
      <c r="L505" s="337"/>
      <c r="M505" s="337" t="s">
        <v>825</v>
      </c>
      <c r="N505" s="337" t="s">
        <v>781</v>
      </c>
      <c r="O505" s="337" t="e">
        <v>#N/A</v>
      </c>
      <c r="P505" s="337"/>
      <c r="Q505" s="337"/>
      <c r="R505" s="343">
        <v>13653.94</v>
      </c>
    </row>
    <row r="506" spans="1:18" x14ac:dyDescent="0.2">
      <c r="A506" s="342" t="s">
        <v>733</v>
      </c>
      <c r="B506" s="337" t="s">
        <v>789</v>
      </c>
      <c r="C506" s="337" t="s">
        <v>796</v>
      </c>
      <c r="D506" s="337" t="s">
        <v>798</v>
      </c>
      <c r="E506" s="337" t="s">
        <v>790</v>
      </c>
      <c r="F506" s="337" t="s">
        <v>771</v>
      </c>
      <c r="G506" s="337" t="s">
        <v>852</v>
      </c>
      <c r="H506" s="337" t="s">
        <v>853</v>
      </c>
      <c r="I506" s="337" t="s">
        <v>767</v>
      </c>
      <c r="J506" s="337" t="s">
        <v>765</v>
      </c>
      <c r="K506" s="337"/>
      <c r="L506" s="337"/>
      <c r="M506" s="337" t="s">
        <v>825</v>
      </c>
      <c r="N506" s="337" t="s">
        <v>781</v>
      </c>
      <c r="O506" s="337" t="e">
        <v>#N/A</v>
      </c>
      <c r="P506" s="337"/>
      <c r="Q506" s="337"/>
      <c r="R506" s="343">
        <v>4856.9399999999996</v>
      </c>
    </row>
    <row r="507" spans="1:18" x14ac:dyDescent="0.2">
      <c r="A507" s="342" t="s">
        <v>734</v>
      </c>
      <c r="B507" s="337" t="s">
        <v>789</v>
      </c>
      <c r="C507" s="337" t="s">
        <v>796</v>
      </c>
      <c r="D507" s="337" t="s">
        <v>798</v>
      </c>
      <c r="E507" s="337" t="s">
        <v>790</v>
      </c>
      <c r="F507" s="337" t="s">
        <v>771</v>
      </c>
      <c r="G507" s="337" t="s">
        <v>852</v>
      </c>
      <c r="H507" s="337" t="s">
        <v>853</v>
      </c>
      <c r="I507" s="337" t="s">
        <v>767</v>
      </c>
      <c r="J507" s="337" t="s">
        <v>765</v>
      </c>
      <c r="K507" s="337"/>
      <c r="L507" s="337"/>
      <c r="M507" s="337" t="s">
        <v>825</v>
      </c>
      <c r="N507" s="337" t="s">
        <v>781</v>
      </c>
      <c r="O507" s="337" t="e">
        <v>#N/A</v>
      </c>
      <c r="P507" s="337"/>
      <c r="Q507" s="337"/>
      <c r="R507" s="343">
        <v>16450.86</v>
      </c>
    </row>
    <row r="508" spans="1:18" x14ac:dyDescent="0.2">
      <c r="A508" s="342" t="s">
        <v>735</v>
      </c>
      <c r="B508" s="337" t="s">
        <v>789</v>
      </c>
      <c r="C508" s="337" t="s">
        <v>796</v>
      </c>
      <c r="D508" s="337" t="s">
        <v>798</v>
      </c>
      <c r="E508" s="337" t="s">
        <v>790</v>
      </c>
      <c r="F508" s="337" t="s">
        <v>771</v>
      </c>
      <c r="G508" s="337" t="s">
        <v>852</v>
      </c>
      <c r="H508" s="337" t="s">
        <v>853</v>
      </c>
      <c r="I508" s="337" t="s">
        <v>767</v>
      </c>
      <c r="J508" s="337" t="s">
        <v>765</v>
      </c>
      <c r="K508" s="337"/>
      <c r="L508" s="337"/>
      <c r="M508" s="337" t="s">
        <v>825</v>
      </c>
      <c r="N508" s="337" t="s">
        <v>781</v>
      </c>
      <c r="O508" s="337" t="e">
        <v>#N/A</v>
      </c>
      <c r="P508" s="337"/>
      <c r="Q508" s="337"/>
      <c r="R508" s="343">
        <v>2420.5700000000002</v>
      </c>
    </row>
    <row r="509" spans="1:18" x14ac:dyDescent="0.2">
      <c r="A509" s="342" t="s">
        <v>736</v>
      </c>
      <c r="B509" s="337" t="s">
        <v>789</v>
      </c>
      <c r="C509" s="337" t="s">
        <v>796</v>
      </c>
      <c r="D509" s="337" t="s">
        <v>798</v>
      </c>
      <c r="E509" s="337" t="s">
        <v>790</v>
      </c>
      <c r="F509" s="337" t="s">
        <v>771</v>
      </c>
      <c r="G509" s="337" t="s">
        <v>852</v>
      </c>
      <c r="H509" s="337" t="s">
        <v>853</v>
      </c>
      <c r="I509" s="337" t="s">
        <v>767</v>
      </c>
      <c r="J509" s="337" t="s">
        <v>765</v>
      </c>
      <c r="K509" s="337"/>
      <c r="L509" s="337"/>
      <c r="M509" s="337" t="s">
        <v>825</v>
      </c>
      <c r="N509" s="337" t="s">
        <v>781</v>
      </c>
      <c r="O509" s="337" t="e">
        <v>#N/A</v>
      </c>
      <c r="P509" s="337"/>
      <c r="Q509" s="337"/>
      <c r="R509" s="343">
        <v>1536.51</v>
      </c>
    </row>
    <row r="510" spans="1:18" x14ac:dyDescent="0.2">
      <c r="A510" s="342" t="s">
        <v>737</v>
      </c>
      <c r="B510" s="337" t="s">
        <v>789</v>
      </c>
      <c r="C510" s="337" t="s">
        <v>796</v>
      </c>
      <c r="D510" s="337" t="s">
        <v>798</v>
      </c>
      <c r="E510" s="337" t="s">
        <v>790</v>
      </c>
      <c r="F510" s="337" t="s">
        <v>771</v>
      </c>
      <c r="G510" s="337" t="s">
        <v>852</v>
      </c>
      <c r="H510" s="337" t="s">
        <v>853</v>
      </c>
      <c r="I510" s="337" t="s">
        <v>767</v>
      </c>
      <c r="J510" s="337" t="s">
        <v>765</v>
      </c>
      <c r="K510" s="337"/>
      <c r="L510" s="337"/>
      <c r="M510" s="337" t="s">
        <v>825</v>
      </c>
      <c r="N510" s="337" t="s">
        <v>781</v>
      </c>
      <c r="O510" s="337" t="e">
        <v>#N/A</v>
      </c>
      <c r="P510" s="337"/>
      <c r="Q510" s="337"/>
      <c r="R510" s="343">
        <v>15102.07</v>
      </c>
    </row>
    <row r="511" spans="1:18" x14ac:dyDescent="0.2">
      <c r="A511" s="342" t="s">
        <v>738</v>
      </c>
      <c r="B511" s="337" t="s">
        <v>789</v>
      </c>
      <c r="C511" s="337" t="s">
        <v>796</v>
      </c>
      <c r="D511" s="337" t="s">
        <v>798</v>
      </c>
      <c r="E511" s="337" t="s">
        <v>790</v>
      </c>
      <c r="F511" s="337" t="s">
        <v>771</v>
      </c>
      <c r="G511" s="337" t="s">
        <v>852</v>
      </c>
      <c r="H511" s="337" t="s">
        <v>853</v>
      </c>
      <c r="I511" s="337" t="s">
        <v>767</v>
      </c>
      <c r="J511" s="337" t="s">
        <v>765</v>
      </c>
      <c r="K511" s="337"/>
      <c r="L511" s="337"/>
      <c r="M511" s="337" t="s">
        <v>825</v>
      </c>
      <c r="N511" s="337" t="s">
        <v>781</v>
      </c>
      <c r="O511" s="337" t="e">
        <v>#N/A</v>
      </c>
      <c r="P511" s="337"/>
      <c r="Q511" s="337"/>
      <c r="R511" s="343">
        <v>15293.83</v>
      </c>
    </row>
    <row r="512" spans="1:18" x14ac:dyDescent="0.2">
      <c r="A512" s="342" t="s">
        <v>727</v>
      </c>
      <c r="B512" s="337" t="s">
        <v>789</v>
      </c>
      <c r="C512" s="337" t="s">
        <v>796</v>
      </c>
      <c r="D512" s="337" t="s">
        <v>798</v>
      </c>
      <c r="E512" s="337" t="s">
        <v>790</v>
      </c>
      <c r="F512" s="337" t="s">
        <v>771</v>
      </c>
      <c r="G512" s="337" t="s">
        <v>852</v>
      </c>
      <c r="H512" s="337" t="s">
        <v>853</v>
      </c>
      <c r="I512" s="337" t="s">
        <v>767</v>
      </c>
      <c r="J512" s="337" t="s">
        <v>765</v>
      </c>
      <c r="K512" s="337"/>
      <c r="L512" s="337"/>
      <c r="M512" s="337" t="s">
        <v>825</v>
      </c>
      <c r="N512" s="337" t="s">
        <v>781</v>
      </c>
      <c r="O512" s="337" t="e">
        <v>#N/A</v>
      </c>
      <c r="P512" s="337"/>
      <c r="Q512" s="337"/>
      <c r="R512" s="343">
        <v>9888.2900000000009</v>
      </c>
    </row>
    <row r="513" spans="1:18" x14ac:dyDescent="0.2">
      <c r="A513" s="342" t="s">
        <v>728</v>
      </c>
      <c r="B513" s="337" t="s">
        <v>789</v>
      </c>
      <c r="C513" s="337" t="s">
        <v>796</v>
      </c>
      <c r="D513" s="337" t="s">
        <v>798</v>
      </c>
      <c r="E513" s="337" t="s">
        <v>790</v>
      </c>
      <c r="F513" s="337" t="s">
        <v>771</v>
      </c>
      <c r="G513" s="337" t="s">
        <v>852</v>
      </c>
      <c r="H513" s="337" t="s">
        <v>853</v>
      </c>
      <c r="I513" s="337" t="s">
        <v>767</v>
      </c>
      <c r="J513" s="337" t="s">
        <v>765</v>
      </c>
      <c r="K513" s="337"/>
      <c r="L513" s="337"/>
      <c r="M513" s="337" t="s">
        <v>826</v>
      </c>
      <c r="N513" s="337" t="s">
        <v>758</v>
      </c>
      <c r="O513" s="337" t="e">
        <v>#N/A</v>
      </c>
      <c r="P513" s="337"/>
      <c r="Q513" s="337"/>
      <c r="R513" s="343">
        <v>172.2</v>
      </c>
    </row>
    <row r="514" spans="1:18" x14ac:dyDescent="0.2">
      <c r="A514" s="342" t="s">
        <v>730</v>
      </c>
      <c r="B514" s="337" t="s">
        <v>789</v>
      </c>
      <c r="C514" s="337" t="s">
        <v>796</v>
      </c>
      <c r="D514" s="337" t="s">
        <v>798</v>
      </c>
      <c r="E514" s="337" t="s">
        <v>790</v>
      </c>
      <c r="F514" s="337" t="s">
        <v>771</v>
      </c>
      <c r="G514" s="337" t="s">
        <v>852</v>
      </c>
      <c r="H514" s="337" t="s">
        <v>853</v>
      </c>
      <c r="I514" s="337" t="s">
        <v>767</v>
      </c>
      <c r="J514" s="337" t="s">
        <v>765</v>
      </c>
      <c r="K514" s="337"/>
      <c r="L514" s="337"/>
      <c r="M514" s="337" t="s">
        <v>826</v>
      </c>
      <c r="N514" s="337" t="s">
        <v>758</v>
      </c>
      <c r="O514" s="337" t="e">
        <v>#N/A</v>
      </c>
      <c r="P514" s="337"/>
      <c r="Q514" s="337"/>
      <c r="R514" s="343">
        <v>930.61</v>
      </c>
    </row>
    <row r="515" spans="1:18" x14ac:dyDescent="0.2">
      <c r="A515" s="342" t="s">
        <v>731</v>
      </c>
      <c r="B515" s="337" t="s">
        <v>789</v>
      </c>
      <c r="C515" s="337" t="s">
        <v>796</v>
      </c>
      <c r="D515" s="337" t="s">
        <v>798</v>
      </c>
      <c r="E515" s="337" t="s">
        <v>790</v>
      </c>
      <c r="F515" s="337" t="s">
        <v>771</v>
      </c>
      <c r="G515" s="337" t="s">
        <v>852</v>
      </c>
      <c r="H515" s="337" t="s">
        <v>853</v>
      </c>
      <c r="I515" s="337" t="s">
        <v>767</v>
      </c>
      <c r="J515" s="337" t="s">
        <v>765</v>
      </c>
      <c r="K515" s="337"/>
      <c r="L515" s="337"/>
      <c r="M515" s="337" t="s">
        <v>826</v>
      </c>
      <c r="N515" s="337" t="s">
        <v>758</v>
      </c>
      <c r="O515" s="337" t="e">
        <v>#N/A</v>
      </c>
      <c r="P515" s="337"/>
      <c r="Q515" s="337"/>
      <c r="R515" s="343">
        <v>1030.2</v>
      </c>
    </row>
    <row r="516" spans="1:18" x14ac:dyDescent="0.2">
      <c r="A516" s="342" t="s">
        <v>732</v>
      </c>
      <c r="B516" s="337" t="s">
        <v>789</v>
      </c>
      <c r="C516" s="337" t="s">
        <v>796</v>
      </c>
      <c r="D516" s="337" t="s">
        <v>798</v>
      </c>
      <c r="E516" s="337" t="s">
        <v>790</v>
      </c>
      <c r="F516" s="337" t="s">
        <v>771</v>
      </c>
      <c r="G516" s="337" t="s">
        <v>852</v>
      </c>
      <c r="H516" s="337" t="s">
        <v>853</v>
      </c>
      <c r="I516" s="337" t="s">
        <v>767</v>
      </c>
      <c r="J516" s="337" t="s">
        <v>765</v>
      </c>
      <c r="K516" s="337"/>
      <c r="L516" s="337"/>
      <c r="M516" s="337" t="s">
        <v>826</v>
      </c>
      <c r="N516" s="337" t="s">
        <v>758</v>
      </c>
      <c r="O516" s="337" t="e">
        <v>#N/A</v>
      </c>
      <c r="P516" s="337"/>
      <c r="Q516" s="337"/>
      <c r="R516" s="343">
        <v>1226.22</v>
      </c>
    </row>
    <row r="517" spans="1:18" x14ac:dyDescent="0.2">
      <c r="A517" s="342" t="s">
        <v>726</v>
      </c>
      <c r="B517" s="337" t="s">
        <v>789</v>
      </c>
      <c r="C517" s="337" t="s">
        <v>796</v>
      </c>
      <c r="D517" s="337" t="s">
        <v>798</v>
      </c>
      <c r="E517" s="337" t="s">
        <v>790</v>
      </c>
      <c r="F517" s="337" t="s">
        <v>771</v>
      </c>
      <c r="G517" s="337" t="s">
        <v>852</v>
      </c>
      <c r="H517" s="337" t="s">
        <v>853</v>
      </c>
      <c r="I517" s="337" t="s">
        <v>767</v>
      </c>
      <c r="J517" s="337" t="s">
        <v>765</v>
      </c>
      <c r="K517" s="337"/>
      <c r="L517" s="337"/>
      <c r="M517" s="337" t="s">
        <v>826</v>
      </c>
      <c r="N517" s="337" t="s">
        <v>758</v>
      </c>
      <c r="O517" s="337" t="e">
        <v>#N/A</v>
      </c>
      <c r="P517" s="337"/>
      <c r="Q517" s="337"/>
      <c r="R517" s="343">
        <v>1339.66</v>
      </c>
    </row>
    <row r="518" spans="1:18" x14ac:dyDescent="0.2">
      <c r="A518" s="342" t="s">
        <v>733</v>
      </c>
      <c r="B518" s="337" t="s">
        <v>789</v>
      </c>
      <c r="C518" s="337" t="s">
        <v>796</v>
      </c>
      <c r="D518" s="337" t="s">
        <v>798</v>
      </c>
      <c r="E518" s="337" t="s">
        <v>790</v>
      </c>
      <c r="F518" s="337" t="s">
        <v>771</v>
      </c>
      <c r="G518" s="337" t="s">
        <v>852</v>
      </c>
      <c r="H518" s="337" t="s">
        <v>853</v>
      </c>
      <c r="I518" s="337" t="s">
        <v>767</v>
      </c>
      <c r="J518" s="337" t="s">
        <v>765</v>
      </c>
      <c r="K518" s="337"/>
      <c r="L518" s="337"/>
      <c r="M518" s="337" t="s">
        <v>826</v>
      </c>
      <c r="N518" s="337" t="s">
        <v>758</v>
      </c>
      <c r="O518" s="337" t="e">
        <v>#N/A</v>
      </c>
      <c r="P518" s="337"/>
      <c r="Q518" s="337"/>
      <c r="R518" s="343">
        <v>7987.12</v>
      </c>
    </row>
    <row r="519" spans="1:18" x14ac:dyDescent="0.2">
      <c r="A519" s="342" t="s">
        <v>734</v>
      </c>
      <c r="B519" s="337" t="s">
        <v>789</v>
      </c>
      <c r="C519" s="337" t="s">
        <v>796</v>
      </c>
      <c r="D519" s="337" t="s">
        <v>798</v>
      </c>
      <c r="E519" s="337" t="s">
        <v>790</v>
      </c>
      <c r="F519" s="337" t="s">
        <v>771</v>
      </c>
      <c r="G519" s="337" t="s">
        <v>852</v>
      </c>
      <c r="H519" s="337" t="s">
        <v>853</v>
      </c>
      <c r="I519" s="337" t="s">
        <v>767</v>
      </c>
      <c r="J519" s="337" t="s">
        <v>765</v>
      </c>
      <c r="K519" s="337"/>
      <c r="L519" s="337"/>
      <c r="M519" s="337" t="s">
        <v>826</v>
      </c>
      <c r="N519" s="337" t="s">
        <v>758</v>
      </c>
      <c r="O519" s="337" t="e">
        <v>#N/A</v>
      </c>
      <c r="P519" s="337"/>
      <c r="Q519" s="337"/>
      <c r="R519" s="343">
        <v>943.01</v>
      </c>
    </row>
    <row r="520" spans="1:18" x14ac:dyDescent="0.2">
      <c r="A520" s="342" t="s">
        <v>735</v>
      </c>
      <c r="B520" s="337" t="s">
        <v>789</v>
      </c>
      <c r="C520" s="337" t="s">
        <v>796</v>
      </c>
      <c r="D520" s="337" t="s">
        <v>798</v>
      </c>
      <c r="E520" s="337" t="s">
        <v>790</v>
      </c>
      <c r="F520" s="337" t="s">
        <v>771</v>
      </c>
      <c r="G520" s="337" t="s">
        <v>852</v>
      </c>
      <c r="H520" s="337" t="s">
        <v>853</v>
      </c>
      <c r="I520" s="337" t="s">
        <v>767</v>
      </c>
      <c r="J520" s="337" t="s">
        <v>765</v>
      </c>
      <c r="K520" s="337"/>
      <c r="L520" s="337"/>
      <c r="M520" s="337" t="s">
        <v>826</v>
      </c>
      <c r="N520" s="337" t="s">
        <v>758</v>
      </c>
      <c r="O520" s="337" t="e">
        <v>#N/A</v>
      </c>
      <c r="P520" s="337"/>
      <c r="Q520" s="337"/>
      <c r="R520" s="343">
        <v>1716.28</v>
      </c>
    </row>
    <row r="521" spans="1:18" x14ac:dyDescent="0.2">
      <c r="A521" s="342" t="s">
        <v>736</v>
      </c>
      <c r="B521" s="337" t="s">
        <v>789</v>
      </c>
      <c r="C521" s="337" t="s">
        <v>796</v>
      </c>
      <c r="D521" s="337" t="s">
        <v>798</v>
      </c>
      <c r="E521" s="337" t="s">
        <v>790</v>
      </c>
      <c r="F521" s="337" t="s">
        <v>771</v>
      </c>
      <c r="G521" s="337" t="s">
        <v>852</v>
      </c>
      <c r="H521" s="337" t="s">
        <v>853</v>
      </c>
      <c r="I521" s="337" t="s">
        <v>767</v>
      </c>
      <c r="J521" s="337" t="s">
        <v>765</v>
      </c>
      <c r="K521" s="337"/>
      <c r="L521" s="337"/>
      <c r="M521" s="337" t="s">
        <v>826</v>
      </c>
      <c r="N521" s="337" t="s">
        <v>758</v>
      </c>
      <c r="O521" s="337" t="e">
        <v>#N/A</v>
      </c>
      <c r="P521" s="337"/>
      <c r="Q521" s="337"/>
      <c r="R521" s="343">
        <v>1382.49</v>
      </c>
    </row>
    <row r="522" spans="1:18" x14ac:dyDescent="0.2">
      <c r="A522" s="342" t="s">
        <v>737</v>
      </c>
      <c r="B522" s="337" t="s">
        <v>789</v>
      </c>
      <c r="C522" s="337" t="s">
        <v>796</v>
      </c>
      <c r="D522" s="337" t="s">
        <v>798</v>
      </c>
      <c r="E522" s="337" t="s">
        <v>790</v>
      </c>
      <c r="F522" s="337" t="s">
        <v>771</v>
      </c>
      <c r="G522" s="337" t="s">
        <v>852</v>
      </c>
      <c r="H522" s="337" t="s">
        <v>853</v>
      </c>
      <c r="I522" s="337" t="s">
        <v>767</v>
      </c>
      <c r="J522" s="337" t="s">
        <v>765</v>
      </c>
      <c r="K522" s="337"/>
      <c r="L522" s="337"/>
      <c r="M522" s="337" t="s">
        <v>826</v>
      </c>
      <c r="N522" s="337" t="s">
        <v>758</v>
      </c>
      <c r="O522" s="337" t="e">
        <v>#N/A</v>
      </c>
      <c r="P522" s="337"/>
      <c r="Q522" s="337"/>
      <c r="R522" s="343">
        <v>3859.38</v>
      </c>
    </row>
    <row r="523" spans="1:18" x14ac:dyDescent="0.2">
      <c r="A523" s="342" t="s">
        <v>738</v>
      </c>
      <c r="B523" s="337" t="s">
        <v>789</v>
      </c>
      <c r="C523" s="337" t="s">
        <v>796</v>
      </c>
      <c r="D523" s="337" t="s">
        <v>798</v>
      </c>
      <c r="E523" s="337" t="s">
        <v>790</v>
      </c>
      <c r="F523" s="337" t="s">
        <v>771</v>
      </c>
      <c r="G523" s="337" t="s">
        <v>852</v>
      </c>
      <c r="H523" s="337" t="s">
        <v>853</v>
      </c>
      <c r="I523" s="337" t="s">
        <v>767</v>
      </c>
      <c r="J523" s="337" t="s">
        <v>765</v>
      </c>
      <c r="K523" s="337"/>
      <c r="L523" s="337"/>
      <c r="M523" s="337" t="s">
        <v>826</v>
      </c>
      <c r="N523" s="337" t="s">
        <v>758</v>
      </c>
      <c r="O523" s="337" t="e">
        <v>#N/A</v>
      </c>
      <c r="P523" s="337"/>
      <c r="Q523" s="337"/>
      <c r="R523" s="343">
        <v>2299.1</v>
      </c>
    </row>
    <row r="524" spans="1:18" x14ac:dyDescent="0.2">
      <c r="A524" s="342" t="s">
        <v>727</v>
      </c>
      <c r="B524" s="337" t="s">
        <v>789</v>
      </c>
      <c r="C524" s="337" t="s">
        <v>796</v>
      </c>
      <c r="D524" s="337" t="s">
        <v>798</v>
      </c>
      <c r="E524" s="337" t="s">
        <v>790</v>
      </c>
      <c r="F524" s="337" t="s">
        <v>771</v>
      </c>
      <c r="G524" s="337" t="s">
        <v>852</v>
      </c>
      <c r="H524" s="337" t="s">
        <v>853</v>
      </c>
      <c r="I524" s="337" t="s">
        <v>767</v>
      </c>
      <c r="J524" s="337" t="s">
        <v>765</v>
      </c>
      <c r="K524" s="337"/>
      <c r="L524" s="337"/>
      <c r="M524" s="337" t="s">
        <v>826</v>
      </c>
      <c r="N524" s="337" t="s">
        <v>758</v>
      </c>
      <c r="O524" s="337" t="e">
        <v>#N/A</v>
      </c>
      <c r="P524" s="337"/>
      <c r="Q524" s="337"/>
      <c r="R524" s="343">
        <v>-25.76</v>
      </c>
    </row>
    <row r="525" spans="1:18" x14ac:dyDescent="0.2">
      <c r="A525" s="342" t="s">
        <v>728</v>
      </c>
      <c r="B525" s="337" t="s">
        <v>789</v>
      </c>
      <c r="C525" s="337" t="s">
        <v>796</v>
      </c>
      <c r="D525" s="337" t="s">
        <v>798</v>
      </c>
      <c r="E525" s="337" t="s">
        <v>790</v>
      </c>
      <c r="F525" s="337" t="s">
        <v>771</v>
      </c>
      <c r="G525" s="337" t="s">
        <v>852</v>
      </c>
      <c r="H525" s="337" t="s">
        <v>853</v>
      </c>
      <c r="I525" s="337" t="s">
        <v>767</v>
      </c>
      <c r="J525" s="337" t="s">
        <v>765</v>
      </c>
      <c r="K525" s="337"/>
      <c r="L525" s="337"/>
      <c r="M525" s="337" t="s">
        <v>827</v>
      </c>
      <c r="N525" s="337" t="s">
        <v>828</v>
      </c>
      <c r="O525" s="337" t="e">
        <v>#N/A</v>
      </c>
      <c r="P525" s="337"/>
      <c r="Q525" s="337"/>
      <c r="R525" s="343">
        <v>5540.31</v>
      </c>
    </row>
    <row r="526" spans="1:18" x14ac:dyDescent="0.2">
      <c r="A526" s="342" t="s">
        <v>730</v>
      </c>
      <c r="B526" s="337" t="s">
        <v>789</v>
      </c>
      <c r="C526" s="337" t="s">
        <v>796</v>
      </c>
      <c r="D526" s="337" t="s">
        <v>798</v>
      </c>
      <c r="E526" s="337" t="s">
        <v>790</v>
      </c>
      <c r="F526" s="337" t="s">
        <v>771</v>
      </c>
      <c r="G526" s="337" t="s">
        <v>852</v>
      </c>
      <c r="H526" s="337" t="s">
        <v>853</v>
      </c>
      <c r="I526" s="337" t="s">
        <v>767</v>
      </c>
      <c r="J526" s="337" t="s">
        <v>765</v>
      </c>
      <c r="K526" s="337"/>
      <c r="L526" s="337"/>
      <c r="M526" s="337" t="s">
        <v>827</v>
      </c>
      <c r="N526" s="337" t="s">
        <v>828</v>
      </c>
      <c r="O526" s="337" t="e">
        <v>#N/A</v>
      </c>
      <c r="P526" s="337"/>
      <c r="Q526" s="337"/>
      <c r="R526" s="343">
        <v>83465.14</v>
      </c>
    </row>
    <row r="527" spans="1:18" x14ac:dyDescent="0.2">
      <c r="A527" s="342" t="s">
        <v>731</v>
      </c>
      <c r="B527" s="337" t="s">
        <v>789</v>
      </c>
      <c r="C527" s="337" t="s">
        <v>796</v>
      </c>
      <c r="D527" s="337" t="s">
        <v>798</v>
      </c>
      <c r="E527" s="337" t="s">
        <v>790</v>
      </c>
      <c r="F527" s="337" t="s">
        <v>771</v>
      </c>
      <c r="G527" s="337" t="s">
        <v>852</v>
      </c>
      <c r="H527" s="337" t="s">
        <v>853</v>
      </c>
      <c r="I527" s="337" t="s">
        <v>767</v>
      </c>
      <c r="J527" s="337" t="s">
        <v>765</v>
      </c>
      <c r="K527" s="337"/>
      <c r="L527" s="337"/>
      <c r="M527" s="337" t="s">
        <v>827</v>
      </c>
      <c r="N527" s="337" t="s">
        <v>828</v>
      </c>
      <c r="O527" s="337" t="e">
        <v>#N/A</v>
      </c>
      <c r="P527" s="337"/>
      <c r="Q527" s="337"/>
      <c r="R527" s="343">
        <v>28390.720000000001</v>
      </c>
    </row>
    <row r="528" spans="1:18" x14ac:dyDescent="0.2">
      <c r="A528" s="342" t="s">
        <v>732</v>
      </c>
      <c r="B528" s="337" t="s">
        <v>789</v>
      </c>
      <c r="C528" s="337" t="s">
        <v>796</v>
      </c>
      <c r="D528" s="337" t="s">
        <v>798</v>
      </c>
      <c r="E528" s="337" t="s">
        <v>790</v>
      </c>
      <c r="F528" s="337" t="s">
        <v>771</v>
      </c>
      <c r="G528" s="337" t="s">
        <v>852</v>
      </c>
      <c r="H528" s="337" t="s">
        <v>853</v>
      </c>
      <c r="I528" s="337" t="s">
        <v>767</v>
      </c>
      <c r="J528" s="337" t="s">
        <v>765</v>
      </c>
      <c r="K528" s="337"/>
      <c r="L528" s="337"/>
      <c r="M528" s="337" t="s">
        <v>827</v>
      </c>
      <c r="N528" s="337" t="s">
        <v>828</v>
      </c>
      <c r="O528" s="337" t="e">
        <v>#N/A</v>
      </c>
      <c r="P528" s="337"/>
      <c r="Q528" s="337"/>
      <c r="R528" s="343">
        <v>21962.54</v>
      </c>
    </row>
    <row r="529" spans="1:18" x14ac:dyDescent="0.2">
      <c r="A529" s="342" t="s">
        <v>726</v>
      </c>
      <c r="B529" s="337" t="s">
        <v>789</v>
      </c>
      <c r="C529" s="337" t="s">
        <v>796</v>
      </c>
      <c r="D529" s="337" t="s">
        <v>798</v>
      </c>
      <c r="E529" s="337" t="s">
        <v>790</v>
      </c>
      <c r="F529" s="337" t="s">
        <v>771</v>
      </c>
      <c r="G529" s="337" t="s">
        <v>852</v>
      </c>
      <c r="H529" s="337" t="s">
        <v>853</v>
      </c>
      <c r="I529" s="337" t="s">
        <v>767</v>
      </c>
      <c r="J529" s="337" t="s">
        <v>765</v>
      </c>
      <c r="K529" s="337"/>
      <c r="L529" s="337"/>
      <c r="M529" s="337" t="s">
        <v>827</v>
      </c>
      <c r="N529" s="337" t="s">
        <v>828</v>
      </c>
      <c r="O529" s="337" t="e">
        <v>#N/A</v>
      </c>
      <c r="P529" s="337"/>
      <c r="Q529" s="337"/>
      <c r="R529" s="343">
        <v>14073.96</v>
      </c>
    </row>
    <row r="530" spans="1:18" x14ac:dyDescent="0.2">
      <c r="A530" s="342" t="s">
        <v>733</v>
      </c>
      <c r="B530" s="337" t="s">
        <v>789</v>
      </c>
      <c r="C530" s="337" t="s">
        <v>796</v>
      </c>
      <c r="D530" s="337" t="s">
        <v>798</v>
      </c>
      <c r="E530" s="337" t="s">
        <v>790</v>
      </c>
      <c r="F530" s="337" t="s">
        <v>771</v>
      </c>
      <c r="G530" s="337" t="s">
        <v>852</v>
      </c>
      <c r="H530" s="337" t="s">
        <v>853</v>
      </c>
      <c r="I530" s="337" t="s">
        <v>767</v>
      </c>
      <c r="J530" s="337" t="s">
        <v>765</v>
      </c>
      <c r="K530" s="337"/>
      <c r="L530" s="337"/>
      <c r="M530" s="337" t="s">
        <v>827</v>
      </c>
      <c r="N530" s="337" t="s">
        <v>828</v>
      </c>
      <c r="O530" s="337" t="e">
        <v>#N/A</v>
      </c>
      <c r="P530" s="337"/>
      <c r="Q530" s="337"/>
      <c r="R530" s="343">
        <v>8313.83</v>
      </c>
    </row>
    <row r="531" spans="1:18" x14ac:dyDescent="0.2">
      <c r="A531" s="342" t="s">
        <v>734</v>
      </c>
      <c r="B531" s="337" t="s">
        <v>789</v>
      </c>
      <c r="C531" s="337" t="s">
        <v>796</v>
      </c>
      <c r="D531" s="337" t="s">
        <v>798</v>
      </c>
      <c r="E531" s="337" t="s">
        <v>790</v>
      </c>
      <c r="F531" s="337" t="s">
        <v>771</v>
      </c>
      <c r="G531" s="337" t="s">
        <v>852</v>
      </c>
      <c r="H531" s="337" t="s">
        <v>853</v>
      </c>
      <c r="I531" s="337" t="s">
        <v>767</v>
      </c>
      <c r="J531" s="337" t="s">
        <v>765</v>
      </c>
      <c r="K531" s="337"/>
      <c r="L531" s="337"/>
      <c r="M531" s="337" t="s">
        <v>827</v>
      </c>
      <c r="N531" s="337" t="s">
        <v>828</v>
      </c>
      <c r="O531" s="337" t="e">
        <v>#N/A</v>
      </c>
      <c r="P531" s="337"/>
      <c r="Q531" s="337"/>
      <c r="R531" s="343">
        <v>140222.85999999999</v>
      </c>
    </row>
    <row r="532" spans="1:18" x14ac:dyDescent="0.2">
      <c r="A532" s="342" t="s">
        <v>735</v>
      </c>
      <c r="B532" s="337" t="s">
        <v>789</v>
      </c>
      <c r="C532" s="337" t="s">
        <v>796</v>
      </c>
      <c r="D532" s="337" t="s">
        <v>798</v>
      </c>
      <c r="E532" s="337" t="s">
        <v>790</v>
      </c>
      <c r="F532" s="337" t="s">
        <v>771</v>
      </c>
      <c r="G532" s="337" t="s">
        <v>852</v>
      </c>
      <c r="H532" s="337" t="s">
        <v>853</v>
      </c>
      <c r="I532" s="337" t="s">
        <v>767</v>
      </c>
      <c r="J532" s="337" t="s">
        <v>765</v>
      </c>
      <c r="K532" s="337"/>
      <c r="L532" s="337"/>
      <c r="M532" s="337" t="s">
        <v>827</v>
      </c>
      <c r="N532" s="337" t="s">
        <v>828</v>
      </c>
      <c r="O532" s="337" t="e">
        <v>#N/A</v>
      </c>
      <c r="P532" s="337"/>
      <c r="Q532" s="337"/>
      <c r="R532" s="343">
        <v>41478.49</v>
      </c>
    </row>
    <row r="533" spans="1:18" x14ac:dyDescent="0.2">
      <c r="A533" s="342" t="s">
        <v>736</v>
      </c>
      <c r="B533" s="337" t="s">
        <v>789</v>
      </c>
      <c r="C533" s="337" t="s">
        <v>796</v>
      </c>
      <c r="D533" s="337" t="s">
        <v>798</v>
      </c>
      <c r="E533" s="337" t="s">
        <v>790</v>
      </c>
      <c r="F533" s="337" t="s">
        <v>771</v>
      </c>
      <c r="G533" s="337" t="s">
        <v>852</v>
      </c>
      <c r="H533" s="337" t="s">
        <v>853</v>
      </c>
      <c r="I533" s="337" t="s">
        <v>767</v>
      </c>
      <c r="J533" s="337" t="s">
        <v>765</v>
      </c>
      <c r="K533" s="337"/>
      <c r="L533" s="337"/>
      <c r="M533" s="337" t="s">
        <v>827</v>
      </c>
      <c r="N533" s="337" t="s">
        <v>828</v>
      </c>
      <c r="O533" s="337" t="e">
        <v>#N/A</v>
      </c>
      <c r="P533" s="337"/>
      <c r="Q533" s="337"/>
      <c r="R533" s="343">
        <v>321954.99</v>
      </c>
    </row>
    <row r="534" spans="1:18" x14ac:dyDescent="0.2">
      <c r="A534" s="342" t="s">
        <v>737</v>
      </c>
      <c r="B534" s="337" t="s">
        <v>789</v>
      </c>
      <c r="C534" s="337" t="s">
        <v>796</v>
      </c>
      <c r="D534" s="337" t="s">
        <v>798</v>
      </c>
      <c r="E534" s="337" t="s">
        <v>790</v>
      </c>
      <c r="F534" s="337" t="s">
        <v>771</v>
      </c>
      <c r="G534" s="337" t="s">
        <v>852</v>
      </c>
      <c r="H534" s="337" t="s">
        <v>853</v>
      </c>
      <c r="I534" s="337" t="s">
        <v>767</v>
      </c>
      <c r="J534" s="337" t="s">
        <v>765</v>
      </c>
      <c r="K534" s="337"/>
      <c r="L534" s="337"/>
      <c r="M534" s="337" t="s">
        <v>827</v>
      </c>
      <c r="N534" s="337" t="s">
        <v>828</v>
      </c>
      <c r="O534" s="337" t="e">
        <v>#N/A</v>
      </c>
      <c r="P534" s="337"/>
      <c r="Q534" s="337"/>
      <c r="R534" s="343">
        <v>37862.949999999997</v>
      </c>
    </row>
    <row r="535" spans="1:18" x14ac:dyDescent="0.2">
      <c r="A535" s="342" t="s">
        <v>738</v>
      </c>
      <c r="B535" s="337" t="s">
        <v>789</v>
      </c>
      <c r="C535" s="337" t="s">
        <v>796</v>
      </c>
      <c r="D535" s="337" t="s">
        <v>798</v>
      </c>
      <c r="E535" s="337" t="s">
        <v>790</v>
      </c>
      <c r="F535" s="337" t="s">
        <v>771</v>
      </c>
      <c r="G535" s="337" t="s">
        <v>852</v>
      </c>
      <c r="H535" s="337" t="s">
        <v>853</v>
      </c>
      <c r="I535" s="337" t="s">
        <v>767</v>
      </c>
      <c r="J535" s="337" t="s">
        <v>765</v>
      </c>
      <c r="K535" s="337"/>
      <c r="L535" s="337"/>
      <c r="M535" s="337" t="s">
        <v>827</v>
      </c>
      <c r="N535" s="337" t="s">
        <v>828</v>
      </c>
      <c r="O535" s="337" t="e">
        <v>#N/A</v>
      </c>
      <c r="P535" s="337"/>
      <c r="Q535" s="337"/>
      <c r="R535" s="343">
        <v>13438.16</v>
      </c>
    </row>
    <row r="536" spans="1:18" x14ac:dyDescent="0.2">
      <c r="A536" s="342" t="s">
        <v>727</v>
      </c>
      <c r="B536" s="337" t="s">
        <v>789</v>
      </c>
      <c r="C536" s="337" t="s">
        <v>796</v>
      </c>
      <c r="D536" s="337" t="s">
        <v>798</v>
      </c>
      <c r="E536" s="337" t="s">
        <v>790</v>
      </c>
      <c r="F536" s="337" t="s">
        <v>771</v>
      </c>
      <c r="G536" s="337" t="s">
        <v>852</v>
      </c>
      <c r="H536" s="337" t="s">
        <v>853</v>
      </c>
      <c r="I536" s="337" t="s">
        <v>767</v>
      </c>
      <c r="J536" s="337" t="s">
        <v>765</v>
      </c>
      <c r="K536" s="337"/>
      <c r="L536" s="337"/>
      <c r="M536" s="337" t="s">
        <v>827</v>
      </c>
      <c r="N536" s="337" t="s">
        <v>828</v>
      </c>
      <c r="O536" s="337" t="e">
        <v>#N/A</v>
      </c>
      <c r="P536" s="337"/>
      <c r="Q536" s="337"/>
      <c r="R536" s="343">
        <v>24853.48</v>
      </c>
    </row>
    <row r="537" spans="1:18" x14ac:dyDescent="0.2">
      <c r="A537" s="342" t="s">
        <v>732</v>
      </c>
      <c r="B537" s="337" t="s">
        <v>789</v>
      </c>
      <c r="C537" s="337" t="s">
        <v>796</v>
      </c>
      <c r="D537" s="337" t="s">
        <v>798</v>
      </c>
      <c r="E537" s="337" t="s">
        <v>790</v>
      </c>
      <c r="F537" s="337" t="s">
        <v>771</v>
      </c>
      <c r="G537" s="337" t="s">
        <v>852</v>
      </c>
      <c r="H537" s="337" t="s">
        <v>853</v>
      </c>
      <c r="I537" s="337" t="s">
        <v>767</v>
      </c>
      <c r="J537" s="337" t="s">
        <v>765</v>
      </c>
      <c r="K537" s="337"/>
      <c r="L537" s="337"/>
      <c r="M537" s="337" t="s">
        <v>829</v>
      </c>
      <c r="N537" s="337" t="s">
        <v>830</v>
      </c>
      <c r="O537" s="337" t="e">
        <v>#N/A</v>
      </c>
      <c r="P537" s="337"/>
      <c r="Q537" s="337"/>
      <c r="R537" s="343">
        <v>868.32</v>
      </c>
    </row>
    <row r="538" spans="1:18" x14ac:dyDescent="0.2">
      <c r="A538" s="342" t="s">
        <v>726</v>
      </c>
      <c r="B538" s="337" t="s">
        <v>789</v>
      </c>
      <c r="C538" s="337" t="s">
        <v>796</v>
      </c>
      <c r="D538" s="337" t="s">
        <v>798</v>
      </c>
      <c r="E538" s="337" t="s">
        <v>790</v>
      </c>
      <c r="F538" s="337" t="s">
        <v>771</v>
      </c>
      <c r="G538" s="337" t="s">
        <v>852</v>
      </c>
      <c r="H538" s="337" t="s">
        <v>853</v>
      </c>
      <c r="I538" s="337" t="s">
        <v>767</v>
      </c>
      <c r="J538" s="337" t="s">
        <v>765</v>
      </c>
      <c r="K538" s="337"/>
      <c r="L538" s="337"/>
      <c r="M538" s="337" t="s">
        <v>829</v>
      </c>
      <c r="N538" s="337" t="s">
        <v>830</v>
      </c>
      <c r="O538" s="337" t="e">
        <v>#N/A</v>
      </c>
      <c r="P538" s="337"/>
      <c r="Q538" s="337"/>
      <c r="R538" s="343">
        <v>160.94</v>
      </c>
    </row>
    <row r="539" spans="1:18" x14ac:dyDescent="0.2">
      <c r="A539" s="342" t="s">
        <v>734</v>
      </c>
      <c r="B539" s="337" t="s">
        <v>789</v>
      </c>
      <c r="C539" s="337" t="s">
        <v>796</v>
      </c>
      <c r="D539" s="337" t="s">
        <v>798</v>
      </c>
      <c r="E539" s="337" t="s">
        <v>790</v>
      </c>
      <c r="F539" s="337" t="s">
        <v>771</v>
      </c>
      <c r="G539" s="337" t="s">
        <v>852</v>
      </c>
      <c r="H539" s="337" t="s">
        <v>853</v>
      </c>
      <c r="I539" s="337" t="s">
        <v>767</v>
      </c>
      <c r="J539" s="337" t="s">
        <v>765</v>
      </c>
      <c r="K539" s="337"/>
      <c r="L539" s="337"/>
      <c r="M539" s="337" t="s">
        <v>829</v>
      </c>
      <c r="N539" s="337" t="s">
        <v>830</v>
      </c>
      <c r="O539" s="337" t="e">
        <v>#N/A</v>
      </c>
      <c r="P539" s="337"/>
      <c r="Q539" s="337"/>
      <c r="R539" s="343">
        <v>78.05</v>
      </c>
    </row>
    <row r="540" spans="1:18" x14ac:dyDescent="0.2">
      <c r="A540" s="342" t="s">
        <v>735</v>
      </c>
      <c r="B540" s="337" t="s">
        <v>789</v>
      </c>
      <c r="C540" s="337" t="s">
        <v>796</v>
      </c>
      <c r="D540" s="337" t="s">
        <v>798</v>
      </c>
      <c r="E540" s="337" t="s">
        <v>790</v>
      </c>
      <c r="F540" s="337" t="s">
        <v>771</v>
      </c>
      <c r="G540" s="337" t="s">
        <v>852</v>
      </c>
      <c r="H540" s="337" t="s">
        <v>853</v>
      </c>
      <c r="I540" s="337" t="s">
        <v>767</v>
      </c>
      <c r="J540" s="337" t="s">
        <v>765</v>
      </c>
      <c r="K540" s="337"/>
      <c r="L540" s="337"/>
      <c r="M540" s="337" t="s">
        <v>829</v>
      </c>
      <c r="N540" s="337" t="s">
        <v>830</v>
      </c>
      <c r="O540" s="337" t="e">
        <v>#N/A</v>
      </c>
      <c r="P540" s="337"/>
      <c r="Q540" s="337"/>
      <c r="R540" s="343">
        <v>108.52</v>
      </c>
    </row>
    <row r="541" spans="1:18" x14ac:dyDescent="0.2">
      <c r="A541" s="342" t="s">
        <v>736</v>
      </c>
      <c r="B541" s="337" t="s">
        <v>789</v>
      </c>
      <c r="C541" s="337" t="s">
        <v>796</v>
      </c>
      <c r="D541" s="337" t="s">
        <v>798</v>
      </c>
      <c r="E541" s="337" t="s">
        <v>790</v>
      </c>
      <c r="F541" s="337" t="s">
        <v>771</v>
      </c>
      <c r="G541" s="337" t="s">
        <v>852</v>
      </c>
      <c r="H541" s="337" t="s">
        <v>853</v>
      </c>
      <c r="I541" s="337" t="s">
        <v>767</v>
      </c>
      <c r="J541" s="337" t="s">
        <v>765</v>
      </c>
      <c r="K541" s="337"/>
      <c r="L541" s="337"/>
      <c r="M541" s="337" t="s">
        <v>829</v>
      </c>
      <c r="N541" s="337" t="s">
        <v>830</v>
      </c>
      <c r="O541" s="337" t="e">
        <v>#N/A</v>
      </c>
      <c r="P541" s="337"/>
      <c r="Q541" s="337"/>
      <c r="R541" s="343">
        <v>89.64</v>
      </c>
    </row>
    <row r="542" spans="1:18" x14ac:dyDescent="0.2">
      <c r="A542" s="342" t="s">
        <v>738</v>
      </c>
      <c r="B542" s="337" t="s">
        <v>789</v>
      </c>
      <c r="C542" s="337" t="s">
        <v>796</v>
      </c>
      <c r="D542" s="337" t="s">
        <v>798</v>
      </c>
      <c r="E542" s="337" t="s">
        <v>790</v>
      </c>
      <c r="F542" s="337" t="s">
        <v>771</v>
      </c>
      <c r="G542" s="337" t="s">
        <v>852</v>
      </c>
      <c r="H542" s="337" t="s">
        <v>853</v>
      </c>
      <c r="I542" s="337" t="s">
        <v>767</v>
      </c>
      <c r="J542" s="337" t="s">
        <v>765</v>
      </c>
      <c r="K542" s="337"/>
      <c r="L542" s="337"/>
      <c r="M542" s="337" t="s">
        <v>829</v>
      </c>
      <c r="N542" s="337" t="s">
        <v>830</v>
      </c>
      <c r="O542" s="337" t="e">
        <v>#N/A</v>
      </c>
      <c r="P542" s="337"/>
      <c r="Q542" s="337"/>
      <c r="R542" s="343">
        <v>362.47</v>
      </c>
    </row>
    <row r="543" spans="1:18" x14ac:dyDescent="0.2">
      <c r="A543" s="342" t="s">
        <v>728</v>
      </c>
      <c r="B543" s="337" t="s">
        <v>789</v>
      </c>
      <c r="C543" s="337" t="s">
        <v>796</v>
      </c>
      <c r="D543" s="337" t="s">
        <v>798</v>
      </c>
      <c r="E543" s="337" t="s">
        <v>790</v>
      </c>
      <c r="F543" s="337" t="s">
        <v>771</v>
      </c>
      <c r="G543" s="337" t="s">
        <v>852</v>
      </c>
      <c r="H543" s="337" t="s">
        <v>853</v>
      </c>
      <c r="I543" s="337" t="s">
        <v>831</v>
      </c>
      <c r="J543" s="337" t="s">
        <v>766</v>
      </c>
      <c r="K543" s="337"/>
      <c r="L543" s="337"/>
      <c r="M543" s="337" t="s">
        <v>808</v>
      </c>
      <c r="N543" s="337" t="s">
        <v>809</v>
      </c>
      <c r="O543" s="337" t="e">
        <v>#N/A</v>
      </c>
      <c r="P543" s="337"/>
      <c r="Q543" s="337"/>
      <c r="R543" s="343">
        <v>95921.68</v>
      </c>
    </row>
    <row r="544" spans="1:18" x14ac:dyDescent="0.2">
      <c r="A544" s="342" t="s">
        <v>730</v>
      </c>
      <c r="B544" s="337" t="s">
        <v>789</v>
      </c>
      <c r="C544" s="337" t="s">
        <v>796</v>
      </c>
      <c r="D544" s="337" t="s">
        <v>798</v>
      </c>
      <c r="E544" s="337" t="s">
        <v>790</v>
      </c>
      <c r="F544" s="337" t="s">
        <v>771</v>
      </c>
      <c r="G544" s="337" t="s">
        <v>852</v>
      </c>
      <c r="H544" s="337" t="s">
        <v>853</v>
      </c>
      <c r="I544" s="337" t="s">
        <v>831</v>
      </c>
      <c r="J544" s="337" t="s">
        <v>766</v>
      </c>
      <c r="K544" s="337"/>
      <c r="L544" s="337"/>
      <c r="M544" s="337" t="s">
        <v>808</v>
      </c>
      <c r="N544" s="337" t="s">
        <v>809</v>
      </c>
      <c r="O544" s="337" t="e">
        <v>#N/A</v>
      </c>
      <c r="P544" s="337"/>
      <c r="Q544" s="337"/>
      <c r="R544" s="343">
        <v>61922.14</v>
      </c>
    </row>
    <row r="545" spans="1:18" x14ac:dyDescent="0.2">
      <c r="A545" s="342" t="s">
        <v>731</v>
      </c>
      <c r="B545" s="337" t="s">
        <v>789</v>
      </c>
      <c r="C545" s="337" t="s">
        <v>796</v>
      </c>
      <c r="D545" s="337" t="s">
        <v>798</v>
      </c>
      <c r="E545" s="337" t="s">
        <v>790</v>
      </c>
      <c r="F545" s="337" t="s">
        <v>771</v>
      </c>
      <c r="G545" s="337" t="s">
        <v>852</v>
      </c>
      <c r="H545" s="337" t="s">
        <v>853</v>
      </c>
      <c r="I545" s="337" t="s">
        <v>831</v>
      </c>
      <c r="J545" s="337" t="s">
        <v>766</v>
      </c>
      <c r="K545" s="337"/>
      <c r="L545" s="337"/>
      <c r="M545" s="337" t="s">
        <v>832</v>
      </c>
      <c r="N545" s="337" t="s">
        <v>833</v>
      </c>
      <c r="O545" s="337" t="e">
        <v>#N/A</v>
      </c>
      <c r="P545" s="337"/>
      <c r="Q545" s="337"/>
      <c r="R545" s="343">
        <v>65226.06</v>
      </c>
    </row>
    <row r="546" spans="1:18" x14ac:dyDescent="0.2">
      <c r="A546" s="342" t="s">
        <v>732</v>
      </c>
      <c r="B546" s="337" t="s">
        <v>789</v>
      </c>
      <c r="C546" s="337" t="s">
        <v>796</v>
      </c>
      <c r="D546" s="337" t="s">
        <v>798</v>
      </c>
      <c r="E546" s="337" t="s">
        <v>790</v>
      </c>
      <c r="F546" s="337" t="s">
        <v>771</v>
      </c>
      <c r="G546" s="337" t="s">
        <v>852</v>
      </c>
      <c r="H546" s="337" t="s">
        <v>853</v>
      </c>
      <c r="I546" s="337" t="s">
        <v>831</v>
      </c>
      <c r="J546" s="337" t="s">
        <v>766</v>
      </c>
      <c r="K546" s="337"/>
      <c r="L546" s="337"/>
      <c r="M546" s="337" t="s">
        <v>832</v>
      </c>
      <c r="N546" s="337" t="s">
        <v>833</v>
      </c>
      <c r="O546" s="337" t="e">
        <v>#N/A</v>
      </c>
      <c r="P546" s="337"/>
      <c r="Q546" s="337"/>
      <c r="R546" s="343">
        <v>67032.679999999993</v>
      </c>
    </row>
    <row r="547" spans="1:18" x14ac:dyDescent="0.2">
      <c r="A547" s="342" t="s">
        <v>726</v>
      </c>
      <c r="B547" s="337" t="s">
        <v>789</v>
      </c>
      <c r="C547" s="337" t="s">
        <v>796</v>
      </c>
      <c r="D547" s="337" t="s">
        <v>798</v>
      </c>
      <c r="E547" s="337" t="s">
        <v>790</v>
      </c>
      <c r="F547" s="337" t="s">
        <v>771</v>
      </c>
      <c r="G547" s="337" t="s">
        <v>852</v>
      </c>
      <c r="H547" s="337" t="s">
        <v>853</v>
      </c>
      <c r="I547" s="337" t="s">
        <v>831</v>
      </c>
      <c r="J547" s="337" t="s">
        <v>766</v>
      </c>
      <c r="K547" s="337"/>
      <c r="L547" s="337"/>
      <c r="M547" s="337" t="s">
        <v>832</v>
      </c>
      <c r="N547" s="337" t="s">
        <v>833</v>
      </c>
      <c r="O547" s="337" t="e">
        <v>#N/A</v>
      </c>
      <c r="P547" s="337"/>
      <c r="Q547" s="337"/>
      <c r="R547" s="343">
        <v>94961.44</v>
      </c>
    </row>
    <row r="548" spans="1:18" x14ac:dyDescent="0.2">
      <c r="A548" s="342" t="s">
        <v>734</v>
      </c>
      <c r="B548" s="337" t="s">
        <v>789</v>
      </c>
      <c r="C548" s="337" t="s">
        <v>796</v>
      </c>
      <c r="D548" s="337" t="s">
        <v>798</v>
      </c>
      <c r="E548" s="337" t="s">
        <v>790</v>
      </c>
      <c r="F548" s="337" t="s">
        <v>771</v>
      </c>
      <c r="G548" s="337" t="s">
        <v>852</v>
      </c>
      <c r="H548" s="337" t="s">
        <v>853</v>
      </c>
      <c r="I548" s="337" t="s">
        <v>831</v>
      </c>
      <c r="J548" s="337" t="s">
        <v>766</v>
      </c>
      <c r="K548" s="337"/>
      <c r="L548" s="337"/>
      <c r="M548" s="337" t="s">
        <v>832</v>
      </c>
      <c r="N548" s="337" t="s">
        <v>833</v>
      </c>
      <c r="O548" s="337" t="e">
        <v>#N/A</v>
      </c>
      <c r="P548" s="337"/>
      <c r="Q548" s="337"/>
      <c r="R548" s="343">
        <v>59939.05</v>
      </c>
    </row>
    <row r="549" spans="1:18" x14ac:dyDescent="0.2">
      <c r="A549" s="342" t="s">
        <v>735</v>
      </c>
      <c r="B549" s="337" t="s">
        <v>789</v>
      </c>
      <c r="C549" s="337" t="s">
        <v>796</v>
      </c>
      <c r="D549" s="337" t="s">
        <v>798</v>
      </c>
      <c r="E549" s="337" t="s">
        <v>790</v>
      </c>
      <c r="F549" s="337" t="s">
        <v>771</v>
      </c>
      <c r="G549" s="337" t="s">
        <v>852</v>
      </c>
      <c r="H549" s="337" t="s">
        <v>853</v>
      </c>
      <c r="I549" s="337" t="s">
        <v>831</v>
      </c>
      <c r="J549" s="337" t="s">
        <v>766</v>
      </c>
      <c r="K549" s="337"/>
      <c r="L549" s="337"/>
      <c r="M549" s="337" t="s">
        <v>832</v>
      </c>
      <c r="N549" s="337" t="s">
        <v>833</v>
      </c>
      <c r="O549" s="337" t="e">
        <v>#N/A</v>
      </c>
      <c r="P549" s="337"/>
      <c r="Q549" s="337"/>
      <c r="R549" s="343">
        <v>54746.43</v>
      </c>
    </row>
    <row r="550" spans="1:18" x14ac:dyDescent="0.2">
      <c r="A550" s="342" t="s">
        <v>736</v>
      </c>
      <c r="B550" s="337" t="s">
        <v>789</v>
      </c>
      <c r="C550" s="337" t="s">
        <v>796</v>
      </c>
      <c r="D550" s="337" t="s">
        <v>798</v>
      </c>
      <c r="E550" s="337" t="s">
        <v>790</v>
      </c>
      <c r="F550" s="337" t="s">
        <v>771</v>
      </c>
      <c r="G550" s="337" t="s">
        <v>852</v>
      </c>
      <c r="H550" s="337" t="s">
        <v>853</v>
      </c>
      <c r="I550" s="337" t="s">
        <v>831</v>
      </c>
      <c r="J550" s="337" t="s">
        <v>766</v>
      </c>
      <c r="K550" s="337"/>
      <c r="L550" s="337"/>
      <c r="M550" s="337" t="s">
        <v>832</v>
      </c>
      <c r="N550" s="337" t="s">
        <v>833</v>
      </c>
      <c r="O550" s="337" t="e">
        <v>#N/A</v>
      </c>
      <c r="P550" s="337"/>
      <c r="Q550" s="337"/>
      <c r="R550" s="343">
        <v>52927.32</v>
      </c>
    </row>
    <row r="551" spans="1:18" x14ac:dyDescent="0.2">
      <c r="A551" s="342" t="s">
        <v>737</v>
      </c>
      <c r="B551" s="337" t="s">
        <v>789</v>
      </c>
      <c r="C551" s="337" t="s">
        <v>796</v>
      </c>
      <c r="D551" s="337" t="s">
        <v>798</v>
      </c>
      <c r="E551" s="337" t="s">
        <v>790</v>
      </c>
      <c r="F551" s="337" t="s">
        <v>771</v>
      </c>
      <c r="G551" s="337" t="s">
        <v>852</v>
      </c>
      <c r="H551" s="337" t="s">
        <v>853</v>
      </c>
      <c r="I551" s="337" t="s">
        <v>831</v>
      </c>
      <c r="J551" s="337" t="s">
        <v>766</v>
      </c>
      <c r="K551" s="337"/>
      <c r="L551" s="337"/>
      <c r="M551" s="337" t="s">
        <v>832</v>
      </c>
      <c r="N551" s="337" t="s">
        <v>833</v>
      </c>
      <c r="O551" s="337" t="e">
        <v>#N/A</v>
      </c>
      <c r="P551" s="337"/>
      <c r="Q551" s="337"/>
      <c r="R551" s="343">
        <v>52927.32</v>
      </c>
    </row>
    <row r="552" spans="1:18" x14ac:dyDescent="0.2">
      <c r="A552" s="342" t="s">
        <v>738</v>
      </c>
      <c r="B552" s="337" t="s">
        <v>789</v>
      </c>
      <c r="C552" s="337" t="s">
        <v>796</v>
      </c>
      <c r="D552" s="337" t="s">
        <v>798</v>
      </c>
      <c r="E552" s="337" t="s">
        <v>790</v>
      </c>
      <c r="F552" s="337" t="s">
        <v>771</v>
      </c>
      <c r="G552" s="337" t="s">
        <v>852</v>
      </c>
      <c r="H552" s="337" t="s">
        <v>853</v>
      </c>
      <c r="I552" s="337" t="s">
        <v>831</v>
      </c>
      <c r="J552" s="337" t="s">
        <v>766</v>
      </c>
      <c r="K552" s="337"/>
      <c r="L552" s="337"/>
      <c r="M552" s="337" t="s">
        <v>832</v>
      </c>
      <c r="N552" s="337" t="s">
        <v>833</v>
      </c>
      <c r="O552" s="337" t="e">
        <v>#N/A</v>
      </c>
      <c r="P552" s="337"/>
      <c r="Q552" s="337"/>
      <c r="R552" s="343">
        <v>56925.42</v>
      </c>
    </row>
    <row r="553" spans="1:18" x14ac:dyDescent="0.2">
      <c r="A553" s="342" t="s">
        <v>727</v>
      </c>
      <c r="B553" s="337" t="s">
        <v>789</v>
      </c>
      <c r="C553" s="337" t="s">
        <v>796</v>
      </c>
      <c r="D553" s="337" t="s">
        <v>798</v>
      </c>
      <c r="E553" s="337" t="s">
        <v>790</v>
      </c>
      <c r="F553" s="337" t="s">
        <v>771</v>
      </c>
      <c r="G553" s="337" t="s">
        <v>852</v>
      </c>
      <c r="H553" s="337" t="s">
        <v>853</v>
      </c>
      <c r="I553" s="337" t="s">
        <v>831</v>
      </c>
      <c r="J553" s="337" t="s">
        <v>766</v>
      </c>
      <c r="K553" s="337"/>
      <c r="L553" s="337"/>
      <c r="M553" s="337" t="s">
        <v>832</v>
      </c>
      <c r="N553" s="337" t="s">
        <v>833</v>
      </c>
      <c r="O553" s="337" t="e">
        <v>#N/A</v>
      </c>
      <c r="P553" s="337"/>
      <c r="Q553" s="337"/>
      <c r="R553" s="343">
        <v>50962.13</v>
      </c>
    </row>
    <row r="554" spans="1:18" x14ac:dyDescent="0.2">
      <c r="A554" s="342" t="s">
        <v>731</v>
      </c>
      <c r="B554" s="337" t="s">
        <v>789</v>
      </c>
      <c r="C554" s="337" t="s">
        <v>796</v>
      </c>
      <c r="D554" s="337" t="s">
        <v>729</v>
      </c>
      <c r="E554" s="337" t="s">
        <v>790</v>
      </c>
      <c r="F554" s="337" t="s">
        <v>771</v>
      </c>
      <c r="G554" s="337" t="s">
        <v>852</v>
      </c>
      <c r="H554" s="337" t="s">
        <v>853</v>
      </c>
      <c r="I554" s="337" t="s">
        <v>767</v>
      </c>
      <c r="J554" s="337" t="s">
        <v>765</v>
      </c>
      <c r="K554" s="337"/>
      <c r="L554" s="337"/>
      <c r="M554" s="337" t="s">
        <v>784</v>
      </c>
      <c r="N554" s="337" t="s">
        <v>755</v>
      </c>
      <c r="O554" s="337" t="e">
        <v>#N/A</v>
      </c>
      <c r="P554" s="337"/>
      <c r="Q554" s="337" t="s">
        <v>851</v>
      </c>
      <c r="R554" s="343">
        <v>-36836.370000000003</v>
      </c>
    </row>
    <row r="555" spans="1:18" x14ac:dyDescent="0.2">
      <c r="A555" s="342" t="s">
        <v>731</v>
      </c>
      <c r="B555" s="337" t="s">
        <v>789</v>
      </c>
      <c r="C555" s="337" t="s">
        <v>796</v>
      </c>
      <c r="D555" s="337" t="s">
        <v>729</v>
      </c>
      <c r="E555" s="337" t="s">
        <v>790</v>
      </c>
      <c r="F555" s="337" t="s">
        <v>771</v>
      </c>
      <c r="G555" s="337" t="s">
        <v>852</v>
      </c>
      <c r="H555" s="337" t="s">
        <v>853</v>
      </c>
      <c r="I555" s="337" t="s">
        <v>767</v>
      </c>
      <c r="J555" s="337" t="s">
        <v>765</v>
      </c>
      <c r="K555" s="337"/>
      <c r="L555" s="337"/>
      <c r="M555" s="337" t="s">
        <v>807</v>
      </c>
      <c r="N555" s="337" t="s">
        <v>760</v>
      </c>
      <c r="O555" s="337" t="e">
        <v>#N/A</v>
      </c>
      <c r="P555" s="337"/>
      <c r="Q555" s="337" t="s">
        <v>851</v>
      </c>
      <c r="R555" s="343">
        <v>-798.82</v>
      </c>
    </row>
    <row r="556" spans="1:18" x14ac:dyDescent="0.2">
      <c r="A556" s="342" t="s">
        <v>731</v>
      </c>
      <c r="B556" s="337" t="s">
        <v>789</v>
      </c>
      <c r="C556" s="337" t="s">
        <v>796</v>
      </c>
      <c r="D556" s="337" t="s">
        <v>729</v>
      </c>
      <c r="E556" s="337" t="s">
        <v>790</v>
      </c>
      <c r="F556" s="337" t="s">
        <v>771</v>
      </c>
      <c r="G556" s="337" t="s">
        <v>852</v>
      </c>
      <c r="H556" s="337" t="s">
        <v>853</v>
      </c>
      <c r="I556" s="337" t="s">
        <v>767</v>
      </c>
      <c r="J556" s="337" t="s">
        <v>765</v>
      </c>
      <c r="K556" s="337"/>
      <c r="L556" s="337"/>
      <c r="M556" s="337" t="s">
        <v>815</v>
      </c>
      <c r="N556" s="337" t="s">
        <v>762</v>
      </c>
      <c r="O556" s="337" t="e">
        <v>#N/A</v>
      </c>
      <c r="P556" s="337"/>
      <c r="Q556" s="337" t="s">
        <v>851</v>
      </c>
      <c r="R556" s="343">
        <v>-3203.29</v>
      </c>
    </row>
    <row r="557" spans="1:18" x14ac:dyDescent="0.2">
      <c r="A557" s="342" t="s">
        <v>731</v>
      </c>
      <c r="B557" s="337" t="s">
        <v>789</v>
      </c>
      <c r="C557" s="337" t="s">
        <v>796</v>
      </c>
      <c r="D557" s="337" t="s">
        <v>729</v>
      </c>
      <c r="E557" s="337" t="s">
        <v>790</v>
      </c>
      <c r="F557" s="337" t="s">
        <v>771</v>
      </c>
      <c r="G557" s="337" t="s">
        <v>852</v>
      </c>
      <c r="H557" s="337" t="s">
        <v>853</v>
      </c>
      <c r="I557" s="337" t="s">
        <v>767</v>
      </c>
      <c r="J557" s="337" t="s">
        <v>765</v>
      </c>
      <c r="K557" s="337"/>
      <c r="L557" s="337"/>
      <c r="M557" s="337" t="s">
        <v>825</v>
      </c>
      <c r="N557" s="337" t="s">
        <v>781</v>
      </c>
      <c r="O557" s="337" t="e">
        <v>#N/A</v>
      </c>
      <c r="P557" s="337"/>
      <c r="Q557" s="337" t="s">
        <v>851</v>
      </c>
      <c r="R557" s="343">
        <v>-174.53</v>
      </c>
    </row>
    <row r="558" spans="1:18" x14ac:dyDescent="0.2">
      <c r="A558" s="342" t="s">
        <v>731</v>
      </c>
      <c r="B558" s="337" t="s">
        <v>789</v>
      </c>
      <c r="C558" s="337" t="s">
        <v>796</v>
      </c>
      <c r="D558" s="337" t="s">
        <v>729</v>
      </c>
      <c r="E558" s="337" t="s">
        <v>790</v>
      </c>
      <c r="F558" s="337" t="s">
        <v>771</v>
      </c>
      <c r="G558" s="337" t="s">
        <v>852</v>
      </c>
      <c r="H558" s="337" t="s">
        <v>853</v>
      </c>
      <c r="I558" s="337" t="s">
        <v>767</v>
      </c>
      <c r="J558" s="337" t="s">
        <v>765</v>
      </c>
      <c r="K558" s="337"/>
      <c r="L558" s="337"/>
      <c r="M558" s="337" t="s">
        <v>826</v>
      </c>
      <c r="N558" s="337" t="s">
        <v>758</v>
      </c>
      <c r="O558" s="337" t="e">
        <v>#N/A</v>
      </c>
      <c r="P558" s="337"/>
      <c r="Q558" s="337" t="s">
        <v>851</v>
      </c>
      <c r="R558" s="343">
        <v>-1084.33</v>
      </c>
    </row>
    <row r="559" spans="1:18" x14ac:dyDescent="0.2">
      <c r="A559" s="342" t="s">
        <v>728</v>
      </c>
      <c r="B559" s="337" t="s">
        <v>789</v>
      </c>
      <c r="C559" s="337" t="s">
        <v>796</v>
      </c>
      <c r="D559" s="337" t="s">
        <v>739</v>
      </c>
      <c r="E559" s="337" t="s">
        <v>790</v>
      </c>
      <c r="F559" s="337" t="s">
        <v>771</v>
      </c>
      <c r="G559" s="337" t="s">
        <v>852</v>
      </c>
      <c r="H559" s="337" t="s">
        <v>853</v>
      </c>
      <c r="I559" s="337" t="s">
        <v>767</v>
      </c>
      <c r="J559" s="337" t="s">
        <v>765</v>
      </c>
      <c r="K559" s="337"/>
      <c r="L559" s="337"/>
      <c r="M559" s="337" t="s">
        <v>801</v>
      </c>
      <c r="N559" s="337" t="s">
        <v>756</v>
      </c>
      <c r="O559" s="337" t="e">
        <v>#N/A</v>
      </c>
      <c r="P559" s="337"/>
      <c r="Q559" s="337" t="s">
        <v>854</v>
      </c>
      <c r="R559" s="343">
        <v>-2476.36</v>
      </c>
    </row>
    <row r="560" spans="1:18" x14ac:dyDescent="0.2">
      <c r="A560" s="342" t="s">
        <v>730</v>
      </c>
      <c r="B560" s="337" t="s">
        <v>789</v>
      </c>
      <c r="C560" s="337" t="s">
        <v>796</v>
      </c>
      <c r="D560" s="337" t="s">
        <v>739</v>
      </c>
      <c r="E560" s="337" t="s">
        <v>790</v>
      </c>
      <c r="F560" s="337" t="s">
        <v>771</v>
      </c>
      <c r="G560" s="337" t="s">
        <v>852</v>
      </c>
      <c r="H560" s="337" t="s">
        <v>853</v>
      </c>
      <c r="I560" s="337" t="s">
        <v>767</v>
      </c>
      <c r="J560" s="337" t="s">
        <v>765</v>
      </c>
      <c r="K560" s="337"/>
      <c r="L560" s="337"/>
      <c r="M560" s="337" t="s">
        <v>801</v>
      </c>
      <c r="N560" s="337" t="s">
        <v>756</v>
      </c>
      <c r="O560" s="337" t="e">
        <v>#N/A</v>
      </c>
      <c r="P560" s="337"/>
      <c r="Q560" s="337" t="s">
        <v>854</v>
      </c>
      <c r="R560" s="343">
        <v>-2476.36</v>
      </c>
    </row>
    <row r="561" spans="1:18" x14ac:dyDescent="0.2">
      <c r="A561" s="342" t="s">
        <v>731</v>
      </c>
      <c r="B561" s="337" t="s">
        <v>789</v>
      </c>
      <c r="C561" s="337" t="s">
        <v>796</v>
      </c>
      <c r="D561" s="337" t="s">
        <v>739</v>
      </c>
      <c r="E561" s="337" t="s">
        <v>790</v>
      </c>
      <c r="F561" s="337" t="s">
        <v>771</v>
      </c>
      <c r="G561" s="337" t="s">
        <v>852</v>
      </c>
      <c r="H561" s="337" t="s">
        <v>853</v>
      </c>
      <c r="I561" s="337" t="s">
        <v>767</v>
      </c>
      <c r="J561" s="337" t="s">
        <v>765</v>
      </c>
      <c r="K561" s="337"/>
      <c r="L561" s="337"/>
      <c r="M561" s="337" t="s">
        <v>801</v>
      </c>
      <c r="N561" s="337" t="s">
        <v>756</v>
      </c>
      <c r="O561" s="337" t="e">
        <v>#N/A</v>
      </c>
      <c r="P561" s="337"/>
      <c r="Q561" s="337" t="s">
        <v>854</v>
      </c>
      <c r="R561" s="343">
        <v>-2476.36</v>
      </c>
    </row>
    <row r="562" spans="1:18" x14ac:dyDescent="0.2">
      <c r="A562" s="342" t="s">
        <v>732</v>
      </c>
      <c r="B562" s="337" t="s">
        <v>789</v>
      </c>
      <c r="C562" s="337" t="s">
        <v>796</v>
      </c>
      <c r="D562" s="337" t="s">
        <v>739</v>
      </c>
      <c r="E562" s="337" t="s">
        <v>790</v>
      </c>
      <c r="F562" s="337" t="s">
        <v>771</v>
      </c>
      <c r="G562" s="337" t="s">
        <v>852</v>
      </c>
      <c r="H562" s="337" t="s">
        <v>853</v>
      </c>
      <c r="I562" s="337" t="s">
        <v>767</v>
      </c>
      <c r="J562" s="337" t="s">
        <v>765</v>
      </c>
      <c r="K562" s="337"/>
      <c r="L562" s="337"/>
      <c r="M562" s="337" t="s">
        <v>801</v>
      </c>
      <c r="N562" s="337" t="s">
        <v>756</v>
      </c>
      <c r="O562" s="337" t="e">
        <v>#N/A</v>
      </c>
      <c r="P562" s="337"/>
      <c r="Q562" s="337" t="s">
        <v>854</v>
      </c>
      <c r="R562" s="343">
        <v>-2481.71</v>
      </c>
    </row>
    <row r="563" spans="1:18" x14ac:dyDescent="0.2">
      <c r="A563" s="342" t="s">
        <v>726</v>
      </c>
      <c r="B563" s="337" t="s">
        <v>789</v>
      </c>
      <c r="C563" s="337" t="s">
        <v>796</v>
      </c>
      <c r="D563" s="337" t="s">
        <v>739</v>
      </c>
      <c r="E563" s="337" t="s">
        <v>790</v>
      </c>
      <c r="F563" s="337" t="s">
        <v>771</v>
      </c>
      <c r="G563" s="337" t="s">
        <v>852</v>
      </c>
      <c r="H563" s="337" t="s">
        <v>853</v>
      </c>
      <c r="I563" s="337" t="s">
        <v>767</v>
      </c>
      <c r="J563" s="337" t="s">
        <v>765</v>
      </c>
      <c r="K563" s="337"/>
      <c r="L563" s="337"/>
      <c r="M563" s="337" t="s">
        <v>801</v>
      </c>
      <c r="N563" s="337" t="s">
        <v>756</v>
      </c>
      <c r="O563" s="337" t="e">
        <v>#N/A</v>
      </c>
      <c r="P563" s="337"/>
      <c r="Q563" s="337" t="s">
        <v>854</v>
      </c>
      <c r="R563" s="343">
        <v>-2481.71</v>
      </c>
    </row>
    <row r="564" spans="1:18" x14ac:dyDescent="0.2">
      <c r="A564" s="342" t="s">
        <v>733</v>
      </c>
      <c r="B564" s="337" t="s">
        <v>789</v>
      </c>
      <c r="C564" s="337" t="s">
        <v>796</v>
      </c>
      <c r="D564" s="337" t="s">
        <v>739</v>
      </c>
      <c r="E564" s="337" t="s">
        <v>790</v>
      </c>
      <c r="F564" s="337" t="s">
        <v>771</v>
      </c>
      <c r="G564" s="337" t="s">
        <v>852</v>
      </c>
      <c r="H564" s="337" t="s">
        <v>853</v>
      </c>
      <c r="I564" s="337" t="s">
        <v>767</v>
      </c>
      <c r="J564" s="337" t="s">
        <v>765</v>
      </c>
      <c r="K564" s="337"/>
      <c r="L564" s="337"/>
      <c r="M564" s="337" t="s">
        <v>801</v>
      </c>
      <c r="N564" s="337" t="s">
        <v>756</v>
      </c>
      <c r="O564" s="337" t="e">
        <v>#N/A</v>
      </c>
      <c r="P564" s="337"/>
      <c r="Q564" s="337" t="s">
        <v>854</v>
      </c>
      <c r="R564" s="343">
        <v>-2481.71</v>
      </c>
    </row>
    <row r="565" spans="1:18" x14ac:dyDescent="0.2">
      <c r="A565" s="342" t="s">
        <v>734</v>
      </c>
      <c r="B565" s="337" t="s">
        <v>789</v>
      </c>
      <c r="C565" s="337" t="s">
        <v>796</v>
      </c>
      <c r="D565" s="337" t="s">
        <v>739</v>
      </c>
      <c r="E565" s="337" t="s">
        <v>790</v>
      </c>
      <c r="F565" s="337" t="s">
        <v>771</v>
      </c>
      <c r="G565" s="337" t="s">
        <v>852</v>
      </c>
      <c r="H565" s="337" t="s">
        <v>853</v>
      </c>
      <c r="I565" s="337" t="s">
        <v>767</v>
      </c>
      <c r="J565" s="337" t="s">
        <v>765</v>
      </c>
      <c r="K565" s="337"/>
      <c r="L565" s="337"/>
      <c r="M565" s="337" t="s">
        <v>801</v>
      </c>
      <c r="N565" s="337" t="s">
        <v>756</v>
      </c>
      <c r="O565" s="337" t="e">
        <v>#N/A</v>
      </c>
      <c r="P565" s="337"/>
      <c r="Q565" s="337" t="s">
        <v>854</v>
      </c>
      <c r="R565" s="343">
        <v>-2487.06</v>
      </c>
    </row>
    <row r="566" spans="1:18" x14ac:dyDescent="0.2">
      <c r="A566" s="342" t="s">
        <v>735</v>
      </c>
      <c r="B566" s="337" t="s">
        <v>789</v>
      </c>
      <c r="C566" s="337" t="s">
        <v>796</v>
      </c>
      <c r="D566" s="337" t="s">
        <v>739</v>
      </c>
      <c r="E566" s="337" t="s">
        <v>790</v>
      </c>
      <c r="F566" s="337" t="s">
        <v>771</v>
      </c>
      <c r="G566" s="337" t="s">
        <v>852</v>
      </c>
      <c r="H566" s="337" t="s">
        <v>853</v>
      </c>
      <c r="I566" s="337" t="s">
        <v>767</v>
      </c>
      <c r="J566" s="337" t="s">
        <v>765</v>
      </c>
      <c r="K566" s="337"/>
      <c r="L566" s="337"/>
      <c r="M566" s="337" t="s">
        <v>801</v>
      </c>
      <c r="N566" s="337" t="s">
        <v>756</v>
      </c>
      <c r="O566" s="337" t="e">
        <v>#N/A</v>
      </c>
      <c r="P566" s="337"/>
      <c r="Q566" s="337" t="s">
        <v>854</v>
      </c>
      <c r="R566" s="343">
        <v>-2487.06</v>
      </c>
    </row>
    <row r="567" spans="1:18" x14ac:dyDescent="0.2">
      <c r="A567" s="342" t="s">
        <v>736</v>
      </c>
      <c r="B567" s="337" t="s">
        <v>789</v>
      </c>
      <c r="C567" s="337" t="s">
        <v>796</v>
      </c>
      <c r="D567" s="337" t="s">
        <v>739</v>
      </c>
      <c r="E567" s="337" t="s">
        <v>790</v>
      </c>
      <c r="F567" s="337" t="s">
        <v>771</v>
      </c>
      <c r="G567" s="337" t="s">
        <v>852</v>
      </c>
      <c r="H567" s="337" t="s">
        <v>853</v>
      </c>
      <c r="I567" s="337" t="s">
        <v>767</v>
      </c>
      <c r="J567" s="337" t="s">
        <v>765</v>
      </c>
      <c r="K567" s="337"/>
      <c r="L567" s="337"/>
      <c r="M567" s="337" t="s">
        <v>801</v>
      </c>
      <c r="N567" s="337" t="s">
        <v>756</v>
      </c>
      <c r="O567" s="337" t="e">
        <v>#N/A</v>
      </c>
      <c r="P567" s="337"/>
      <c r="Q567" s="337" t="s">
        <v>854</v>
      </c>
      <c r="R567" s="343">
        <v>-2487.06</v>
      </c>
    </row>
    <row r="568" spans="1:18" x14ac:dyDescent="0.2">
      <c r="A568" s="342" t="s">
        <v>737</v>
      </c>
      <c r="B568" s="337" t="s">
        <v>789</v>
      </c>
      <c r="C568" s="337" t="s">
        <v>796</v>
      </c>
      <c r="D568" s="337" t="s">
        <v>739</v>
      </c>
      <c r="E568" s="337" t="s">
        <v>790</v>
      </c>
      <c r="F568" s="337" t="s">
        <v>771</v>
      </c>
      <c r="G568" s="337" t="s">
        <v>852</v>
      </c>
      <c r="H568" s="337" t="s">
        <v>853</v>
      </c>
      <c r="I568" s="337" t="s">
        <v>767</v>
      </c>
      <c r="J568" s="337" t="s">
        <v>765</v>
      </c>
      <c r="K568" s="337"/>
      <c r="L568" s="337"/>
      <c r="M568" s="337" t="s">
        <v>801</v>
      </c>
      <c r="N568" s="337" t="s">
        <v>756</v>
      </c>
      <c r="O568" s="337" t="e">
        <v>#N/A</v>
      </c>
      <c r="P568" s="337"/>
      <c r="Q568" s="337" t="s">
        <v>854</v>
      </c>
      <c r="R568" s="343">
        <v>-2510.2600000000002</v>
      </c>
    </row>
    <row r="569" spans="1:18" x14ac:dyDescent="0.2">
      <c r="A569" s="342" t="s">
        <v>738</v>
      </c>
      <c r="B569" s="337" t="s">
        <v>789</v>
      </c>
      <c r="C569" s="337" t="s">
        <v>796</v>
      </c>
      <c r="D569" s="337" t="s">
        <v>739</v>
      </c>
      <c r="E569" s="337" t="s">
        <v>790</v>
      </c>
      <c r="F569" s="337" t="s">
        <v>771</v>
      </c>
      <c r="G569" s="337" t="s">
        <v>852</v>
      </c>
      <c r="H569" s="337" t="s">
        <v>853</v>
      </c>
      <c r="I569" s="337" t="s">
        <v>767</v>
      </c>
      <c r="J569" s="337" t="s">
        <v>765</v>
      </c>
      <c r="K569" s="337"/>
      <c r="L569" s="337"/>
      <c r="M569" s="337" t="s">
        <v>801</v>
      </c>
      <c r="N569" s="337" t="s">
        <v>756</v>
      </c>
      <c r="O569" s="337" t="e">
        <v>#N/A</v>
      </c>
      <c r="P569" s="337"/>
      <c r="Q569" s="337" t="s">
        <v>854</v>
      </c>
      <c r="R569" s="343">
        <v>-2510.2600000000002</v>
      </c>
    </row>
    <row r="570" spans="1:18" x14ac:dyDescent="0.2">
      <c r="A570" s="342" t="s">
        <v>727</v>
      </c>
      <c r="B570" s="337" t="s">
        <v>789</v>
      </c>
      <c r="C570" s="337" t="s">
        <v>796</v>
      </c>
      <c r="D570" s="337" t="s">
        <v>739</v>
      </c>
      <c r="E570" s="337" t="s">
        <v>790</v>
      </c>
      <c r="F570" s="337" t="s">
        <v>771</v>
      </c>
      <c r="G570" s="337" t="s">
        <v>852</v>
      </c>
      <c r="H570" s="337" t="s">
        <v>853</v>
      </c>
      <c r="I570" s="337" t="s">
        <v>767</v>
      </c>
      <c r="J570" s="337" t="s">
        <v>765</v>
      </c>
      <c r="K570" s="337"/>
      <c r="L570" s="337"/>
      <c r="M570" s="337" t="s">
        <v>801</v>
      </c>
      <c r="N570" s="337" t="s">
        <v>756</v>
      </c>
      <c r="O570" s="337" t="e">
        <v>#N/A</v>
      </c>
      <c r="P570" s="337"/>
      <c r="Q570" s="337" t="s">
        <v>854</v>
      </c>
      <c r="R570" s="343">
        <v>-2510.2600000000002</v>
      </c>
    </row>
    <row r="571" spans="1:18" x14ac:dyDescent="0.2">
      <c r="A571" s="342" t="s">
        <v>728</v>
      </c>
      <c r="B571" s="337" t="s">
        <v>789</v>
      </c>
      <c r="C571" s="337" t="s">
        <v>796</v>
      </c>
      <c r="D571" s="337" t="s">
        <v>739</v>
      </c>
      <c r="E571" s="337" t="s">
        <v>790</v>
      </c>
      <c r="F571" s="337" t="s">
        <v>771</v>
      </c>
      <c r="G571" s="337" t="s">
        <v>852</v>
      </c>
      <c r="H571" s="337" t="s">
        <v>853</v>
      </c>
      <c r="I571" s="337" t="s">
        <v>767</v>
      </c>
      <c r="J571" s="337" t="s">
        <v>765</v>
      </c>
      <c r="K571" s="337"/>
      <c r="L571" s="337"/>
      <c r="M571" s="337" t="s">
        <v>801</v>
      </c>
      <c r="N571" s="337" t="s">
        <v>756</v>
      </c>
      <c r="O571" s="337" t="e">
        <v>#N/A</v>
      </c>
      <c r="P571" s="337"/>
      <c r="Q571" s="337" t="s">
        <v>834</v>
      </c>
      <c r="R571" s="343">
        <v>-1733.45</v>
      </c>
    </row>
    <row r="572" spans="1:18" x14ac:dyDescent="0.2">
      <c r="A572" s="342" t="s">
        <v>730</v>
      </c>
      <c r="B572" s="337" t="s">
        <v>789</v>
      </c>
      <c r="C572" s="337" t="s">
        <v>796</v>
      </c>
      <c r="D572" s="337" t="s">
        <v>739</v>
      </c>
      <c r="E572" s="337" t="s">
        <v>790</v>
      </c>
      <c r="F572" s="337" t="s">
        <v>771</v>
      </c>
      <c r="G572" s="337" t="s">
        <v>852</v>
      </c>
      <c r="H572" s="337" t="s">
        <v>853</v>
      </c>
      <c r="I572" s="337" t="s">
        <v>767</v>
      </c>
      <c r="J572" s="337" t="s">
        <v>765</v>
      </c>
      <c r="K572" s="337"/>
      <c r="L572" s="337"/>
      <c r="M572" s="337" t="s">
        <v>801</v>
      </c>
      <c r="N572" s="337" t="s">
        <v>756</v>
      </c>
      <c r="O572" s="337" t="e">
        <v>#N/A</v>
      </c>
      <c r="P572" s="337"/>
      <c r="Q572" s="337" t="s">
        <v>834</v>
      </c>
      <c r="R572" s="343">
        <v>-3219.27</v>
      </c>
    </row>
    <row r="573" spans="1:18" x14ac:dyDescent="0.2">
      <c r="A573" s="342" t="s">
        <v>731</v>
      </c>
      <c r="B573" s="337" t="s">
        <v>789</v>
      </c>
      <c r="C573" s="337" t="s">
        <v>796</v>
      </c>
      <c r="D573" s="337" t="s">
        <v>739</v>
      </c>
      <c r="E573" s="337" t="s">
        <v>790</v>
      </c>
      <c r="F573" s="337" t="s">
        <v>771</v>
      </c>
      <c r="G573" s="337" t="s">
        <v>852</v>
      </c>
      <c r="H573" s="337" t="s">
        <v>853</v>
      </c>
      <c r="I573" s="337" t="s">
        <v>767</v>
      </c>
      <c r="J573" s="337" t="s">
        <v>765</v>
      </c>
      <c r="K573" s="337"/>
      <c r="L573" s="337"/>
      <c r="M573" s="337" t="s">
        <v>801</v>
      </c>
      <c r="N573" s="337" t="s">
        <v>756</v>
      </c>
      <c r="O573" s="337" t="e">
        <v>#N/A</v>
      </c>
      <c r="P573" s="337"/>
      <c r="Q573" s="337" t="s">
        <v>834</v>
      </c>
      <c r="R573" s="343">
        <v>-2476.36</v>
      </c>
    </row>
    <row r="574" spans="1:18" x14ac:dyDescent="0.2">
      <c r="A574" s="342" t="s">
        <v>732</v>
      </c>
      <c r="B574" s="337" t="s">
        <v>789</v>
      </c>
      <c r="C574" s="337" t="s">
        <v>796</v>
      </c>
      <c r="D574" s="337" t="s">
        <v>739</v>
      </c>
      <c r="E574" s="337" t="s">
        <v>790</v>
      </c>
      <c r="F574" s="337" t="s">
        <v>771</v>
      </c>
      <c r="G574" s="337" t="s">
        <v>852</v>
      </c>
      <c r="H574" s="337" t="s">
        <v>853</v>
      </c>
      <c r="I574" s="337" t="s">
        <v>767</v>
      </c>
      <c r="J574" s="337" t="s">
        <v>765</v>
      </c>
      <c r="K574" s="337"/>
      <c r="L574" s="337"/>
      <c r="M574" s="337" t="s">
        <v>801</v>
      </c>
      <c r="N574" s="337" t="s">
        <v>756</v>
      </c>
      <c r="O574" s="337" t="e">
        <v>#N/A</v>
      </c>
      <c r="P574" s="337"/>
      <c r="Q574" s="337" t="s">
        <v>834</v>
      </c>
      <c r="R574" s="343">
        <v>-2481.71</v>
      </c>
    </row>
    <row r="575" spans="1:18" x14ac:dyDescent="0.2">
      <c r="A575" s="342" t="s">
        <v>726</v>
      </c>
      <c r="B575" s="337" t="s">
        <v>789</v>
      </c>
      <c r="C575" s="337" t="s">
        <v>796</v>
      </c>
      <c r="D575" s="337" t="s">
        <v>739</v>
      </c>
      <c r="E575" s="337" t="s">
        <v>790</v>
      </c>
      <c r="F575" s="337" t="s">
        <v>771</v>
      </c>
      <c r="G575" s="337" t="s">
        <v>852</v>
      </c>
      <c r="H575" s="337" t="s">
        <v>853</v>
      </c>
      <c r="I575" s="337" t="s">
        <v>767</v>
      </c>
      <c r="J575" s="337" t="s">
        <v>765</v>
      </c>
      <c r="K575" s="337"/>
      <c r="L575" s="337"/>
      <c r="M575" s="337" t="s">
        <v>801</v>
      </c>
      <c r="N575" s="337" t="s">
        <v>756</v>
      </c>
      <c r="O575" s="337" t="e">
        <v>#N/A</v>
      </c>
      <c r="P575" s="337"/>
      <c r="Q575" s="337" t="s">
        <v>834</v>
      </c>
      <c r="R575" s="343">
        <v>-2481.71</v>
      </c>
    </row>
    <row r="576" spans="1:18" x14ac:dyDescent="0.2">
      <c r="A576" s="342" t="s">
        <v>733</v>
      </c>
      <c r="B576" s="337" t="s">
        <v>789</v>
      </c>
      <c r="C576" s="337" t="s">
        <v>796</v>
      </c>
      <c r="D576" s="337" t="s">
        <v>739</v>
      </c>
      <c r="E576" s="337" t="s">
        <v>790</v>
      </c>
      <c r="F576" s="337" t="s">
        <v>771</v>
      </c>
      <c r="G576" s="337" t="s">
        <v>852</v>
      </c>
      <c r="H576" s="337" t="s">
        <v>853</v>
      </c>
      <c r="I576" s="337" t="s">
        <v>767</v>
      </c>
      <c r="J576" s="337" t="s">
        <v>765</v>
      </c>
      <c r="K576" s="337"/>
      <c r="L576" s="337"/>
      <c r="M576" s="337" t="s">
        <v>801</v>
      </c>
      <c r="N576" s="337" t="s">
        <v>756</v>
      </c>
      <c r="O576" s="337" t="e">
        <v>#N/A</v>
      </c>
      <c r="P576" s="337"/>
      <c r="Q576" s="337" t="s">
        <v>834</v>
      </c>
      <c r="R576" s="343">
        <v>-2481.71</v>
      </c>
    </row>
    <row r="577" spans="1:18" x14ac:dyDescent="0.2">
      <c r="A577" s="342" t="s">
        <v>734</v>
      </c>
      <c r="B577" s="337" t="s">
        <v>789</v>
      </c>
      <c r="C577" s="337" t="s">
        <v>796</v>
      </c>
      <c r="D577" s="337" t="s">
        <v>739</v>
      </c>
      <c r="E577" s="337" t="s">
        <v>790</v>
      </c>
      <c r="F577" s="337" t="s">
        <v>771</v>
      </c>
      <c r="G577" s="337" t="s">
        <v>852</v>
      </c>
      <c r="H577" s="337" t="s">
        <v>853</v>
      </c>
      <c r="I577" s="337" t="s">
        <v>767</v>
      </c>
      <c r="J577" s="337" t="s">
        <v>765</v>
      </c>
      <c r="K577" s="337"/>
      <c r="L577" s="337"/>
      <c r="M577" s="337" t="s">
        <v>801</v>
      </c>
      <c r="N577" s="337" t="s">
        <v>756</v>
      </c>
      <c r="O577" s="337" t="e">
        <v>#N/A</v>
      </c>
      <c r="P577" s="337"/>
      <c r="Q577" s="337" t="s">
        <v>834</v>
      </c>
      <c r="R577" s="343">
        <v>0</v>
      </c>
    </row>
    <row r="578" spans="1:18" x14ac:dyDescent="0.2">
      <c r="A578" s="342" t="s">
        <v>738</v>
      </c>
      <c r="B578" s="337" t="s">
        <v>789</v>
      </c>
      <c r="C578" s="337" t="s">
        <v>796</v>
      </c>
      <c r="D578" s="337" t="s">
        <v>739</v>
      </c>
      <c r="E578" s="337" t="s">
        <v>790</v>
      </c>
      <c r="F578" s="337" t="s">
        <v>771</v>
      </c>
      <c r="G578" s="337" t="s">
        <v>852</v>
      </c>
      <c r="H578" s="337" t="s">
        <v>853</v>
      </c>
      <c r="I578" s="337" t="s">
        <v>767</v>
      </c>
      <c r="J578" s="337" t="s">
        <v>765</v>
      </c>
      <c r="K578" s="337"/>
      <c r="L578" s="337"/>
      <c r="M578" s="337" t="s">
        <v>801</v>
      </c>
      <c r="N578" s="337" t="s">
        <v>756</v>
      </c>
      <c r="O578" s="337" t="e">
        <v>#N/A</v>
      </c>
      <c r="P578" s="337"/>
      <c r="Q578" s="337" t="s">
        <v>834</v>
      </c>
      <c r="R578" s="343">
        <v>-2510.2600000000002</v>
      </c>
    </row>
    <row r="579" spans="1:18" x14ac:dyDescent="0.2">
      <c r="A579" s="342" t="s">
        <v>727</v>
      </c>
      <c r="B579" s="337" t="s">
        <v>789</v>
      </c>
      <c r="C579" s="337" t="s">
        <v>796</v>
      </c>
      <c r="D579" s="337" t="s">
        <v>739</v>
      </c>
      <c r="E579" s="337" t="s">
        <v>790</v>
      </c>
      <c r="F579" s="337" t="s">
        <v>771</v>
      </c>
      <c r="G579" s="337" t="s">
        <v>852</v>
      </c>
      <c r="H579" s="337" t="s">
        <v>853</v>
      </c>
      <c r="I579" s="337" t="s">
        <v>767</v>
      </c>
      <c r="J579" s="337" t="s">
        <v>765</v>
      </c>
      <c r="K579" s="337"/>
      <c r="L579" s="337"/>
      <c r="M579" s="337" t="s">
        <v>801</v>
      </c>
      <c r="N579" s="337" t="s">
        <v>756</v>
      </c>
      <c r="O579" s="337" t="e">
        <v>#N/A</v>
      </c>
      <c r="P579" s="337"/>
      <c r="Q579" s="337" t="s">
        <v>834</v>
      </c>
      <c r="R579" s="343">
        <v>0</v>
      </c>
    </row>
    <row r="580" spans="1:18" x14ac:dyDescent="0.2">
      <c r="A580" s="342" t="s">
        <v>728</v>
      </c>
      <c r="B580" s="337" t="s">
        <v>789</v>
      </c>
      <c r="C580" s="337" t="s">
        <v>796</v>
      </c>
      <c r="D580" s="337" t="s">
        <v>739</v>
      </c>
      <c r="E580" s="337" t="s">
        <v>790</v>
      </c>
      <c r="F580" s="337" t="s">
        <v>771</v>
      </c>
      <c r="G580" s="337" t="s">
        <v>852</v>
      </c>
      <c r="H580" s="337" t="s">
        <v>853</v>
      </c>
      <c r="I580" s="337" t="s">
        <v>767</v>
      </c>
      <c r="J580" s="337" t="s">
        <v>765</v>
      </c>
      <c r="K580" s="337"/>
      <c r="L580" s="337"/>
      <c r="M580" s="337" t="s">
        <v>801</v>
      </c>
      <c r="N580" s="337" t="s">
        <v>756</v>
      </c>
      <c r="O580" s="337" t="e">
        <v>#N/A</v>
      </c>
      <c r="P580" s="337"/>
      <c r="Q580" s="337" t="s">
        <v>835</v>
      </c>
      <c r="R580" s="343">
        <v>-371323.5</v>
      </c>
    </row>
    <row r="581" spans="1:18" x14ac:dyDescent="0.2">
      <c r="A581" s="342" t="s">
        <v>732</v>
      </c>
      <c r="B581" s="337" t="s">
        <v>789</v>
      </c>
      <c r="C581" s="337" t="s">
        <v>796</v>
      </c>
      <c r="D581" s="337" t="s">
        <v>739</v>
      </c>
      <c r="E581" s="337" t="s">
        <v>790</v>
      </c>
      <c r="F581" s="337" t="s">
        <v>771</v>
      </c>
      <c r="G581" s="337" t="s">
        <v>852</v>
      </c>
      <c r="H581" s="337" t="s">
        <v>853</v>
      </c>
      <c r="I581" s="337" t="s">
        <v>767</v>
      </c>
      <c r="J581" s="337" t="s">
        <v>765</v>
      </c>
      <c r="K581" s="337"/>
      <c r="L581" s="337"/>
      <c r="M581" s="337" t="s">
        <v>801</v>
      </c>
      <c r="N581" s="337" t="s">
        <v>756</v>
      </c>
      <c r="O581" s="337" t="e">
        <v>#N/A</v>
      </c>
      <c r="P581" s="337"/>
      <c r="Q581" s="337" t="s">
        <v>835</v>
      </c>
      <c r="R581" s="343">
        <v>-535867.49</v>
      </c>
    </row>
    <row r="582" spans="1:18" x14ac:dyDescent="0.2">
      <c r="A582" s="342" t="s">
        <v>733</v>
      </c>
      <c r="B582" s="337" t="s">
        <v>789</v>
      </c>
      <c r="C582" s="337" t="s">
        <v>796</v>
      </c>
      <c r="D582" s="337" t="s">
        <v>739</v>
      </c>
      <c r="E582" s="337" t="s">
        <v>790</v>
      </c>
      <c r="F582" s="337" t="s">
        <v>771</v>
      </c>
      <c r="G582" s="337" t="s">
        <v>852</v>
      </c>
      <c r="H582" s="337" t="s">
        <v>853</v>
      </c>
      <c r="I582" s="337" t="s">
        <v>767</v>
      </c>
      <c r="J582" s="337" t="s">
        <v>765</v>
      </c>
      <c r="K582" s="337"/>
      <c r="L582" s="337"/>
      <c r="M582" s="337" t="s">
        <v>801</v>
      </c>
      <c r="N582" s="337" t="s">
        <v>756</v>
      </c>
      <c r="O582" s="337" t="e">
        <v>#N/A</v>
      </c>
      <c r="P582" s="337"/>
      <c r="Q582" s="337" t="s">
        <v>835</v>
      </c>
      <c r="R582" s="343">
        <v>-537025.9</v>
      </c>
    </row>
    <row r="583" spans="1:18" x14ac:dyDescent="0.2">
      <c r="A583" s="342" t="s">
        <v>734</v>
      </c>
      <c r="B583" s="337" t="s">
        <v>789</v>
      </c>
      <c r="C583" s="337" t="s">
        <v>796</v>
      </c>
      <c r="D583" s="337" t="s">
        <v>739</v>
      </c>
      <c r="E583" s="337" t="s">
        <v>790</v>
      </c>
      <c r="F583" s="337" t="s">
        <v>771</v>
      </c>
      <c r="G583" s="337" t="s">
        <v>852</v>
      </c>
      <c r="H583" s="337" t="s">
        <v>853</v>
      </c>
      <c r="I583" s="337" t="s">
        <v>767</v>
      </c>
      <c r="J583" s="337" t="s">
        <v>765</v>
      </c>
      <c r="K583" s="337"/>
      <c r="L583" s="337"/>
      <c r="M583" s="337" t="s">
        <v>801</v>
      </c>
      <c r="N583" s="337" t="s">
        <v>756</v>
      </c>
      <c r="O583" s="337" t="e">
        <v>#N/A</v>
      </c>
      <c r="P583" s="337"/>
      <c r="Q583" s="337" t="s">
        <v>835</v>
      </c>
      <c r="R583" s="343">
        <v>-554926.76</v>
      </c>
    </row>
    <row r="584" spans="1:18" x14ac:dyDescent="0.2">
      <c r="A584" s="342" t="s">
        <v>735</v>
      </c>
      <c r="B584" s="337" t="s">
        <v>789</v>
      </c>
      <c r="C584" s="337" t="s">
        <v>796</v>
      </c>
      <c r="D584" s="337" t="s">
        <v>739</v>
      </c>
      <c r="E584" s="337" t="s">
        <v>790</v>
      </c>
      <c r="F584" s="337" t="s">
        <v>771</v>
      </c>
      <c r="G584" s="337" t="s">
        <v>852</v>
      </c>
      <c r="H584" s="337" t="s">
        <v>853</v>
      </c>
      <c r="I584" s="337" t="s">
        <v>767</v>
      </c>
      <c r="J584" s="337" t="s">
        <v>765</v>
      </c>
      <c r="K584" s="337"/>
      <c r="L584" s="337"/>
      <c r="M584" s="337" t="s">
        <v>801</v>
      </c>
      <c r="N584" s="337" t="s">
        <v>756</v>
      </c>
      <c r="O584" s="337" t="e">
        <v>#N/A</v>
      </c>
      <c r="P584" s="337"/>
      <c r="Q584" s="337" t="s">
        <v>835</v>
      </c>
      <c r="R584" s="343">
        <v>-556123.78</v>
      </c>
    </row>
    <row r="585" spans="1:18" x14ac:dyDescent="0.2">
      <c r="A585" s="342" t="s">
        <v>736</v>
      </c>
      <c r="B585" s="337" t="s">
        <v>789</v>
      </c>
      <c r="C585" s="337" t="s">
        <v>796</v>
      </c>
      <c r="D585" s="337" t="s">
        <v>739</v>
      </c>
      <c r="E585" s="337" t="s">
        <v>790</v>
      </c>
      <c r="F585" s="337" t="s">
        <v>771</v>
      </c>
      <c r="G585" s="337" t="s">
        <v>852</v>
      </c>
      <c r="H585" s="337" t="s">
        <v>853</v>
      </c>
      <c r="I585" s="337" t="s">
        <v>767</v>
      </c>
      <c r="J585" s="337" t="s">
        <v>765</v>
      </c>
      <c r="K585" s="337"/>
      <c r="L585" s="337"/>
      <c r="M585" s="337" t="s">
        <v>801</v>
      </c>
      <c r="N585" s="337" t="s">
        <v>756</v>
      </c>
      <c r="O585" s="337" t="e">
        <v>#N/A</v>
      </c>
      <c r="P585" s="337"/>
      <c r="Q585" s="337" t="s">
        <v>835</v>
      </c>
      <c r="R585" s="343">
        <v>-502305.35</v>
      </c>
    </row>
    <row r="586" spans="1:18" x14ac:dyDescent="0.2">
      <c r="A586" s="342" t="s">
        <v>737</v>
      </c>
      <c r="B586" s="337" t="s">
        <v>789</v>
      </c>
      <c r="C586" s="337" t="s">
        <v>796</v>
      </c>
      <c r="D586" s="337" t="s">
        <v>739</v>
      </c>
      <c r="E586" s="337" t="s">
        <v>790</v>
      </c>
      <c r="F586" s="337" t="s">
        <v>771</v>
      </c>
      <c r="G586" s="337" t="s">
        <v>852</v>
      </c>
      <c r="H586" s="337" t="s">
        <v>853</v>
      </c>
      <c r="I586" s="337" t="s">
        <v>767</v>
      </c>
      <c r="J586" s="337" t="s">
        <v>765</v>
      </c>
      <c r="K586" s="337"/>
      <c r="L586" s="337"/>
      <c r="M586" s="337" t="s">
        <v>801</v>
      </c>
      <c r="N586" s="337" t="s">
        <v>756</v>
      </c>
      <c r="O586" s="337" t="e">
        <v>#N/A</v>
      </c>
      <c r="P586" s="337"/>
      <c r="Q586" s="337" t="s">
        <v>835</v>
      </c>
      <c r="R586" s="343">
        <v>-556123.78</v>
      </c>
    </row>
    <row r="587" spans="1:18" x14ac:dyDescent="0.2">
      <c r="A587" s="342" t="s">
        <v>738</v>
      </c>
      <c r="B587" s="337" t="s">
        <v>789</v>
      </c>
      <c r="C587" s="337" t="s">
        <v>796</v>
      </c>
      <c r="D587" s="337" t="s">
        <v>739</v>
      </c>
      <c r="E587" s="337" t="s">
        <v>790</v>
      </c>
      <c r="F587" s="337" t="s">
        <v>771</v>
      </c>
      <c r="G587" s="337" t="s">
        <v>852</v>
      </c>
      <c r="H587" s="337" t="s">
        <v>853</v>
      </c>
      <c r="I587" s="337" t="s">
        <v>767</v>
      </c>
      <c r="J587" s="337" t="s">
        <v>765</v>
      </c>
      <c r="K587" s="337"/>
      <c r="L587" s="337"/>
      <c r="M587" s="337" t="s">
        <v>801</v>
      </c>
      <c r="N587" s="337" t="s">
        <v>756</v>
      </c>
      <c r="O587" s="337" t="e">
        <v>#N/A</v>
      </c>
      <c r="P587" s="337"/>
      <c r="Q587" s="337" t="s">
        <v>835</v>
      </c>
      <c r="R587" s="343">
        <v>-203782.23</v>
      </c>
    </row>
    <row r="588" spans="1:18" x14ac:dyDescent="0.2">
      <c r="A588" s="342" t="s">
        <v>727</v>
      </c>
      <c r="B588" s="337" t="s">
        <v>789</v>
      </c>
      <c r="C588" s="337" t="s">
        <v>796</v>
      </c>
      <c r="D588" s="337" t="s">
        <v>739</v>
      </c>
      <c r="E588" s="337" t="s">
        <v>790</v>
      </c>
      <c r="F588" s="337" t="s">
        <v>771</v>
      </c>
      <c r="G588" s="337" t="s">
        <v>852</v>
      </c>
      <c r="H588" s="337" t="s">
        <v>853</v>
      </c>
      <c r="I588" s="337" t="s">
        <v>767</v>
      </c>
      <c r="J588" s="337" t="s">
        <v>765</v>
      </c>
      <c r="K588" s="337"/>
      <c r="L588" s="337"/>
      <c r="M588" s="337" t="s">
        <v>801</v>
      </c>
      <c r="N588" s="337" t="s">
        <v>756</v>
      </c>
      <c r="O588" s="337" t="e">
        <v>#N/A</v>
      </c>
      <c r="P588" s="337"/>
      <c r="Q588" s="337" t="s">
        <v>835</v>
      </c>
      <c r="R588" s="343">
        <v>-382513.53</v>
      </c>
    </row>
    <row r="589" spans="1:18" x14ac:dyDescent="0.2">
      <c r="A589" s="342" t="s">
        <v>728</v>
      </c>
      <c r="B589" s="337" t="s">
        <v>789</v>
      </c>
      <c r="C589" s="337" t="s">
        <v>796</v>
      </c>
      <c r="D589" s="337" t="s">
        <v>739</v>
      </c>
      <c r="E589" s="337" t="s">
        <v>790</v>
      </c>
      <c r="F589" s="337" t="s">
        <v>771</v>
      </c>
      <c r="G589" s="337" t="s">
        <v>852</v>
      </c>
      <c r="H589" s="337" t="s">
        <v>853</v>
      </c>
      <c r="I589" s="337" t="s">
        <v>767</v>
      </c>
      <c r="J589" s="337" t="s">
        <v>765</v>
      </c>
      <c r="K589" s="337"/>
      <c r="L589" s="337"/>
      <c r="M589" s="337" t="s">
        <v>801</v>
      </c>
      <c r="N589" s="337" t="s">
        <v>756</v>
      </c>
      <c r="O589" s="337" t="e">
        <v>#N/A</v>
      </c>
      <c r="P589" s="337"/>
      <c r="Q589" s="337" t="s">
        <v>836</v>
      </c>
      <c r="R589" s="343">
        <v>-1733.45</v>
      </c>
    </row>
    <row r="590" spans="1:18" x14ac:dyDescent="0.2">
      <c r="A590" s="342" t="s">
        <v>730</v>
      </c>
      <c r="B590" s="337" t="s">
        <v>789</v>
      </c>
      <c r="C590" s="337" t="s">
        <v>796</v>
      </c>
      <c r="D590" s="337" t="s">
        <v>739</v>
      </c>
      <c r="E590" s="337" t="s">
        <v>790</v>
      </c>
      <c r="F590" s="337" t="s">
        <v>771</v>
      </c>
      <c r="G590" s="337" t="s">
        <v>852</v>
      </c>
      <c r="H590" s="337" t="s">
        <v>853</v>
      </c>
      <c r="I590" s="337" t="s">
        <v>767</v>
      </c>
      <c r="J590" s="337" t="s">
        <v>765</v>
      </c>
      <c r="K590" s="337"/>
      <c r="L590" s="337"/>
      <c r="M590" s="337" t="s">
        <v>801</v>
      </c>
      <c r="N590" s="337" t="s">
        <v>756</v>
      </c>
      <c r="O590" s="337" t="e">
        <v>#N/A</v>
      </c>
      <c r="P590" s="337"/>
      <c r="Q590" s="337" t="s">
        <v>836</v>
      </c>
      <c r="R590" s="343">
        <v>-3219.27</v>
      </c>
    </row>
    <row r="591" spans="1:18" x14ac:dyDescent="0.2">
      <c r="A591" s="342" t="s">
        <v>731</v>
      </c>
      <c r="B591" s="337" t="s">
        <v>789</v>
      </c>
      <c r="C591" s="337" t="s">
        <v>796</v>
      </c>
      <c r="D591" s="337" t="s">
        <v>739</v>
      </c>
      <c r="E591" s="337" t="s">
        <v>790</v>
      </c>
      <c r="F591" s="337" t="s">
        <v>771</v>
      </c>
      <c r="G591" s="337" t="s">
        <v>852</v>
      </c>
      <c r="H591" s="337" t="s">
        <v>853</v>
      </c>
      <c r="I591" s="337" t="s">
        <v>767</v>
      </c>
      <c r="J591" s="337" t="s">
        <v>765</v>
      </c>
      <c r="K591" s="337"/>
      <c r="L591" s="337"/>
      <c r="M591" s="337" t="s">
        <v>801</v>
      </c>
      <c r="N591" s="337" t="s">
        <v>756</v>
      </c>
      <c r="O591" s="337" t="e">
        <v>#N/A</v>
      </c>
      <c r="P591" s="337"/>
      <c r="Q591" s="337" t="s">
        <v>836</v>
      </c>
      <c r="R591" s="343">
        <v>-2476.36</v>
      </c>
    </row>
    <row r="592" spans="1:18" x14ac:dyDescent="0.2">
      <c r="A592" s="342" t="s">
        <v>732</v>
      </c>
      <c r="B592" s="337" t="s">
        <v>789</v>
      </c>
      <c r="C592" s="337" t="s">
        <v>796</v>
      </c>
      <c r="D592" s="337" t="s">
        <v>739</v>
      </c>
      <c r="E592" s="337" t="s">
        <v>790</v>
      </c>
      <c r="F592" s="337" t="s">
        <v>771</v>
      </c>
      <c r="G592" s="337" t="s">
        <v>852</v>
      </c>
      <c r="H592" s="337" t="s">
        <v>853</v>
      </c>
      <c r="I592" s="337" t="s">
        <v>767</v>
      </c>
      <c r="J592" s="337" t="s">
        <v>765</v>
      </c>
      <c r="K592" s="337"/>
      <c r="L592" s="337"/>
      <c r="M592" s="337" t="s">
        <v>801</v>
      </c>
      <c r="N592" s="337" t="s">
        <v>756</v>
      </c>
      <c r="O592" s="337" t="e">
        <v>#N/A</v>
      </c>
      <c r="P592" s="337"/>
      <c r="Q592" s="337" t="s">
        <v>836</v>
      </c>
      <c r="R592" s="343">
        <v>-2481.71</v>
      </c>
    </row>
    <row r="593" spans="1:18" x14ac:dyDescent="0.2">
      <c r="A593" s="342" t="s">
        <v>726</v>
      </c>
      <c r="B593" s="337" t="s">
        <v>789</v>
      </c>
      <c r="C593" s="337" t="s">
        <v>796</v>
      </c>
      <c r="D593" s="337" t="s">
        <v>739</v>
      </c>
      <c r="E593" s="337" t="s">
        <v>790</v>
      </c>
      <c r="F593" s="337" t="s">
        <v>771</v>
      </c>
      <c r="G593" s="337" t="s">
        <v>852</v>
      </c>
      <c r="H593" s="337" t="s">
        <v>853</v>
      </c>
      <c r="I593" s="337" t="s">
        <v>767</v>
      </c>
      <c r="J593" s="337" t="s">
        <v>765</v>
      </c>
      <c r="K593" s="337"/>
      <c r="L593" s="337"/>
      <c r="M593" s="337" t="s">
        <v>801</v>
      </c>
      <c r="N593" s="337" t="s">
        <v>756</v>
      </c>
      <c r="O593" s="337" t="e">
        <v>#N/A</v>
      </c>
      <c r="P593" s="337"/>
      <c r="Q593" s="337" t="s">
        <v>836</v>
      </c>
      <c r="R593" s="343">
        <v>-2481.71</v>
      </c>
    </row>
    <row r="594" spans="1:18" x14ac:dyDescent="0.2">
      <c r="A594" s="342" t="s">
        <v>733</v>
      </c>
      <c r="B594" s="337" t="s">
        <v>789</v>
      </c>
      <c r="C594" s="337" t="s">
        <v>796</v>
      </c>
      <c r="D594" s="337" t="s">
        <v>739</v>
      </c>
      <c r="E594" s="337" t="s">
        <v>790</v>
      </c>
      <c r="F594" s="337" t="s">
        <v>771</v>
      </c>
      <c r="G594" s="337" t="s">
        <v>852</v>
      </c>
      <c r="H594" s="337" t="s">
        <v>853</v>
      </c>
      <c r="I594" s="337" t="s">
        <v>767</v>
      </c>
      <c r="J594" s="337" t="s">
        <v>765</v>
      </c>
      <c r="K594" s="337"/>
      <c r="L594" s="337"/>
      <c r="M594" s="337" t="s">
        <v>801</v>
      </c>
      <c r="N594" s="337" t="s">
        <v>756</v>
      </c>
      <c r="O594" s="337" t="e">
        <v>#N/A</v>
      </c>
      <c r="P594" s="337"/>
      <c r="Q594" s="337" t="s">
        <v>836</v>
      </c>
      <c r="R594" s="343">
        <v>-2481.71</v>
      </c>
    </row>
    <row r="595" spans="1:18" x14ac:dyDescent="0.2">
      <c r="A595" s="342" t="s">
        <v>734</v>
      </c>
      <c r="B595" s="337" t="s">
        <v>789</v>
      </c>
      <c r="C595" s="337" t="s">
        <v>796</v>
      </c>
      <c r="D595" s="337" t="s">
        <v>739</v>
      </c>
      <c r="E595" s="337" t="s">
        <v>790</v>
      </c>
      <c r="F595" s="337" t="s">
        <v>771</v>
      </c>
      <c r="G595" s="337" t="s">
        <v>852</v>
      </c>
      <c r="H595" s="337" t="s">
        <v>853</v>
      </c>
      <c r="I595" s="337" t="s">
        <v>767</v>
      </c>
      <c r="J595" s="337" t="s">
        <v>765</v>
      </c>
      <c r="K595" s="337"/>
      <c r="L595" s="337"/>
      <c r="M595" s="337" t="s">
        <v>801</v>
      </c>
      <c r="N595" s="337" t="s">
        <v>756</v>
      </c>
      <c r="O595" s="337" t="e">
        <v>#N/A</v>
      </c>
      <c r="P595" s="337"/>
      <c r="Q595" s="337" t="s">
        <v>836</v>
      </c>
      <c r="R595" s="343">
        <v>-2487.06</v>
      </c>
    </row>
    <row r="596" spans="1:18" x14ac:dyDescent="0.2">
      <c r="A596" s="342" t="s">
        <v>735</v>
      </c>
      <c r="B596" s="337" t="s">
        <v>789</v>
      </c>
      <c r="C596" s="337" t="s">
        <v>796</v>
      </c>
      <c r="D596" s="337" t="s">
        <v>739</v>
      </c>
      <c r="E596" s="337" t="s">
        <v>790</v>
      </c>
      <c r="F596" s="337" t="s">
        <v>771</v>
      </c>
      <c r="G596" s="337" t="s">
        <v>852</v>
      </c>
      <c r="H596" s="337" t="s">
        <v>853</v>
      </c>
      <c r="I596" s="337" t="s">
        <v>767</v>
      </c>
      <c r="J596" s="337" t="s">
        <v>765</v>
      </c>
      <c r="K596" s="337"/>
      <c r="L596" s="337"/>
      <c r="M596" s="337" t="s">
        <v>801</v>
      </c>
      <c r="N596" s="337" t="s">
        <v>756</v>
      </c>
      <c r="O596" s="337" t="e">
        <v>#N/A</v>
      </c>
      <c r="P596" s="337"/>
      <c r="Q596" s="337" t="s">
        <v>836</v>
      </c>
      <c r="R596" s="343">
        <v>-2487.06</v>
      </c>
    </row>
    <row r="597" spans="1:18" x14ac:dyDescent="0.2">
      <c r="A597" s="342" t="s">
        <v>736</v>
      </c>
      <c r="B597" s="337" t="s">
        <v>789</v>
      </c>
      <c r="C597" s="337" t="s">
        <v>796</v>
      </c>
      <c r="D597" s="337" t="s">
        <v>739</v>
      </c>
      <c r="E597" s="337" t="s">
        <v>790</v>
      </c>
      <c r="F597" s="337" t="s">
        <v>771</v>
      </c>
      <c r="G597" s="337" t="s">
        <v>852</v>
      </c>
      <c r="H597" s="337" t="s">
        <v>853</v>
      </c>
      <c r="I597" s="337" t="s">
        <v>767</v>
      </c>
      <c r="J597" s="337" t="s">
        <v>765</v>
      </c>
      <c r="K597" s="337"/>
      <c r="L597" s="337"/>
      <c r="M597" s="337" t="s">
        <v>801</v>
      </c>
      <c r="N597" s="337" t="s">
        <v>756</v>
      </c>
      <c r="O597" s="337" t="e">
        <v>#N/A</v>
      </c>
      <c r="P597" s="337"/>
      <c r="Q597" s="337" t="s">
        <v>836</v>
      </c>
      <c r="R597" s="343">
        <v>-2487.06</v>
      </c>
    </row>
    <row r="598" spans="1:18" x14ac:dyDescent="0.2">
      <c r="A598" s="342" t="s">
        <v>737</v>
      </c>
      <c r="B598" s="337" t="s">
        <v>789</v>
      </c>
      <c r="C598" s="337" t="s">
        <v>796</v>
      </c>
      <c r="D598" s="337" t="s">
        <v>739</v>
      </c>
      <c r="E598" s="337" t="s">
        <v>790</v>
      </c>
      <c r="F598" s="337" t="s">
        <v>771</v>
      </c>
      <c r="G598" s="337" t="s">
        <v>852</v>
      </c>
      <c r="H598" s="337" t="s">
        <v>853</v>
      </c>
      <c r="I598" s="337" t="s">
        <v>767</v>
      </c>
      <c r="J598" s="337" t="s">
        <v>765</v>
      </c>
      <c r="K598" s="337"/>
      <c r="L598" s="337"/>
      <c r="M598" s="337" t="s">
        <v>801</v>
      </c>
      <c r="N598" s="337" t="s">
        <v>756</v>
      </c>
      <c r="O598" s="337" t="e">
        <v>#N/A</v>
      </c>
      <c r="P598" s="337"/>
      <c r="Q598" s="337" t="s">
        <v>836</v>
      </c>
      <c r="R598" s="343">
        <v>-2510.2600000000002</v>
      </c>
    </row>
    <row r="599" spans="1:18" x14ac:dyDescent="0.2">
      <c r="A599" s="342" t="s">
        <v>738</v>
      </c>
      <c r="B599" s="337" t="s">
        <v>789</v>
      </c>
      <c r="C599" s="337" t="s">
        <v>796</v>
      </c>
      <c r="D599" s="337" t="s">
        <v>739</v>
      </c>
      <c r="E599" s="337" t="s">
        <v>790</v>
      </c>
      <c r="F599" s="337" t="s">
        <v>771</v>
      </c>
      <c r="G599" s="337" t="s">
        <v>852</v>
      </c>
      <c r="H599" s="337" t="s">
        <v>853</v>
      </c>
      <c r="I599" s="337" t="s">
        <v>767</v>
      </c>
      <c r="J599" s="337" t="s">
        <v>765</v>
      </c>
      <c r="K599" s="337"/>
      <c r="L599" s="337"/>
      <c r="M599" s="337" t="s">
        <v>801</v>
      </c>
      <c r="N599" s="337" t="s">
        <v>756</v>
      </c>
      <c r="O599" s="337" t="e">
        <v>#N/A</v>
      </c>
      <c r="P599" s="337"/>
      <c r="Q599" s="337" t="s">
        <v>836</v>
      </c>
      <c r="R599" s="343">
        <v>-2510.2600000000002</v>
      </c>
    </row>
    <row r="600" spans="1:18" x14ac:dyDescent="0.2">
      <c r="A600" s="342" t="s">
        <v>727</v>
      </c>
      <c r="B600" s="337" t="s">
        <v>789</v>
      </c>
      <c r="C600" s="337" t="s">
        <v>796</v>
      </c>
      <c r="D600" s="337" t="s">
        <v>739</v>
      </c>
      <c r="E600" s="337" t="s">
        <v>790</v>
      </c>
      <c r="F600" s="337" t="s">
        <v>771</v>
      </c>
      <c r="G600" s="337" t="s">
        <v>852</v>
      </c>
      <c r="H600" s="337" t="s">
        <v>853</v>
      </c>
      <c r="I600" s="337" t="s">
        <v>767</v>
      </c>
      <c r="J600" s="337" t="s">
        <v>765</v>
      </c>
      <c r="K600" s="337"/>
      <c r="L600" s="337"/>
      <c r="M600" s="337" t="s">
        <v>801</v>
      </c>
      <c r="N600" s="337" t="s">
        <v>756</v>
      </c>
      <c r="O600" s="337" t="e">
        <v>#N/A</v>
      </c>
      <c r="P600" s="337"/>
      <c r="Q600" s="337" t="s">
        <v>836</v>
      </c>
      <c r="R600" s="343">
        <v>-2510.2600000000002</v>
      </c>
    </row>
    <row r="601" spans="1:18" x14ac:dyDescent="0.2">
      <c r="A601" s="342" t="s">
        <v>732</v>
      </c>
      <c r="B601" s="337" t="s">
        <v>789</v>
      </c>
      <c r="C601" s="337" t="s">
        <v>796</v>
      </c>
      <c r="D601" s="337" t="s">
        <v>739</v>
      </c>
      <c r="E601" s="337" t="s">
        <v>790</v>
      </c>
      <c r="F601" s="337" t="s">
        <v>771</v>
      </c>
      <c r="G601" s="337" t="s">
        <v>852</v>
      </c>
      <c r="H601" s="337" t="s">
        <v>853</v>
      </c>
      <c r="I601" s="337" t="s">
        <v>767</v>
      </c>
      <c r="J601" s="337" t="s">
        <v>765</v>
      </c>
      <c r="K601" s="337"/>
      <c r="L601" s="337"/>
      <c r="M601" s="337" t="s">
        <v>801</v>
      </c>
      <c r="N601" s="337" t="s">
        <v>756</v>
      </c>
      <c r="O601" s="337" t="e">
        <v>#N/A</v>
      </c>
      <c r="P601" s="337"/>
      <c r="Q601" s="337" t="s">
        <v>846</v>
      </c>
      <c r="R601" s="343">
        <v>-2481.71</v>
      </c>
    </row>
    <row r="602" spans="1:18" x14ac:dyDescent="0.2">
      <c r="A602" s="342" t="s">
        <v>726</v>
      </c>
      <c r="B602" s="337" t="s">
        <v>789</v>
      </c>
      <c r="C602" s="337" t="s">
        <v>796</v>
      </c>
      <c r="D602" s="337" t="s">
        <v>739</v>
      </c>
      <c r="E602" s="337" t="s">
        <v>790</v>
      </c>
      <c r="F602" s="337" t="s">
        <v>771</v>
      </c>
      <c r="G602" s="337" t="s">
        <v>852</v>
      </c>
      <c r="H602" s="337" t="s">
        <v>853</v>
      </c>
      <c r="I602" s="337" t="s">
        <v>767</v>
      </c>
      <c r="J602" s="337" t="s">
        <v>765</v>
      </c>
      <c r="K602" s="337"/>
      <c r="L602" s="337"/>
      <c r="M602" s="337" t="s">
        <v>801</v>
      </c>
      <c r="N602" s="337" t="s">
        <v>756</v>
      </c>
      <c r="O602" s="337" t="e">
        <v>#N/A</v>
      </c>
      <c r="P602" s="337"/>
      <c r="Q602" s="337" t="s">
        <v>846</v>
      </c>
      <c r="R602" s="343">
        <v>0</v>
      </c>
    </row>
    <row r="603" spans="1:18" x14ac:dyDescent="0.2">
      <c r="A603" s="342" t="s">
        <v>733</v>
      </c>
      <c r="B603" s="337" t="s">
        <v>789</v>
      </c>
      <c r="C603" s="337" t="s">
        <v>796</v>
      </c>
      <c r="D603" s="337" t="s">
        <v>739</v>
      </c>
      <c r="E603" s="337" t="s">
        <v>790</v>
      </c>
      <c r="F603" s="337" t="s">
        <v>771</v>
      </c>
      <c r="G603" s="337" t="s">
        <v>852</v>
      </c>
      <c r="H603" s="337" t="s">
        <v>853</v>
      </c>
      <c r="I603" s="337" t="s">
        <v>767</v>
      </c>
      <c r="J603" s="337" t="s">
        <v>765</v>
      </c>
      <c r="K603" s="337"/>
      <c r="L603" s="337"/>
      <c r="M603" s="337" t="s">
        <v>801</v>
      </c>
      <c r="N603" s="337" t="s">
        <v>756</v>
      </c>
      <c r="O603" s="337" t="e">
        <v>#N/A</v>
      </c>
      <c r="P603" s="337"/>
      <c r="Q603" s="337" t="s">
        <v>846</v>
      </c>
      <c r="R603" s="343">
        <v>-2132.35</v>
      </c>
    </row>
    <row r="604" spans="1:18" x14ac:dyDescent="0.2">
      <c r="A604" s="342" t="s">
        <v>734</v>
      </c>
      <c r="B604" s="337" t="s">
        <v>789</v>
      </c>
      <c r="C604" s="337" t="s">
        <v>796</v>
      </c>
      <c r="D604" s="337" t="s">
        <v>739</v>
      </c>
      <c r="E604" s="337" t="s">
        <v>790</v>
      </c>
      <c r="F604" s="337" t="s">
        <v>771</v>
      </c>
      <c r="G604" s="337" t="s">
        <v>852</v>
      </c>
      <c r="H604" s="337" t="s">
        <v>853</v>
      </c>
      <c r="I604" s="337" t="s">
        <v>767</v>
      </c>
      <c r="J604" s="337" t="s">
        <v>765</v>
      </c>
      <c r="K604" s="337"/>
      <c r="L604" s="337"/>
      <c r="M604" s="337" t="s">
        <v>801</v>
      </c>
      <c r="N604" s="337" t="s">
        <v>756</v>
      </c>
      <c r="O604" s="337" t="e">
        <v>#N/A</v>
      </c>
      <c r="P604" s="337"/>
      <c r="Q604" s="337" t="s">
        <v>846</v>
      </c>
      <c r="R604" s="343">
        <v>-7461.22</v>
      </c>
    </row>
    <row r="605" spans="1:18" x14ac:dyDescent="0.2">
      <c r="A605" s="342" t="s">
        <v>735</v>
      </c>
      <c r="B605" s="337" t="s">
        <v>789</v>
      </c>
      <c r="C605" s="337" t="s">
        <v>796</v>
      </c>
      <c r="D605" s="337" t="s">
        <v>739</v>
      </c>
      <c r="E605" s="337" t="s">
        <v>790</v>
      </c>
      <c r="F605" s="337" t="s">
        <v>771</v>
      </c>
      <c r="G605" s="337" t="s">
        <v>852</v>
      </c>
      <c r="H605" s="337" t="s">
        <v>853</v>
      </c>
      <c r="I605" s="337" t="s">
        <v>767</v>
      </c>
      <c r="J605" s="337" t="s">
        <v>765</v>
      </c>
      <c r="K605" s="337"/>
      <c r="L605" s="337"/>
      <c r="M605" s="337" t="s">
        <v>801</v>
      </c>
      <c r="N605" s="337" t="s">
        <v>756</v>
      </c>
      <c r="O605" s="337" t="e">
        <v>#N/A</v>
      </c>
      <c r="P605" s="337"/>
      <c r="Q605" s="337" t="s">
        <v>846</v>
      </c>
      <c r="R605" s="343">
        <v>7461.22</v>
      </c>
    </row>
    <row r="606" spans="1:18" x14ac:dyDescent="0.2">
      <c r="A606" s="342" t="s">
        <v>736</v>
      </c>
      <c r="B606" s="337" t="s">
        <v>789</v>
      </c>
      <c r="C606" s="337" t="s">
        <v>796</v>
      </c>
      <c r="D606" s="337" t="s">
        <v>739</v>
      </c>
      <c r="E606" s="337" t="s">
        <v>790</v>
      </c>
      <c r="F606" s="337" t="s">
        <v>771</v>
      </c>
      <c r="G606" s="337" t="s">
        <v>852</v>
      </c>
      <c r="H606" s="337" t="s">
        <v>853</v>
      </c>
      <c r="I606" s="337" t="s">
        <v>767</v>
      </c>
      <c r="J606" s="337" t="s">
        <v>765</v>
      </c>
      <c r="K606" s="337"/>
      <c r="L606" s="337"/>
      <c r="M606" s="337" t="s">
        <v>801</v>
      </c>
      <c r="N606" s="337" t="s">
        <v>756</v>
      </c>
      <c r="O606" s="337" t="e">
        <v>#N/A</v>
      </c>
      <c r="P606" s="337"/>
      <c r="Q606" s="337" t="s">
        <v>846</v>
      </c>
      <c r="R606" s="343">
        <v>-7461.22</v>
      </c>
    </row>
    <row r="607" spans="1:18" x14ac:dyDescent="0.2">
      <c r="A607" s="342" t="s">
        <v>737</v>
      </c>
      <c r="B607" s="337" t="s">
        <v>789</v>
      </c>
      <c r="C607" s="337" t="s">
        <v>796</v>
      </c>
      <c r="D607" s="337" t="s">
        <v>739</v>
      </c>
      <c r="E607" s="337" t="s">
        <v>790</v>
      </c>
      <c r="F607" s="337" t="s">
        <v>771</v>
      </c>
      <c r="G607" s="337" t="s">
        <v>852</v>
      </c>
      <c r="H607" s="337" t="s">
        <v>853</v>
      </c>
      <c r="I607" s="337" t="s">
        <v>767</v>
      </c>
      <c r="J607" s="337" t="s">
        <v>765</v>
      </c>
      <c r="K607" s="337"/>
      <c r="L607" s="337"/>
      <c r="M607" s="337" t="s">
        <v>801</v>
      </c>
      <c r="N607" s="337" t="s">
        <v>756</v>
      </c>
      <c r="O607" s="337" t="e">
        <v>#N/A</v>
      </c>
      <c r="P607" s="337"/>
      <c r="Q607" s="337" t="s">
        <v>846</v>
      </c>
      <c r="R607" s="343">
        <v>7461.22</v>
      </c>
    </row>
    <row r="608" spans="1:18" x14ac:dyDescent="0.2">
      <c r="A608" s="342" t="s">
        <v>728</v>
      </c>
      <c r="B608" s="337" t="s">
        <v>789</v>
      </c>
      <c r="C608" s="337" t="s">
        <v>796</v>
      </c>
      <c r="D608" s="337" t="s">
        <v>739</v>
      </c>
      <c r="E608" s="337" t="s">
        <v>790</v>
      </c>
      <c r="F608" s="337" t="s">
        <v>771</v>
      </c>
      <c r="G608" s="337" t="s">
        <v>852</v>
      </c>
      <c r="H608" s="337" t="s">
        <v>853</v>
      </c>
      <c r="I608" s="337" t="s">
        <v>767</v>
      </c>
      <c r="J608" s="337" t="s">
        <v>765</v>
      </c>
      <c r="K608" s="337"/>
      <c r="L608" s="337"/>
      <c r="M608" s="337" t="s">
        <v>801</v>
      </c>
      <c r="N608" s="337" t="s">
        <v>756</v>
      </c>
      <c r="O608" s="337" t="e">
        <v>#N/A</v>
      </c>
      <c r="P608" s="337"/>
      <c r="Q608" s="337" t="s">
        <v>837</v>
      </c>
      <c r="R608" s="343">
        <v>-1733.45</v>
      </c>
    </row>
    <row r="609" spans="1:18" x14ac:dyDescent="0.2">
      <c r="A609" s="342" t="s">
        <v>730</v>
      </c>
      <c r="B609" s="337" t="s">
        <v>789</v>
      </c>
      <c r="C609" s="337" t="s">
        <v>796</v>
      </c>
      <c r="D609" s="337" t="s">
        <v>739</v>
      </c>
      <c r="E609" s="337" t="s">
        <v>790</v>
      </c>
      <c r="F609" s="337" t="s">
        <v>771</v>
      </c>
      <c r="G609" s="337" t="s">
        <v>852</v>
      </c>
      <c r="H609" s="337" t="s">
        <v>853</v>
      </c>
      <c r="I609" s="337" t="s">
        <v>767</v>
      </c>
      <c r="J609" s="337" t="s">
        <v>765</v>
      </c>
      <c r="K609" s="337"/>
      <c r="L609" s="337"/>
      <c r="M609" s="337" t="s">
        <v>801</v>
      </c>
      <c r="N609" s="337" t="s">
        <v>756</v>
      </c>
      <c r="O609" s="337" t="e">
        <v>#N/A</v>
      </c>
      <c r="P609" s="337"/>
      <c r="Q609" s="337" t="s">
        <v>837</v>
      </c>
      <c r="R609" s="343">
        <v>-3219.27</v>
      </c>
    </row>
    <row r="610" spans="1:18" x14ac:dyDescent="0.2">
      <c r="A610" s="342" t="s">
        <v>731</v>
      </c>
      <c r="B610" s="337" t="s">
        <v>789</v>
      </c>
      <c r="C610" s="337" t="s">
        <v>796</v>
      </c>
      <c r="D610" s="337" t="s">
        <v>739</v>
      </c>
      <c r="E610" s="337" t="s">
        <v>790</v>
      </c>
      <c r="F610" s="337" t="s">
        <v>771</v>
      </c>
      <c r="G610" s="337" t="s">
        <v>852</v>
      </c>
      <c r="H610" s="337" t="s">
        <v>853</v>
      </c>
      <c r="I610" s="337" t="s">
        <v>767</v>
      </c>
      <c r="J610" s="337" t="s">
        <v>765</v>
      </c>
      <c r="K610" s="337"/>
      <c r="L610" s="337"/>
      <c r="M610" s="337" t="s">
        <v>801</v>
      </c>
      <c r="N610" s="337" t="s">
        <v>756</v>
      </c>
      <c r="O610" s="337" t="e">
        <v>#N/A</v>
      </c>
      <c r="P610" s="337"/>
      <c r="Q610" s="337" t="s">
        <v>837</v>
      </c>
      <c r="R610" s="343">
        <v>-2476.36</v>
      </c>
    </row>
    <row r="611" spans="1:18" x14ac:dyDescent="0.2">
      <c r="A611" s="342" t="s">
        <v>732</v>
      </c>
      <c r="B611" s="337" t="s">
        <v>789</v>
      </c>
      <c r="C611" s="337" t="s">
        <v>796</v>
      </c>
      <c r="D611" s="337" t="s">
        <v>739</v>
      </c>
      <c r="E611" s="337" t="s">
        <v>790</v>
      </c>
      <c r="F611" s="337" t="s">
        <v>771</v>
      </c>
      <c r="G611" s="337" t="s">
        <v>852</v>
      </c>
      <c r="H611" s="337" t="s">
        <v>853</v>
      </c>
      <c r="I611" s="337" t="s">
        <v>767</v>
      </c>
      <c r="J611" s="337" t="s">
        <v>765</v>
      </c>
      <c r="K611" s="337"/>
      <c r="L611" s="337"/>
      <c r="M611" s="337" t="s">
        <v>801</v>
      </c>
      <c r="N611" s="337" t="s">
        <v>756</v>
      </c>
      <c r="O611" s="337" t="e">
        <v>#N/A</v>
      </c>
      <c r="P611" s="337"/>
      <c r="Q611" s="337" t="s">
        <v>837</v>
      </c>
      <c r="R611" s="343">
        <v>-2481.71</v>
      </c>
    </row>
    <row r="612" spans="1:18" x14ac:dyDescent="0.2">
      <c r="A612" s="342" t="s">
        <v>726</v>
      </c>
      <c r="B612" s="337" t="s">
        <v>789</v>
      </c>
      <c r="C612" s="337" t="s">
        <v>796</v>
      </c>
      <c r="D612" s="337" t="s">
        <v>739</v>
      </c>
      <c r="E612" s="337" t="s">
        <v>790</v>
      </c>
      <c r="F612" s="337" t="s">
        <v>771</v>
      </c>
      <c r="G612" s="337" t="s">
        <v>852</v>
      </c>
      <c r="H612" s="337" t="s">
        <v>853</v>
      </c>
      <c r="I612" s="337" t="s">
        <v>767</v>
      </c>
      <c r="J612" s="337" t="s">
        <v>765</v>
      </c>
      <c r="K612" s="337"/>
      <c r="L612" s="337"/>
      <c r="M612" s="337" t="s">
        <v>801</v>
      </c>
      <c r="N612" s="337" t="s">
        <v>756</v>
      </c>
      <c r="O612" s="337" t="e">
        <v>#N/A</v>
      </c>
      <c r="P612" s="337"/>
      <c r="Q612" s="337" t="s">
        <v>837</v>
      </c>
      <c r="R612" s="343">
        <v>-2481.71</v>
      </c>
    </row>
    <row r="613" spans="1:18" x14ac:dyDescent="0.2">
      <c r="A613" s="342" t="s">
        <v>733</v>
      </c>
      <c r="B613" s="337" t="s">
        <v>789</v>
      </c>
      <c r="C613" s="337" t="s">
        <v>796</v>
      </c>
      <c r="D613" s="337" t="s">
        <v>739</v>
      </c>
      <c r="E613" s="337" t="s">
        <v>790</v>
      </c>
      <c r="F613" s="337" t="s">
        <v>771</v>
      </c>
      <c r="G613" s="337" t="s">
        <v>852</v>
      </c>
      <c r="H613" s="337" t="s">
        <v>853</v>
      </c>
      <c r="I613" s="337" t="s">
        <v>767</v>
      </c>
      <c r="J613" s="337" t="s">
        <v>765</v>
      </c>
      <c r="K613" s="337"/>
      <c r="L613" s="337"/>
      <c r="M613" s="337" t="s">
        <v>801</v>
      </c>
      <c r="N613" s="337" t="s">
        <v>756</v>
      </c>
      <c r="O613" s="337" t="e">
        <v>#N/A</v>
      </c>
      <c r="P613" s="337"/>
      <c r="Q613" s="337" t="s">
        <v>837</v>
      </c>
      <c r="R613" s="343">
        <v>-2481.71</v>
      </c>
    </row>
    <row r="614" spans="1:18" x14ac:dyDescent="0.2">
      <c r="A614" s="342" t="s">
        <v>734</v>
      </c>
      <c r="B614" s="337" t="s">
        <v>789</v>
      </c>
      <c r="C614" s="337" t="s">
        <v>796</v>
      </c>
      <c r="D614" s="337" t="s">
        <v>739</v>
      </c>
      <c r="E614" s="337" t="s">
        <v>790</v>
      </c>
      <c r="F614" s="337" t="s">
        <v>771</v>
      </c>
      <c r="G614" s="337" t="s">
        <v>852</v>
      </c>
      <c r="H614" s="337" t="s">
        <v>853</v>
      </c>
      <c r="I614" s="337" t="s">
        <v>767</v>
      </c>
      <c r="J614" s="337" t="s">
        <v>765</v>
      </c>
      <c r="K614" s="337"/>
      <c r="L614" s="337"/>
      <c r="M614" s="337" t="s">
        <v>801</v>
      </c>
      <c r="N614" s="337" t="s">
        <v>756</v>
      </c>
      <c r="O614" s="337" t="e">
        <v>#N/A</v>
      </c>
      <c r="P614" s="337"/>
      <c r="Q614" s="337" t="s">
        <v>837</v>
      </c>
      <c r="R614" s="343">
        <v>-2487.06</v>
      </c>
    </row>
    <row r="615" spans="1:18" x14ac:dyDescent="0.2">
      <c r="A615" s="342" t="s">
        <v>735</v>
      </c>
      <c r="B615" s="337" t="s">
        <v>789</v>
      </c>
      <c r="C615" s="337" t="s">
        <v>796</v>
      </c>
      <c r="D615" s="337" t="s">
        <v>739</v>
      </c>
      <c r="E615" s="337" t="s">
        <v>790</v>
      </c>
      <c r="F615" s="337" t="s">
        <v>771</v>
      </c>
      <c r="G615" s="337" t="s">
        <v>852</v>
      </c>
      <c r="H615" s="337" t="s">
        <v>853</v>
      </c>
      <c r="I615" s="337" t="s">
        <v>767</v>
      </c>
      <c r="J615" s="337" t="s">
        <v>765</v>
      </c>
      <c r="K615" s="337"/>
      <c r="L615" s="337"/>
      <c r="M615" s="337" t="s">
        <v>801</v>
      </c>
      <c r="N615" s="337" t="s">
        <v>756</v>
      </c>
      <c r="O615" s="337" t="e">
        <v>#N/A</v>
      </c>
      <c r="P615" s="337"/>
      <c r="Q615" s="337" t="s">
        <v>837</v>
      </c>
      <c r="R615" s="343">
        <v>-2487.06</v>
      </c>
    </row>
    <row r="616" spans="1:18" x14ac:dyDescent="0.2">
      <c r="A616" s="342" t="s">
        <v>736</v>
      </c>
      <c r="B616" s="337" t="s">
        <v>789</v>
      </c>
      <c r="C616" s="337" t="s">
        <v>796</v>
      </c>
      <c r="D616" s="337" t="s">
        <v>739</v>
      </c>
      <c r="E616" s="337" t="s">
        <v>790</v>
      </c>
      <c r="F616" s="337" t="s">
        <v>771</v>
      </c>
      <c r="G616" s="337" t="s">
        <v>852</v>
      </c>
      <c r="H616" s="337" t="s">
        <v>853</v>
      </c>
      <c r="I616" s="337" t="s">
        <v>767</v>
      </c>
      <c r="J616" s="337" t="s">
        <v>765</v>
      </c>
      <c r="K616" s="337"/>
      <c r="L616" s="337"/>
      <c r="M616" s="337" t="s">
        <v>801</v>
      </c>
      <c r="N616" s="337" t="s">
        <v>756</v>
      </c>
      <c r="O616" s="337" t="e">
        <v>#N/A</v>
      </c>
      <c r="P616" s="337"/>
      <c r="Q616" s="337" t="s">
        <v>837</v>
      </c>
      <c r="R616" s="343">
        <v>-2487.06</v>
      </c>
    </row>
    <row r="617" spans="1:18" x14ac:dyDescent="0.2">
      <c r="A617" s="342" t="s">
        <v>737</v>
      </c>
      <c r="B617" s="337" t="s">
        <v>789</v>
      </c>
      <c r="C617" s="337" t="s">
        <v>796</v>
      </c>
      <c r="D617" s="337" t="s">
        <v>739</v>
      </c>
      <c r="E617" s="337" t="s">
        <v>790</v>
      </c>
      <c r="F617" s="337" t="s">
        <v>771</v>
      </c>
      <c r="G617" s="337" t="s">
        <v>852</v>
      </c>
      <c r="H617" s="337" t="s">
        <v>853</v>
      </c>
      <c r="I617" s="337" t="s">
        <v>767</v>
      </c>
      <c r="J617" s="337" t="s">
        <v>765</v>
      </c>
      <c r="K617" s="337"/>
      <c r="L617" s="337"/>
      <c r="M617" s="337" t="s">
        <v>801</v>
      </c>
      <c r="N617" s="337" t="s">
        <v>756</v>
      </c>
      <c r="O617" s="337" t="e">
        <v>#N/A</v>
      </c>
      <c r="P617" s="337"/>
      <c r="Q617" s="337" t="s">
        <v>837</v>
      </c>
      <c r="R617" s="343">
        <v>-2510.2600000000002</v>
      </c>
    </row>
    <row r="618" spans="1:18" x14ac:dyDescent="0.2">
      <c r="A618" s="342" t="s">
        <v>738</v>
      </c>
      <c r="B618" s="337" t="s">
        <v>789</v>
      </c>
      <c r="C618" s="337" t="s">
        <v>796</v>
      </c>
      <c r="D618" s="337" t="s">
        <v>739</v>
      </c>
      <c r="E618" s="337" t="s">
        <v>790</v>
      </c>
      <c r="F618" s="337" t="s">
        <v>771</v>
      </c>
      <c r="G618" s="337" t="s">
        <v>852</v>
      </c>
      <c r="H618" s="337" t="s">
        <v>853</v>
      </c>
      <c r="I618" s="337" t="s">
        <v>767</v>
      </c>
      <c r="J618" s="337" t="s">
        <v>765</v>
      </c>
      <c r="K618" s="337"/>
      <c r="L618" s="337"/>
      <c r="M618" s="337" t="s">
        <v>801</v>
      </c>
      <c r="N618" s="337" t="s">
        <v>756</v>
      </c>
      <c r="O618" s="337" t="e">
        <v>#N/A</v>
      </c>
      <c r="P618" s="337"/>
      <c r="Q618" s="337" t="s">
        <v>837</v>
      </c>
      <c r="R618" s="343">
        <v>-2510.2600000000002</v>
      </c>
    </row>
    <row r="619" spans="1:18" x14ac:dyDescent="0.2">
      <c r="A619" s="342" t="s">
        <v>727</v>
      </c>
      <c r="B619" s="337" t="s">
        <v>789</v>
      </c>
      <c r="C619" s="337" t="s">
        <v>796</v>
      </c>
      <c r="D619" s="337" t="s">
        <v>739</v>
      </c>
      <c r="E619" s="337" t="s">
        <v>790</v>
      </c>
      <c r="F619" s="337" t="s">
        <v>771</v>
      </c>
      <c r="G619" s="337" t="s">
        <v>852</v>
      </c>
      <c r="H619" s="337" t="s">
        <v>853</v>
      </c>
      <c r="I619" s="337" t="s">
        <v>767</v>
      </c>
      <c r="J619" s="337" t="s">
        <v>765</v>
      </c>
      <c r="K619" s="337"/>
      <c r="L619" s="337"/>
      <c r="M619" s="337" t="s">
        <v>801</v>
      </c>
      <c r="N619" s="337" t="s">
        <v>756</v>
      </c>
      <c r="O619" s="337" t="e">
        <v>#N/A</v>
      </c>
      <c r="P619" s="337"/>
      <c r="Q619" s="337" t="s">
        <v>837</v>
      </c>
      <c r="R619" s="343">
        <v>-2510.2600000000002</v>
      </c>
    </row>
    <row r="620" spans="1:18" x14ac:dyDescent="0.2">
      <c r="A620" s="342" t="s">
        <v>736</v>
      </c>
      <c r="B620" s="337" t="s">
        <v>789</v>
      </c>
      <c r="C620" s="337" t="s">
        <v>796</v>
      </c>
      <c r="D620" s="337" t="s">
        <v>739</v>
      </c>
      <c r="E620" s="337" t="s">
        <v>790</v>
      </c>
      <c r="F620" s="337" t="s">
        <v>771</v>
      </c>
      <c r="G620" s="337" t="s">
        <v>852</v>
      </c>
      <c r="H620" s="337" t="s">
        <v>853</v>
      </c>
      <c r="I620" s="337" t="s">
        <v>767</v>
      </c>
      <c r="J620" s="337" t="s">
        <v>765</v>
      </c>
      <c r="K620" s="337"/>
      <c r="L620" s="337"/>
      <c r="M620" s="337" t="s">
        <v>801</v>
      </c>
      <c r="N620" s="337" t="s">
        <v>756</v>
      </c>
      <c r="O620" s="337" t="e">
        <v>#N/A</v>
      </c>
      <c r="P620" s="337"/>
      <c r="Q620" s="337" t="s">
        <v>855</v>
      </c>
      <c r="R620" s="343">
        <v>-2487.06</v>
      </c>
    </row>
    <row r="621" spans="1:18" x14ac:dyDescent="0.2">
      <c r="A621" s="342" t="s">
        <v>737</v>
      </c>
      <c r="B621" s="337" t="s">
        <v>789</v>
      </c>
      <c r="C621" s="337" t="s">
        <v>796</v>
      </c>
      <c r="D621" s="337" t="s">
        <v>739</v>
      </c>
      <c r="E621" s="337" t="s">
        <v>790</v>
      </c>
      <c r="F621" s="337" t="s">
        <v>771</v>
      </c>
      <c r="G621" s="337" t="s">
        <v>852</v>
      </c>
      <c r="H621" s="337" t="s">
        <v>853</v>
      </c>
      <c r="I621" s="337" t="s">
        <v>767</v>
      </c>
      <c r="J621" s="337" t="s">
        <v>765</v>
      </c>
      <c r="K621" s="337"/>
      <c r="L621" s="337"/>
      <c r="M621" s="337" t="s">
        <v>801</v>
      </c>
      <c r="N621" s="337" t="s">
        <v>756</v>
      </c>
      <c r="O621" s="337" t="e">
        <v>#N/A</v>
      </c>
      <c r="P621" s="337"/>
      <c r="Q621" s="337" t="s">
        <v>855</v>
      </c>
      <c r="R621" s="343">
        <v>0</v>
      </c>
    </row>
    <row r="622" spans="1:18" x14ac:dyDescent="0.2">
      <c r="A622" s="342" t="s">
        <v>728</v>
      </c>
      <c r="B622" s="337" t="s">
        <v>789</v>
      </c>
      <c r="C622" s="337" t="s">
        <v>796</v>
      </c>
      <c r="D622" s="337" t="s">
        <v>739</v>
      </c>
      <c r="E622" s="337" t="s">
        <v>790</v>
      </c>
      <c r="F622" s="337" t="s">
        <v>771</v>
      </c>
      <c r="G622" s="337" t="s">
        <v>852</v>
      </c>
      <c r="H622" s="337" t="s">
        <v>853</v>
      </c>
      <c r="I622" s="337" t="s">
        <v>767</v>
      </c>
      <c r="J622" s="337" t="s">
        <v>765</v>
      </c>
      <c r="K622" s="337"/>
      <c r="L622" s="337"/>
      <c r="M622" s="337" t="s">
        <v>784</v>
      </c>
      <c r="N622" s="337" t="s">
        <v>755</v>
      </c>
      <c r="O622" s="337" t="e">
        <v>#N/A</v>
      </c>
      <c r="P622" s="337"/>
      <c r="Q622" s="337" t="s">
        <v>838</v>
      </c>
      <c r="R622" s="343">
        <v>52472.59</v>
      </c>
    </row>
    <row r="623" spans="1:18" x14ac:dyDescent="0.2">
      <c r="A623" s="342" t="s">
        <v>730</v>
      </c>
      <c r="B623" s="337" t="s">
        <v>789</v>
      </c>
      <c r="C623" s="337" t="s">
        <v>796</v>
      </c>
      <c r="D623" s="337" t="s">
        <v>739</v>
      </c>
      <c r="E623" s="337" t="s">
        <v>790</v>
      </c>
      <c r="F623" s="337" t="s">
        <v>771</v>
      </c>
      <c r="G623" s="337" t="s">
        <v>852</v>
      </c>
      <c r="H623" s="337" t="s">
        <v>853</v>
      </c>
      <c r="I623" s="337" t="s">
        <v>767</v>
      </c>
      <c r="J623" s="337" t="s">
        <v>765</v>
      </c>
      <c r="K623" s="337"/>
      <c r="L623" s="337"/>
      <c r="M623" s="337" t="s">
        <v>784</v>
      </c>
      <c r="N623" s="337" t="s">
        <v>755</v>
      </c>
      <c r="O623" s="337" t="e">
        <v>#N/A</v>
      </c>
      <c r="P623" s="337"/>
      <c r="Q623" s="337" t="s">
        <v>838</v>
      </c>
      <c r="R623" s="343">
        <v>-19979.27</v>
      </c>
    </row>
    <row r="624" spans="1:18" x14ac:dyDescent="0.2">
      <c r="A624" s="342" t="s">
        <v>731</v>
      </c>
      <c r="B624" s="337" t="s">
        <v>789</v>
      </c>
      <c r="C624" s="337" t="s">
        <v>796</v>
      </c>
      <c r="D624" s="337" t="s">
        <v>739</v>
      </c>
      <c r="E624" s="337" t="s">
        <v>790</v>
      </c>
      <c r="F624" s="337" t="s">
        <v>771</v>
      </c>
      <c r="G624" s="337" t="s">
        <v>852</v>
      </c>
      <c r="H624" s="337" t="s">
        <v>853</v>
      </c>
      <c r="I624" s="337" t="s">
        <v>767</v>
      </c>
      <c r="J624" s="337" t="s">
        <v>765</v>
      </c>
      <c r="K624" s="337"/>
      <c r="L624" s="337"/>
      <c r="M624" s="337" t="s">
        <v>784</v>
      </c>
      <c r="N624" s="337" t="s">
        <v>755</v>
      </c>
      <c r="O624" s="337" t="e">
        <v>#N/A</v>
      </c>
      <c r="P624" s="337"/>
      <c r="Q624" s="337" t="s">
        <v>838</v>
      </c>
      <c r="R624" s="343">
        <v>-39216.81</v>
      </c>
    </row>
    <row r="625" spans="1:18" x14ac:dyDescent="0.2">
      <c r="A625" s="342" t="s">
        <v>732</v>
      </c>
      <c r="B625" s="337" t="s">
        <v>789</v>
      </c>
      <c r="C625" s="337" t="s">
        <v>796</v>
      </c>
      <c r="D625" s="337" t="s">
        <v>739</v>
      </c>
      <c r="E625" s="337" t="s">
        <v>790</v>
      </c>
      <c r="F625" s="337" t="s">
        <v>771</v>
      </c>
      <c r="G625" s="337" t="s">
        <v>852</v>
      </c>
      <c r="H625" s="337" t="s">
        <v>853</v>
      </c>
      <c r="I625" s="337" t="s">
        <v>767</v>
      </c>
      <c r="J625" s="337" t="s">
        <v>765</v>
      </c>
      <c r="K625" s="337"/>
      <c r="L625" s="337"/>
      <c r="M625" s="337" t="s">
        <v>784</v>
      </c>
      <c r="N625" s="337" t="s">
        <v>755</v>
      </c>
      <c r="O625" s="337" t="e">
        <v>#N/A</v>
      </c>
      <c r="P625" s="337"/>
      <c r="Q625" s="337" t="s">
        <v>838</v>
      </c>
      <c r="R625" s="343">
        <v>51855.3</v>
      </c>
    </row>
    <row r="626" spans="1:18" x14ac:dyDescent="0.2">
      <c r="A626" s="342" t="s">
        <v>726</v>
      </c>
      <c r="B626" s="337" t="s">
        <v>789</v>
      </c>
      <c r="C626" s="337" t="s">
        <v>796</v>
      </c>
      <c r="D626" s="337" t="s">
        <v>739</v>
      </c>
      <c r="E626" s="337" t="s">
        <v>790</v>
      </c>
      <c r="F626" s="337" t="s">
        <v>771</v>
      </c>
      <c r="G626" s="337" t="s">
        <v>852</v>
      </c>
      <c r="H626" s="337" t="s">
        <v>853</v>
      </c>
      <c r="I626" s="337" t="s">
        <v>767</v>
      </c>
      <c r="J626" s="337" t="s">
        <v>765</v>
      </c>
      <c r="K626" s="337"/>
      <c r="L626" s="337"/>
      <c r="M626" s="337" t="s">
        <v>784</v>
      </c>
      <c r="N626" s="337" t="s">
        <v>755</v>
      </c>
      <c r="O626" s="337" t="e">
        <v>#N/A</v>
      </c>
      <c r="P626" s="337"/>
      <c r="Q626" s="337" t="s">
        <v>838</v>
      </c>
      <c r="R626" s="343">
        <v>32277</v>
      </c>
    </row>
    <row r="627" spans="1:18" x14ac:dyDescent="0.2">
      <c r="A627" s="342" t="s">
        <v>733</v>
      </c>
      <c r="B627" s="337" t="s">
        <v>789</v>
      </c>
      <c r="C627" s="337" t="s">
        <v>796</v>
      </c>
      <c r="D627" s="337" t="s">
        <v>739</v>
      </c>
      <c r="E627" s="337" t="s">
        <v>790</v>
      </c>
      <c r="F627" s="337" t="s">
        <v>771</v>
      </c>
      <c r="G627" s="337" t="s">
        <v>852</v>
      </c>
      <c r="H627" s="337" t="s">
        <v>853</v>
      </c>
      <c r="I627" s="337" t="s">
        <v>767</v>
      </c>
      <c r="J627" s="337" t="s">
        <v>765</v>
      </c>
      <c r="K627" s="337"/>
      <c r="L627" s="337"/>
      <c r="M627" s="337" t="s">
        <v>784</v>
      </c>
      <c r="N627" s="337" t="s">
        <v>755</v>
      </c>
      <c r="O627" s="337" t="e">
        <v>#N/A</v>
      </c>
      <c r="P627" s="337"/>
      <c r="Q627" s="337" t="s">
        <v>838</v>
      </c>
      <c r="R627" s="343">
        <v>-16720.45</v>
      </c>
    </row>
    <row r="628" spans="1:18" x14ac:dyDescent="0.2">
      <c r="A628" s="342" t="s">
        <v>734</v>
      </c>
      <c r="B628" s="337" t="s">
        <v>789</v>
      </c>
      <c r="C628" s="337" t="s">
        <v>796</v>
      </c>
      <c r="D628" s="337" t="s">
        <v>739</v>
      </c>
      <c r="E628" s="337" t="s">
        <v>790</v>
      </c>
      <c r="F628" s="337" t="s">
        <v>771</v>
      </c>
      <c r="G628" s="337" t="s">
        <v>852</v>
      </c>
      <c r="H628" s="337" t="s">
        <v>853</v>
      </c>
      <c r="I628" s="337" t="s">
        <v>767</v>
      </c>
      <c r="J628" s="337" t="s">
        <v>765</v>
      </c>
      <c r="K628" s="337"/>
      <c r="L628" s="337"/>
      <c r="M628" s="337" t="s">
        <v>784</v>
      </c>
      <c r="N628" s="337" t="s">
        <v>755</v>
      </c>
      <c r="O628" s="337" t="e">
        <v>#N/A</v>
      </c>
      <c r="P628" s="337"/>
      <c r="Q628" s="337" t="s">
        <v>838</v>
      </c>
      <c r="R628" s="343">
        <v>-149208.26999999999</v>
      </c>
    </row>
    <row r="629" spans="1:18" x14ac:dyDescent="0.2">
      <c r="A629" s="342" t="s">
        <v>735</v>
      </c>
      <c r="B629" s="337" t="s">
        <v>789</v>
      </c>
      <c r="C629" s="337" t="s">
        <v>796</v>
      </c>
      <c r="D629" s="337" t="s">
        <v>739</v>
      </c>
      <c r="E629" s="337" t="s">
        <v>790</v>
      </c>
      <c r="F629" s="337" t="s">
        <v>771</v>
      </c>
      <c r="G629" s="337" t="s">
        <v>852</v>
      </c>
      <c r="H629" s="337" t="s">
        <v>853</v>
      </c>
      <c r="I629" s="337" t="s">
        <v>767</v>
      </c>
      <c r="J629" s="337" t="s">
        <v>765</v>
      </c>
      <c r="K629" s="337"/>
      <c r="L629" s="337"/>
      <c r="M629" s="337" t="s">
        <v>784</v>
      </c>
      <c r="N629" s="337" t="s">
        <v>755</v>
      </c>
      <c r="O629" s="337" t="e">
        <v>#N/A</v>
      </c>
      <c r="P629" s="337"/>
      <c r="Q629" s="337" t="s">
        <v>838</v>
      </c>
      <c r="R629" s="343">
        <v>65887.3</v>
      </c>
    </row>
    <row r="630" spans="1:18" x14ac:dyDescent="0.2">
      <c r="A630" s="342" t="s">
        <v>736</v>
      </c>
      <c r="B630" s="337" t="s">
        <v>789</v>
      </c>
      <c r="C630" s="337" t="s">
        <v>796</v>
      </c>
      <c r="D630" s="337" t="s">
        <v>739</v>
      </c>
      <c r="E630" s="337" t="s">
        <v>790</v>
      </c>
      <c r="F630" s="337" t="s">
        <v>771</v>
      </c>
      <c r="G630" s="337" t="s">
        <v>852</v>
      </c>
      <c r="H630" s="337" t="s">
        <v>853</v>
      </c>
      <c r="I630" s="337" t="s">
        <v>767</v>
      </c>
      <c r="J630" s="337" t="s">
        <v>765</v>
      </c>
      <c r="K630" s="337"/>
      <c r="L630" s="337"/>
      <c r="M630" s="337" t="s">
        <v>784</v>
      </c>
      <c r="N630" s="337" t="s">
        <v>755</v>
      </c>
      <c r="O630" s="337" t="e">
        <v>#N/A</v>
      </c>
      <c r="P630" s="337"/>
      <c r="Q630" s="337" t="s">
        <v>838</v>
      </c>
      <c r="R630" s="343">
        <v>100054.72</v>
      </c>
    </row>
    <row r="631" spans="1:18" x14ac:dyDescent="0.2">
      <c r="A631" s="342" t="s">
        <v>737</v>
      </c>
      <c r="B631" s="337" t="s">
        <v>789</v>
      </c>
      <c r="C631" s="337" t="s">
        <v>796</v>
      </c>
      <c r="D631" s="337" t="s">
        <v>739</v>
      </c>
      <c r="E631" s="337" t="s">
        <v>790</v>
      </c>
      <c r="F631" s="337" t="s">
        <v>771</v>
      </c>
      <c r="G631" s="337" t="s">
        <v>852</v>
      </c>
      <c r="H631" s="337" t="s">
        <v>853</v>
      </c>
      <c r="I631" s="337" t="s">
        <v>767</v>
      </c>
      <c r="J631" s="337" t="s">
        <v>765</v>
      </c>
      <c r="K631" s="337"/>
      <c r="L631" s="337"/>
      <c r="M631" s="337" t="s">
        <v>784</v>
      </c>
      <c r="N631" s="337" t="s">
        <v>755</v>
      </c>
      <c r="O631" s="337" t="e">
        <v>#N/A</v>
      </c>
      <c r="P631" s="337"/>
      <c r="Q631" s="337" t="s">
        <v>838</v>
      </c>
      <c r="R631" s="343">
        <v>0</v>
      </c>
    </row>
    <row r="632" spans="1:18" x14ac:dyDescent="0.2">
      <c r="A632" s="342" t="s">
        <v>728</v>
      </c>
      <c r="B632" s="337" t="s">
        <v>789</v>
      </c>
      <c r="C632" s="337" t="s">
        <v>796</v>
      </c>
      <c r="D632" s="337" t="s">
        <v>739</v>
      </c>
      <c r="E632" s="337" t="s">
        <v>790</v>
      </c>
      <c r="F632" s="337" t="s">
        <v>771</v>
      </c>
      <c r="G632" s="337" t="s">
        <v>852</v>
      </c>
      <c r="H632" s="337" t="s">
        <v>853</v>
      </c>
      <c r="I632" s="337" t="s">
        <v>767</v>
      </c>
      <c r="J632" s="337" t="s">
        <v>765</v>
      </c>
      <c r="K632" s="337"/>
      <c r="L632" s="337"/>
      <c r="M632" s="337" t="s">
        <v>784</v>
      </c>
      <c r="N632" s="337" t="s">
        <v>755</v>
      </c>
      <c r="O632" s="337" t="e">
        <v>#N/A</v>
      </c>
      <c r="P632" s="337"/>
      <c r="Q632" s="337" t="s">
        <v>839</v>
      </c>
      <c r="R632" s="343">
        <v>-25579.18</v>
      </c>
    </row>
    <row r="633" spans="1:18" x14ac:dyDescent="0.2">
      <c r="A633" s="342" t="s">
        <v>730</v>
      </c>
      <c r="B633" s="337" t="s">
        <v>789</v>
      </c>
      <c r="C633" s="337" t="s">
        <v>796</v>
      </c>
      <c r="D633" s="337" t="s">
        <v>739</v>
      </c>
      <c r="E633" s="337" t="s">
        <v>790</v>
      </c>
      <c r="F633" s="337" t="s">
        <v>771</v>
      </c>
      <c r="G633" s="337" t="s">
        <v>852</v>
      </c>
      <c r="H633" s="337" t="s">
        <v>853</v>
      </c>
      <c r="I633" s="337" t="s">
        <v>767</v>
      </c>
      <c r="J633" s="337" t="s">
        <v>765</v>
      </c>
      <c r="K633" s="337"/>
      <c r="L633" s="337"/>
      <c r="M633" s="337" t="s">
        <v>784</v>
      </c>
      <c r="N633" s="337" t="s">
        <v>755</v>
      </c>
      <c r="O633" s="337" t="e">
        <v>#N/A</v>
      </c>
      <c r="P633" s="337"/>
      <c r="Q633" s="337" t="s">
        <v>839</v>
      </c>
      <c r="R633" s="343">
        <v>-47504.2</v>
      </c>
    </row>
    <row r="634" spans="1:18" x14ac:dyDescent="0.2">
      <c r="A634" s="342" t="s">
        <v>731</v>
      </c>
      <c r="B634" s="337" t="s">
        <v>789</v>
      </c>
      <c r="C634" s="337" t="s">
        <v>796</v>
      </c>
      <c r="D634" s="337" t="s">
        <v>739</v>
      </c>
      <c r="E634" s="337" t="s">
        <v>790</v>
      </c>
      <c r="F634" s="337" t="s">
        <v>771</v>
      </c>
      <c r="G634" s="337" t="s">
        <v>852</v>
      </c>
      <c r="H634" s="337" t="s">
        <v>853</v>
      </c>
      <c r="I634" s="337" t="s">
        <v>767</v>
      </c>
      <c r="J634" s="337" t="s">
        <v>765</v>
      </c>
      <c r="K634" s="337"/>
      <c r="L634" s="337"/>
      <c r="M634" s="337" t="s">
        <v>784</v>
      </c>
      <c r="N634" s="337" t="s">
        <v>755</v>
      </c>
      <c r="O634" s="337" t="e">
        <v>#N/A</v>
      </c>
      <c r="P634" s="337"/>
      <c r="Q634" s="337" t="s">
        <v>839</v>
      </c>
      <c r="R634" s="343">
        <v>29469.11</v>
      </c>
    </row>
    <row r="635" spans="1:18" x14ac:dyDescent="0.2">
      <c r="A635" s="342" t="s">
        <v>732</v>
      </c>
      <c r="B635" s="337" t="s">
        <v>789</v>
      </c>
      <c r="C635" s="337" t="s">
        <v>796</v>
      </c>
      <c r="D635" s="337" t="s">
        <v>739</v>
      </c>
      <c r="E635" s="337" t="s">
        <v>790</v>
      </c>
      <c r="F635" s="337" t="s">
        <v>771</v>
      </c>
      <c r="G635" s="337" t="s">
        <v>852</v>
      </c>
      <c r="H635" s="337" t="s">
        <v>853</v>
      </c>
      <c r="I635" s="337" t="s">
        <v>767</v>
      </c>
      <c r="J635" s="337" t="s">
        <v>765</v>
      </c>
      <c r="K635" s="337"/>
      <c r="L635" s="337"/>
      <c r="M635" s="337" t="s">
        <v>784</v>
      </c>
      <c r="N635" s="337" t="s">
        <v>755</v>
      </c>
      <c r="O635" s="337" t="e">
        <v>#N/A</v>
      </c>
      <c r="P635" s="337"/>
      <c r="Q635" s="337" t="s">
        <v>839</v>
      </c>
      <c r="R635" s="343">
        <v>-36620.67</v>
      </c>
    </row>
    <row r="636" spans="1:18" x14ac:dyDescent="0.2">
      <c r="A636" s="342" t="s">
        <v>726</v>
      </c>
      <c r="B636" s="337" t="s">
        <v>789</v>
      </c>
      <c r="C636" s="337" t="s">
        <v>796</v>
      </c>
      <c r="D636" s="337" t="s">
        <v>739</v>
      </c>
      <c r="E636" s="337" t="s">
        <v>790</v>
      </c>
      <c r="F636" s="337" t="s">
        <v>771</v>
      </c>
      <c r="G636" s="337" t="s">
        <v>852</v>
      </c>
      <c r="H636" s="337" t="s">
        <v>853</v>
      </c>
      <c r="I636" s="337" t="s">
        <v>767</v>
      </c>
      <c r="J636" s="337" t="s">
        <v>765</v>
      </c>
      <c r="K636" s="337"/>
      <c r="L636" s="337"/>
      <c r="M636" s="337" t="s">
        <v>784</v>
      </c>
      <c r="N636" s="337" t="s">
        <v>755</v>
      </c>
      <c r="O636" s="337" t="e">
        <v>#N/A</v>
      </c>
      <c r="P636" s="337"/>
      <c r="Q636" s="337" t="s">
        <v>839</v>
      </c>
      <c r="R636" s="343">
        <v>-35439.360000000001</v>
      </c>
    </row>
    <row r="637" spans="1:18" x14ac:dyDescent="0.2">
      <c r="A637" s="342" t="s">
        <v>733</v>
      </c>
      <c r="B637" s="337" t="s">
        <v>789</v>
      </c>
      <c r="C637" s="337" t="s">
        <v>796</v>
      </c>
      <c r="D637" s="337" t="s">
        <v>739</v>
      </c>
      <c r="E637" s="337" t="s">
        <v>790</v>
      </c>
      <c r="F637" s="337" t="s">
        <v>771</v>
      </c>
      <c r="G637" s="337" t="s">
        <v>852</v>
      </c>
      <c r="H637" s="337" t="s">
        <v>853</v>
      </c>
      <c r="I637" s="337" t="s">
        <v>767</v>
      </c>
      <c r="J637" s="337" t="s">
        <v>765</v>
      </c>
      <c r="K637" s="337"/>
      <c r="L637" s="337"/>
      <c r="M637" s="337" t="s">
        <v>784</v>
      </c>
      <c r="N637" s="337" t="s">
        <v>755</v>
      </c>
      <c r="O637" s="337" t="e">
        <v>#N/A</v>
      </c>
      <c r="P637" s="337"/>
      <c r="Q637" s="337" t="s">
        <v>839</v>
      </c>
      <c r="R637" s="343">
        <v>-36620.67</v>
      </c>
    </row>
    <row r="638" spans="1:18" x14ac:dyDescent="0.2">
      <c r="A638" s="342" t="s">
        <v>734</v>
      </c>
      <c r="B638" s="337" t="s">
        <v>789</v>
      </c>
      <c r="C638" s="337" t="s">
        <v>796</v>
      </c>
      <c r="D638" s="337" t="s">
        <v>739</v>
      </c>
      <c r="E638" s="337" t="s">
        <v>790</v>
      </c>
      <c r="F638" s="337" t="s">
        <v>771</v>
      </c>
      <c r="G638" s="337" t="s">
        <v>852</v>
      </c>
      <c r="H638" s="337" t="s">
        <v>853</v>
      </c>
      <c r="I638" s="337" t="s">
        <v>767</v>
      </c>
      <c r="J638" s="337" t="s">
        <v>765</v>
      </c>
      <c r="K638" s="337"/>
      <c r="L638" s="337"/>
      <c r="M638" s="337" t="s">
        <v>784</v>
      </c>
      <c r="N638" s="337" t="s">
        <v>755</v>
      </c>
      <c r="O638" s="337" t="e">
        <v>#N/A</v>
      </c>
      <c r="P638" s="337"/>
      <c r="Q638" s="337" t="s">
        <v>839</v>
      </c>
      <c r="R638" s="343">
        <v>-40369.599999999999</v>
      </c>
    </row>
    <row r="639" spans="1:18" x14ac:dyDescent="0.2">
      <c r="A639" s="342" t="s">
        <v>735</v>
      </c>
      <c r="B639" s="337" t="s">
        <v>789</v>
      </c>
      <c r="C639" s="337" t="s">
        <v>796</v>
      </c>
      <c r="D639" s="337" t="s">
        <v>739</v>
      </c>
      <c r="E639" s="337" t="s">
        <v>790</v>
      </c>
      <c r="F639" s="337" t="s">
        <v>771</v>
      </c>
      <c r="G639" s="337" t="s">
        <v>852</v>
      </c>
      <c r="H639" s="337" t="s">
        <v>853</v>
      </c>
      <c r="I639" s="337" t="s">
        <v>767</v>
      </c>
      <c r="J639" s="337" t="s">
        <v>765</v>
      </c>
      <c r="K639" s="337"/>
      <c r="L639" s="337"/>
      <c r="M639" s="337" t="s">
        <v>784</v>
      </c>
      <c r="N639" s="337" t="s">
        <v>755</v>
      </c>
      <c r="O639" s="337" t="e">
        <v>#N/A</v>
      </c>
      <c r="P639" s="337"/>
      <c r="Q639" s="337" t="s">
        <v>839</v>
      </c>
      <c r="R639" s="343">
        <v>-36462.86</v>
      </c>
    </row>
    <row r="640" spans="1:18" x14ac:dyDescent="0.2">
      <c r="A640" s="342" t="s">
        <v>736</v>
      </c>
      <c r="B640" s="337" t="s">
        <v>789</v>
      </c>
      <c r="C640" s="337" t="s">
        <v>796</v>
      </c>
      <c r="D640" s="337" t="s">
        <v>739</v>
      </c>
      <c r="E640" s="337" t="s">
        <v>790</v>
      </c>
      <c r="F640" s="337" t="s">
        <v>771</v>
      </c>
      <c r="G640" s="337" t="s">
        <v>852</v>
      </c>
      <c r="H640" s="337" t="s">
        <v>853</v>
      </c>
      <c r="I640" s="337" t="s">
        <v>767</v>
      </c>
      <c r="J640" s="337" t="s">
        <v>765</v>
      </c>
      <c r="K640" s="337"/>
      <c r="L640" s="337"/>
      <c r="M640" s="337" t="s">
        <v>784</v>
      </c>
      <c r="N640" s="337" t="s">
        <v>755</v>
      </c>
      <c r="O640" s="337" t="e">
        <v>#N/A</v>
      </c>
      <c r="P640" s="337"/>
      <c r="Q640" s="337" t="s">
        <v>839</v>
      </c>
      <c r="R640" s="343">
        <v>-40369.599999999999</v>
      </c>
    </row>
    <row r="641" spans="1:18" x14ac:dyDescent="0.2">
      <c r="A641" s="342" t="s">
        <v>737</v>
      </c>
      <c r="B641" s="337" t="s">
        <v>789</v>
      </c>
      <c r="C641" s="337" t="s">
        <v>796</v>
      </c>
      <c r="D641" s="337" t="s">
        <v>739</v>
      </c>
      <c r="E641" s="337" t="s">
        <v>790</v>
      </c>
      <c r="F641" s="337" t="s">
        <v>771</v>
      </c>
      <c r="G641" s="337" t="s">
        <v>852</v>
      </c>
      <c r="H641" s="337" t="s">
        <v>853</v>
      </c>
      <c r="I641" s="337" t="s">
        <v>767</v>
      </c>
      <c r="J641" s="337" t="s">
        <v>765</v>
      </c>
      <c r="K641" s="337"/>
      <c r="L641" s="337"/>
      <c r="M641" s="337" t="s">
        <v>784</v>
      </c>
      <c r="N641" s="337" t="s">
        <v>755</v>
      </c>
      <c r="O641" s="337" t="e">
        <v>#N/A</v>
      </c>
      <c r="P641" s="337"/>
      <c r="Q641" s="337" t="s">
        <v>839</v>
      </c>
      <c r="R641" s="343">
        <v>-39431.699999999997</v>
      </c>
    </row>
    <row r="642" spans="1:18" x14ac:dyDescent="0.2">
      <c r="A642" s="342" t="s">
        <v>738</v>
      </c>
      <c r="B642" s="337" t="s">
        <v>789</v>
      </c>
      <c r="C642" s="337" t="s">
        <v>796</v>
      </c>
      <c r="D642" s="337" t="s">
        <v>739</v>
      </c>
      <c r="E642" s="337" t="s">
        <v>790</v>
      </c>
      <c r="F642" s="337" t="s">
        <v>771</v>
      </c>
      <c r="G642" s="337" t="s">
        <v>852</v>
      </c>
      <c r="H642" s="337" t="s">
        <v>853</v>
      </c>
      <c r="I642" s="337" t="s">
        <v>767</v>
      </c>
      <c r="J642" s="337" t="s">
        <v>765</v>
      </c>
      <c r="K642" s="337"/>
      <c r="L642" s="337"/>
      <c r="M642" s="337" t="s">
        <v>784</v>
      </c>
      <c r="N642" s="337" t="s">
        <v>755</v>
      </c>
      <c r="O642" s="337" t="e">
        <v>#N/A</v>
      </c>
      <c r="P642" s="337"/>
      <c r="Q642" s="337" t="s">
        <v>839</v>
      </c>
      <c r="R642" s="343">
        <v>-40746.089999999997</v>
      </c>
    </row>
    <row r="643" spans="1:18" x14ac:dyDescent="0.2">
      <c r="A643" s="342" t="s">
        <v>727</v>
      </c>
      <c r="B643" s="337" t="s">
        <v>789</v>
      </c>
      <c r="C643" s="337" t="s">
        <v>796</v>
      </c>
      <c r="D643" s="337" t="s">
        <v>739</v>
      </c>
      <c r="E643" s="337" t="s">
        <v>790</v>
      </c>
      <c r="F643" s="337" t="s">
        <v>771</v>
      </c>
      <c r="G643" s="337" t="s">
        <v>852</v>
      </c>
      <c r="H643" s="337" t="s">
        <v>853</v>
      </c>
      <c r="I643" s="337" t="s">
        <v>767</v>
      </c>
      <c r="J643" s="337" t="s">
        <v>765</v>
      </c>
      <c r="K643" s="337"/>
      <c r="L643" s="337"/>
      <c r="M643" s="337" t="s">
        <v>784</v>
      </c>
      <c r="N643" s="337" t="s">
        <v>755</v>
      </c>
      <c r="O643" s="337" t="e">
        <v>#N/A</v>
      </c>
      <c r="P643" s="337"/>
      <c r="Q643" s="337" t="s">
        <v>839</v>
      </c>
      <c r="R643" s="343">
        <v>-39431.699999999997</v>
      </c>
    </row>
    <row r="644" spans="1:18" x14ac:dyDescent="0.2">
      <c r="A644" s="342" t="s">
        <v>728</v>
      </c>
      <c r="B644" s="337" t="s">
        <v>789</v>
      </c>
      <c r="C644" s="337" t="s">
        <v>796</v>
      </c>
      <c r="D644" s="337" t="s">
        <v>739</v>
      </c>
      <c r="E644" s="337" t="s">
        <v>790</v>
      </c>
      <c r="F644" s="337" t="s">
        <v>771</v>
      </c>
      <c r="G644" s="337" t="s">
        <v>852</v>
      </c>
      <c r="H644" s="337" t="s">
        <v>853</v>
      </c>
      <c r="I644" s="337" t="s">
        <v>767</v>
      </c>
      <c r="J644" s="337" t="s">
        <v>765</v>
      </c>
      <c r="K644" s="337"/>
      <c r="L644" s="337"/>
      <c r="M644" s="337" t="s">
        <v>784</v>
      </c>
      <c r="N644" s="337" t="s">
        <v>755</v>
      </c>
      <c r="O644" s="337" t="e">
        <v>#N/A</v>
      </c>
      <c r="P644" s="337"/>
      <c r="Q644" s="337" t="s">
        <v>840</v>
      </c>
      <c r="R644" s="343">
        <v>-147948.1</v>
      </c>
    </row>
    <row r="645" spans="1:18" x14ac:dyDescent="0.2">
      <c r="A645" s="342" t="s">
        <v>730</v>
      </c>
      <c r="B645" s="337" t="s">
        <v>789</v>
      </c>
      <c r="C645" s="337" t="s">
        <v>796</v>
      </c>
      <c r="D645" s="337" t="s">
        <v>739</v>
      </c>
      <c r="E645" s="337" t="s">
        <v>790</v>
      </c>
      <c r="F645" s="337" t="s">
        <v>771</v>
      </c>
      <c r="G645" s="337" t="s">
        <v>852</v>
      </c>
      <c r="H645" s="337" t="s">
        <v>853</v>
      </c>
      <c r="I645" s="337" t="s">
        <v>767</v>
      </c>
      <c r="J645" s="337" t="s">
        <v>765</v>
      </c>
      <c r="K645" s="337"/>
      <c r="L645" s="337"/>
      <c r="M645" s="337" t="s">
        <v>784</v>
      </c>
      <c r="N645" s="337" t="s">
        <v>755</v>
      </c>
      <c r="O645" s="337" t="e">
        <v>#N/A</v>
      </c>
      <c r="P645" s="337"/>
      <c r="Q645" s="337" t="s">
        <v>840</v>
      </c>
      <c r="R645" s="343">
        <v>-274760.74</v>
      </c>
    </row>
    <row r="646" spans="1:18" x14ac:dyDescent="0.2">
      <c r="A646" s="342" t="s">
        <v>731</v>
      </c>
      <c r="B646" s="337" t="s">
        <v>789</v>
      </c>
      <c r="C646" s="337" t="s">
        <v>796</v>
      </c>
      <c r="D646" s="337" t="s">
        <v>739</v>
      </c>
      <c r="E646" s="337" t="s">
        <v>790</v>
      </c>
      <c r="F646" s="337" t="s">
        <v>771</v>
      </c>
      <c r="G646" s="337" t="s">
        <v>852</v>
      </c>
      <c r="H646" s="337" t="s">
        <v>853</v>
      </c>
      <c r="I646" s="337" t="s">
        <v>767</v>
      </c>
      <c r="J646" s="337" t="s">
        <v>765</v>
      </c>
      <c r="K646" s="337"/>
      <c r="L646" s="337"/>
      <c r="M646" s="337" t="s">
        <v>784</v>
      </c>
      <c r="N646" s="337" t="s">
        <v>755</v>
      </c>
      <c r="O646" s="337" t="e">
        <v>#N/A</v>
      </c>
      <c r="P646" s="337"/>
      <c r="Q646" s="337" t="s">
        <v>840</v>
      </c>
      <c r="R646" s="343">
        <v>-204536.54</v>
      </c>
    </row>
    <row r="647" spans="1:18" x14ac:dyDescent="0.2">
      <c r="A647" s="342" t="s">
        <v>732</v>
      </c>
      <c r="B647" s="337" t="s">
        <v>789</v>
      </c>
      <c r="C647" s="337" t="s">
        <v>796</v>
      </c>
      <c r="D647" s="337" t="s">
        <v>739</v>
      </c>
      <c r="E647" s="337" t="s">
        <v>790</v>
      </c>
      <c r="F647" s="337" t="s">
        <v>771</v>
      </c>
      <c r="G647" s="337" t="s">
        <v>852</v>
      </c>
      <c r="H647" s="337" t="s">
        <v>853</v>
      </c>
      <c r="I647" s="337" t="s">
        <v>767</v>
      </c>
      <c r="J647" s="337" t="s">
        <v>765</v>
      </c>
      <c r="K647" s="337"/>
      <c r="L647" s="337"/>
      <c r="M647" s="337" t="s">
        <v>784</v>
      </c>
      <c r="N647" s="337" t="s">
        <v>755</v>
      </c>
      <c r="O647" s="337" t="e">
        <v>#N/A</v>
      </c>
      <c r="P647" s="337"/>
      <c r="Q647" s="337" t="s">
        <v>840</v>
      </c>
      <c r="R647" s="343">
        <v>-211811.25</v>
      </c>
    </row>
    <row r="648" spans="1:18" x14ac:dyDescent="0.2">
      <c r="A648" s="342" t="s">
        <v>726</v>
      </c>
      <c r="B648" s="337" t="s">
        <v>789</v>
      </c>
      <c r="C648" s="337" t="s">
        <v>796</v>
      </c>
      <c r="D648" s="337" t="s">
        <v>739</v>
      </c>
      <c r="E648" s="337" t="s">
        <v>790</v>
      </c>
      <c r="F648" s="337" t="s">
        <v>771</v>
      </c>
      <c r="G648" s="337" t="s">
        <v>852</v>
      </c>
      <c r="H648" s="337" t="s">
        <v>853</v>
      </c>
      <c r="I648" s="337" t="s">
        <v>767</v>
      </c>
      <c r="J648" s="337" t="s">
        <v>765</v>
      </c>
      <c r="K648" s="337"/>
      <c r="L648" s="337"/>
      <c r="M648" s="337" t="s">
        <v>784</v>
      </c>
      <c r="N648" s="337" t="s">
        <v>755</v>
      </c>
      <c r="O648" s="337" t="e">
        <v>#N/A</v>
      </c>
      <c r="P648" s="337"/>
      <c r="Q648" s="337" t="s">
        <v>840</v>
      </c>
      <c r="R648" s="343">
        <v>-204978.63</v>
      </c>
    </row>
    <row r="649" spans="1:18" x14ac:dyDescent="0.2">
      <c r="A649" s="342" t="s">
        <v>733</v>
      </c>
      <c r="B649" s="337" t="s">
        <v>789</v>
      </c>
      <c r="C649" s="337" t="s">
        <v>796</v>
      </c>
      <c r="D649" s="337" t="s">
        <v>739</v>
      </c>
      <c r="E649" s="337" t="s">
        <v>790</v>
      </c>
      <c r="F649" s="337" t="s">
        <v>771</v>
      </c>
      <c r="G649" s="337" t="s">
        <v>852</v>
      </c>
      <c r="H649" s="337" t="s">
        <v>853</v>
      </c>
      <c r="I649" s="337" t="s">
        <v>767</v>
      </c>
      <c r="J649" s="337" t="s">
        <v>765</v>
      </c>
      <c r="K649" s="337"/>
      <c r="L649" s="337"/>
      <c r="M649" s="337" t="s">
        <v>784</v>
      </c>
      <c r="N649" s="337" t="s">
        <v>755</v>
      </c>
      <c r="O649" s="337" t="e">
        <v>#N/A</v>
      </c>
      <c r="P649" s="337"/>
      <c r="Q649" s="337" t="s">
        <v>840</v>
      </c>
      <c r="R649" s="343">
        <v>-211811.25</v>
      </c>
    </row>
    <row r="650" spans="1:18" x14ac:dyDescent="0.2">
      <c r="A650" s="342" t="s">
        <v>734</v>
      </c>
      <c r="B650" s="337" t="s">
        <v>789</v>
      </c>
      <c r="C650" s="337" t="s">
        <v>796</v>
      </c>
      <c r="D650" s="337" t="s">
        <v>739</v>
      </c>
      <c r="E650" s="337" t="s">
        <v>790</v>
      </c>
      <c r="F650" s="337" t="s">
        <v>771</v>
      </c>
      <c r="G650" s="337" t="s">
        <v>852</v>
      </c>
      <c r="H650" s="337" t="s">
        <v>853</v>
      </c>
      <c r="I650" s="337" t="s">
        <v>767</v>
      </c>
      <c r="J650" s="337" t="s">
        <v>765</v>
      </c>
      <c r="K650" s="337"/>
      <c r="L650" s="337"/>
      <c r="M650" s="337" t="s">
        <v>784</v>
      </c>
      <c r="N650" s="337" t="s">
        <v>755</v>
      </c>
      <c r="O650" s="337" t="e">
        <v>#N/A</v>
      </c>
      <c r="P650" s="337"/>
      <c r="Q650" s="337" t="s">
        <v>840</v>
      </c>
      <c r="R650" s="343">
        <v>-134724.21</v>
      </c>
    </row>
    <row r="651" spans="1:18" x14ac:dyDescent="0.2">
      <c r="A651" s="342" t="s">
        <v>735</v>
      </c>
      <c r="B651" s="337" t="s">
        <v>789</v>
      </c>
      <c r="C651" s="337" t="s">
        <v>796</v>
      </c>
      <c r="D651" s="337" t="s">
        <v>739</v>
      </c>
      <c r="E651" s="337" t="s">
        <v>790</v>
      </c>
      <c r="F651" s="337" t="s">
        <v>771</v>
      </c>
      <c r="G651" s="337" t="s">
        <v>852</v>
      </c>
      <c r="H651" s="337" t="s">
        <v>853</v>
      </c>
      <c r="I651" s="337" t="s">
        <v>767</v>
      </c>
      <c r="J651" s="337" t="s">
        <v>765</v>
      </c>
      <c r="K651" s="337"/>
      <c r="L651" s="337"/>
      <c r="M651" s="337" t="s">
        <v>784</v>
      </c>
      <c r="N651" s="337" t="s">
        <v>755</v>
      </c>
      <c r="O651" s="337" t="e">
        <v>#N/A</v>
      </c>
      <c r="P651" s="337"/>
      <c r="Q651" s="337" t="s">
        <v>840</v>
      </c>
      <c r="R651" s="343">
        <v>-233777.76</v>
      </c>
    </row>
    <row r="652" spans="1:18" x14ac:dyDescent="0.2">
      <c r="A652" s="342" t="s">
        <v>736</v>
      </c>
      <c r="B652" s="337" t="s">
        <v>789</v>
      </c>
      <c r="C652" s="337" t="s">
        <v>796</v>
      </c>
      <c r="D652" s="337" t="s">
        <v>739</v>
      </c>
      <c r="E652" s="337" t="s">
        <v>790</v>
      </c>
      <c r="F652" s="337" t="s">
        <v>771</v>
      </c>
      <c r="G652" s="337" t="s">
        <v>852</v>
      </c>
      <c r="H652" s="337" t="s">
        <v>853</v>
      </c>
      <c r="I652" s="337" t="s">
        <v>767</v>
      </c>
      <c r="J652" s="337" t="s">
        <v>765</v>
      </c>
      <c r="K652" s="337"/>
      <c r="L652" s="337"/>
      <c r="M652" s="337" t="s">
        <v>784</v>
      </c>
      <c r="N652" s="337" t="s">
        <v>755</v>
      </c>
      <c r="O652" s="337" t="e">
        <v>#N/A</v>
      </c>
      <c r="P652" s="337"/>
      <c r="Q652" s="337" t="s">
        <v>840</v>
      </c>
      <c r="R652" s="343">
        <v>-193619.68</v>
      </c>
    </row>
    <row r="653" spans="1:18" x14ac:dyDescent="0.2">
      <c r="A653" s="342" t="s">
        <v>737</v>
      </c>
      <c r="B653" s="337" t="s">
        <v>789</v>
      </c>
      <c r="C653" s="337" t="s">
        <v>796</v>
      </c>
      <c r="D653" s="337" t="s">
        <v>739</v>
      </c>
      <c r="E653" s="337" t="s">
        <v>790</v>
      </c>
      <c r="F653" s="337" t="s">
        <v>771</v>
      </c>
      <c r="G653" s="337" t="s">
        <v>852</v>
      </c>
      <c r="H653" s="337" t="s">
        <v>853</v>
      </c>
      <c r="I653" s="337" t="s">
        <v>767</v>
      </c>
      <c r="J653" s="337" t="s">
        <v>765</v>
      </c>
      <c r="K653" s="337"/>
      <c r="L653" s="337"/>
      <c r="M653" s="337" t="s">
        <v>784</v>
      </c>
      <c r="N653" s="337" t="s">
        <v>755</v>
      </c>
      <c r="O653" s="337" t="e">
        <v>#N/A</v>
      </c>
      <c r="P653" s="337"/>
      <c r="Q653" s="337" t="s">
        <v>840</v>
      </c>
      <c r="R653" s="343">
        <v>-207193.75</v>
      </c>
    </row>
    <row r="654" spans="1:18" x14ac:dyDescent="0.2">
      <c r="A654" s="342" t="s">
        <v>738</v>
      </c>
      <c r="B654" s="337" t="s">
        <v>789</v>
      </c>
      <c r="C654" s="337" t="s">
        <v>796</v>
      </c>
      <c r="D654" s="337" t="s">
        <v>739</v>
      </c>
      <c r="E654" s="337" t="s">
        <v>790</v>
      </c>
      <c r="F654" s="337" t="s">
        <v>771</v>
      </c>
      <c r="G654" s="337" t="s">
        <v>852</v>
      </c>
      <c r="H654" s="337" t="s">
        <v>853</v>
      </c>
      <c r="I654" s="337" t="s">
        <v>767</v>
      </c>
      <c r="J654" s="337" t="s">
        <v>765</v>
      </c>
      <c r="K654" s="337"/>
      <c r="L654" s="337"/>
      <c r="M654" s="337" t="s">
        <v>784</v>
      </c>
      <c r="N654" s="337" t="s">
        <v>755</v>
      </c>
      <c r="O654" s="337" t="e">
        <v>#N/A</v>
      </c>
      <c r="P654" s="337"/>
      <c r="Q654" s="337" t="s">
        <v>840</v>
      </c>
      <c r="R654" s="343">
        <v>-177352.84</v>
      </c>
    </row>
    <row r="655" spans="1:18" x14ac:dyDescent="0.2">
      <c r="A655" s="342" t="s">
        <v>727</v>
      </c>
      <c r="B655" s="337" t="s">
        <v>789</v>
      </c>
      <c r="C655" s="337" t="s">
        <v>796</v>
      </c>
      <c r="D655" s="337" t="s">
        <v>739</v>
      </c>
      <c r="E655" s="337" t="s">
        <v>790</v>
      </c>
      <c r="F655" s="337" t="s">
        <v>771</v>
      </c>
      <c r="G655" s="337" t="s">
        <v>852</v>
      </c>
      <c r="H655" s="337" t="s">
        <v>853</v>
      </c>
      <c r="I655" s="337" t="s">
        <v>767</v>
      </c>
      <c r="J655" s="337" t="s">
        <v>765</v>
      </c>
      <c r="K655" s="337"/>
      <c r="L655" s="337"/>
      <c r="M655" s="337" t="s">
        <v>784</v>
      </c>
      <c r="N655" s="337" t="s">
        <v>755</v>
      </c>
      <c r="O655" s="337" t="e">
        <v>#N/A</v>
      </c>
      <c r="P655" s="337"/>
      <c r="Q655" s="337" t="s">
        <v>840</v>
      </c>
      <c r="R655" s="343">
        <v>-189121.27</v>
      </c>
    </row>
    <row r="656" spans="1:18" x14ac:dyDescent="0.2">
      <c r="A656" s="342" t="s">
        <v>728</v>
      </c>
      <c r="B656" s="337" t="s">
        <v>789</v>
      </c>
      <c r="C656" s="337" t="s">
        <v>796</v>
      </c>
      <c r="D656" s="337" t="s">
        <v>739</v>
      </c>
      <c r="E656" s="337" t="s">
        <v>790</v>
      </c>
      <c r="F656" s="337" t="s">
        <v>771</v>
      </c>
      <c r="G656" s="337" t="s">
        <v>852</v>
      </c>
      <c r="H656" s="337" t="s">
        <v>853</v>
      </c>
      <c r="I656" s="337" t="s">
        <v>767</v>
      </c>
      <c r="J656" s="337" t="s">
        <v>765</v>
      </c>
      <c r="K656" s="337"/>
      <c r="L656" s="337"/>
      <c r="M656" s="337" t="s">
        <v>784</v>
      </c>
      <c r="N656" s="337" t="s">
        <v>755</v>
      </c>
      <c r="O656" s="337" t="e">
        <v>#N/A</v>
      </c>
      <c r="P656" s="337"/>
      <c r="Q656" s="337" t="s">
        <v>841</v>
      </c>
      <c r="R656" s="343">
        <v>-302933.46000000002</v>
      </c>
    </row>
    <row r="657" spans="1:18" x14ac:dyDescent="0.2">
      <c r="A657" s="342" t="s">
        <v>730</v>
      </c>
      <c r="B657" s="337" t="s">
        <v>789</v>
      </c>
      <c r="C657" s="337" t="s">
        <v>796</v>
      </c>
      <c r="D657" s="337" t="s">
        <v>739</v>
      </c>
      <c r="E657" s="337" t="s">
        <v>790</v>
      </c>
      <c r="F657" s="337" t="s">
        <v>771</v>
      </c>
      <c r="G657" s="337" t="s">
        <v>852</v>
      </c>
      <c r="H657" s="337" t="s">
        <v>853</v>
      </c>
      <c r="I657" s="337" t="s">
        <v>767</v>
      </c>
      <c r="J657" s="337" t="s">
        <v>765</v>
      </c>
      <c r="K657" s="337"/>
      <c r="L657" s="337"/>
      <c r="M657" s="337" t="s">
        <v>784</v>
      </c>
      <c r="N657" s="337" t="s">
        <v>755</v>
      </c>
      <c r="O657" s="337" t="e">
        <v>#N/A</v>
      </c>
      <c r="P657" s="337"/>
      <c r="Q657" s="337" t="s">
        <v>841</v>
      </c>
      <c r="R657" s="343">
        <v>-562590.71999999997</v>
      </c>
    </row>
    <row r="658" spans="1:18" x14ac:dyDescent="0.2">
      <c r="A658" s="342" t="s">
        <v>731</v>
      </c>
      <c r="B658" s="337" t="s">
        <v>789</v>
      </c>
      <c r="C658" s="337" t="s">
        <v>796</v>
      </c>
      <c r="D658" s="337" t="s">
        <v>739</v>
      </c>
      <c r="E658" s="337" t="s">
        <v>790</v>
      </c>
      <c r="F658" s="337" t="s">
        <v>771</v>
      </c>
      <c r="G658" s="337" t="s">
        <v>852</v>
      </c>
      <c r="H658" s="337" t="s">
        <v>853</v>
      </c>
      <c r="I658" s="337" t="s">
        <v>767</v>
      </c>
      <c r="J658" s="337" t="s">
        <v>765</v>
      </c>
      <c r="K658" s="337"/>
      <c r="L658" s="337"/>
      <c r="M658" s="337" t="s">
        <v>784</v>
      </c>
      <c r="N658" s="337" t="s">
        <v>755</v>
      </c>
      <c r="O658" s="337" t="e">
        <v>#N/A</v>
      </c>
      <c r="P658" s="337"/>
      <c r="Q658" s="337" t="s">
        <v>841</v>
      </c>
      <c r="R658" s="343">
        <v>-418802.02</v>
      </c>
    </row>
    <row r="659" spans="1:18" x14ac:dyDescent="0.2">
      <c r="A659" s="342" t="s">
        <v>732</v>
      </c>
      <c r="B659" s="337" t="s">
        <v>789</v>
      </c>
      <c r="C659" s="337" t="s">
        <v>796</v>
      </c>
      <c r="D659" s="337" t="s">
        <v>739</v>
      </c>
      <c r="E659" s="337" t="s">
        <v>790</v>
      </c>
      <c r="F659" s="337" t="s">
        <v>771</v>
      </c>
      <c r="G659" s="337" t="s">
        <v>852</v>
      </c>
      <c r="H659" s="337" t="s">
        <v>853</v>
      </c>
      <c r="I659" s="337" t="s">
        <v>767</v>
      </c>
      <c r="J659" s="337" t="s">
        <v>765</v>
      </c>
      <c r="K659" s="337"/>
      <c r="L659" s="337"/>
      <c r="M659" s="337" t="s">
        <v>784</v>
      </c>
      <c r="N659" s="337" t="s">
        <v>755</v>
      </c>
      <c r="O659" s="337" t="e">
        <v>#N/A</v>
      </c>
      <c r="P659" s="337"/>
      <c r="Q659" s="337" t="s">
        <v>841</v>
      </c>
      <c r="R659" s="343">
        <v>-433697.39</v>
      </c>
    </row>
    <row r="660" spans="1:18" x14ac:dyDescent="0.2">
      <c r="A660" s="342" t="s">
        <v>726</v>
      </c>
      <c r="B660" s="337" t="s">
        <v>789</v>
      </c>
      <c r="C660" s="337" t="s">
        <v>796</v>
      </c>
      <c r="D660" s="337" t="s">
        <v>739</v>
      </c>
      <c r="E660" s="337" t="s">
        <v>790</v>
      </c>
      <c r="F660" s="337" t="s">
        <v>771</v>
      </c>
      <c r="G660" s="337" t="s">
        <v>852</v>
      </c>
      <c r="H660" s="337" t="s">
        <v>853</v>
      </c>
      <c r="I660" s="337" t="s">
        <v>767</v>
      </c>
      <c r="J660" s="337" t="s">
        <v>765</v>
      </c>
      <c r="K660" s="337"/>
      <c r="L660" s="337"/>
      <c r="M660" s="337" t="s">
        <v>784</v>
      </c>
      <c r="N660" s="337" t="s">
        <v>755</v>
      </c>
      <c r="O660" s="337" t="e">
        <v>#N/A</v>
      </c>
      <c r="P660" s="337"/>
      <c r="Q660" s="337" t="s">
        <v>841</v>
      </c>
      <c r="R660" s="343">
        <v>-419707.15</v>
      </c>
    </row>
    <row r="661" spans="1:18" x14ac:dyDescent="0.2">
      <c r="A661" s="342" t="s">
        <v>733</v>
      </c>
      <c r="B661" s="337" t="s">
        <v>789</v>
      </c>
      <c r="C661" s="337" t="s">
        <v>796</v>
      </c>
      <c r="D661" s="337" t="s">
        <v>739</v>
      </c>
      <c r="E661" s="337" t="s">
        <v>790</v>
      </c>
      <c r="F661" s="337" t="s">
        <v>771</v>
      </c>
      <c r="G661" s="337" t="s">
        <v>852</v>
      </c>
      <c r="H661" s="337" t="s">
        <v>853</v>
      </c>
      <c r="I661" s="337" t="s">
        <v>767</v>
      </c>
      <c r="J661" s="337" t="s">
        <v>765</v>
      </c>
      <c r="K661" s="337"/>
      <c r="L661" s="337"/>
      <c r="M661" s="337" t="s">
        <v>784</v>
      </c>
      <c r="N661" s="337" t="s">
        <v>755</v>
      </c>
      <c r="O661" s="337" t="e">
        <v>#N/A</v>
      </c>
      <c r="P661" s="337"/>
      <c r="Q661" s="337" t="s">
        <v>841</v>
      </c>
      <c r="R661" s="343">
        <v>-433697.39</v>
      </c>
    </row>
    <row r="662" spans="1:18" x14ac:dyDescent="0.2">
      <c r="A662" s="342" t="s">
        <v>734</v>
      </c>
      <c r="B662" s="337" t="s">
        <v>789</v>
      </c>
      <c r="C662" s="337" t="s">
        <v>796</v>
      </c>
      <c r="D662" s="337" t="s">
        <v>739</v>
      </c>
      <c r="E662" s="337" t="s">
        <v>790</v>
      </c>
      <c r="F662" s="337" t="s">
        <v>771</v>
      </c>
      <c r="G662" s="337" t="s">
        <v>852</v>
      </c>
      <c r="H662" s="337" t="s">
        <v>853</v>
      </c>
      <c r="I662" s="337" t="s">
        <v>767</v>
      </c>
      <c r="J662" s="337" t="s">
        <v>765</v>
      </c>
      <c r="K662" s="337"/>
      <c r="L662" s="337"/>
      <c r="M662" s="337" t="s">
        <v>784</v>
      </c>
      <c r="N662" s="337" t="s">
        <v>755</v>
      </c>
      <c r="O662" s="337" t="e">
        <v>#N/A</v>
      </c>
      <c r="P662" s="337"/>
      <c r="Q662" s="337" t="s">
        <v>841</v>
      </c>
      <c r="R662" s="343">
        <v>-434632.7</v>
      </c>
    </row>
    <row r="663" spans="1:18" x14ac:dyDescent="0.2">
      <c r="A663" s="342" t="s">
        <v>735</v>
      </c>
      <c r="B663" s="337" t="s">
        <v>789</v>
      </c>
      <c r="C663" s="337" t="s">
        <v>796</v>
      </c>
      <c r="D663" s="337" t="s">
        <v>739</v>
      </c>
      <c r="E663" s="337" t="s">
        <v>790</v>
      </c>
      <c r="F663" s="337" t="s">
        <v>771</v>
      </c>
      <c r="G663" s="337" t="s">
        <v>852</v>
      </c>
      <c r="H663" s="337" t="s">
        <v>853</v>
      </c>
      <c r="I663" s="337" t="s">
        <v>767</v>
      </c>
      <c r="J663" s="337" t="s">
        <v>765</v>
      </c>
      <c r="K663" s="337"/>
      <c r="L663" s="337"/>
      <c r="M663" s="337" t="s">
        <v>784</v>
      </c>
      <c r="N663" s="337" t="s">
        <v>755</v>
      </c>
      <c r="O663" s="337" t="e">
        <v>#N/A</v>
      </c>
      <c r="P663" s="337"/>
      <c r="Q663" s="337" t="s">
        <v>841</v>
      </c>
      <c r="R663" s="343">
        <v>-419811.07</v>
      </c>
    </row>
    <row r="664" spans="1:18" x14ac:dyDescent="0.2">
      <c r="A664" s="342" t="s">
        <v>736</v>
      </c>
      <c r="B664" s="337" t="s">
        <v>789</v>
      </c>
      <c r="C664" s="337" t="s">
        <v>796</v>
      </c>
      <c r="D664" s="337" t="s">
        <v>739</v>
      </c>
      <c r="E664" s="337" t="s">
        <v>790</v>
      </c>
      <c r="F664" s="337" t="s">
        <v>771</v>
      </c>
      <c r="G664" s="337" t="s">
        <v>852</v>
      </c>
      <c r="H664" s="337" t="s">
        <v>853</v>
      </c>
      <c r="I664" s="337" t="s">
        <v>767</v>
      </c>
      <c r="J664" s="337" t="s">
        <v>765</v>
      </c>
      <c r="K664" s="337"/>
      <c r="L664" s="337"/>
      <c r="M664" s="337" t="s">
        <v>784</v>
      </c>
      <c r="N664" s="337" t="s">
        <v>755</v>
      </c>
      <c r="O664" s="337" t="e">
        <v>#N/A</v>
      </c>
      <c r="P664" s="337"/>
      <c r="Q664" s="337" t="s">
        <v>841</v>
      </c>
      <c r="R664" s="343">
        <v>-459236.21</v>
      </c>
    </row>
    <row r="665" spans="1:18" x14ac:dyDescent="0.2">
      <c r="A665" s="342" t="s">
        <v>737</v>
      </c>
      <c r="B665" s="337" t="s">
        <v>789</v>
      </c>
      <c r="C665" s="337" t="s">
        <v>796</v>
      </c>
      <c r="D665" s="337" t="s">
        <v>739</v>
      </c>
      <c r="E665" s="337" t="s">
        <v>790</v>
      </c>
      <c r="F665" s="337" t="s">
        <v>771</v>
      </c>
      <c r="G665" s="337" t="s">
        <v>852</v>
      </c>
      <c r="H665" s="337" t="s">
        <v>853</v>
      </c>
      <c r="I665" s="337" t="s">
        <v>767</v>
      </c>
      <c r="J665" s="337" t="s">
        <v>765</v>
      </c>
      <c r="K665" s="337"/>
      <c r="L665" s="337"/>
      <c r="M665" s="337" t="s">
        <v>784</v>
      </c>
      <c r="N665" s="337" t="s">
        <v>755</v>
      </c>
      <c r="O665" s="337" t="e">
        <v>#N/A</v>
      </c>
      <c r="P665" s="337"/>
      <c r="Q665" s="337" t="s">
        <v>841</v>
      </c>
      <c r="R665" s="343">
        <v>-451141.49</v>
      </c>
    </row>
    <row r="666" spans="1:18" x14ac:dyDescent="0.2">
      <c r="A666" s="342" t="s">
        <v>738</v>
      </c>
      <c r="B666" s="337" t="s">
        <v>789</v>
      </c>
      <c r="C666" s="337" t="s">
        <v>796</v>
      </c>
      <c r="D666" s="337" t="s">
        <v>739</v>
      </c>
      <c r="E666" s="337" t="s">
        <v>790</v>
      </c>
      <c r="F666" s="337" t="s">
        <v>771</v>
      </c>
      <c r="G666" s="337" t="s">
        <v>852</v>
      </c>
      <c r="H666" s="337" t="s">
        <v>853</v>
      </c>
      <c r="I666" s="337" t="s">
        <v>767</v>
      </c>
      <c r="J666" s="337" t="s">
        <v>765</v>
      </c>
      <c r="K666" s="337"/>
      <c r="L666" s="337"/>
      <c r="M666" s="337" t="s">
        <v>784</v>
      </c>
      <c r="N666" s="337" t="s">
        <v>755</v>
      </c>
      <c r="O666" s="337" t="e">
        <v>#N/A</v>
      </c>
      <c r="P666" s="337"/>
      <c r="Q666" s="337" t="s">
        <v>841</v>
      </c>
      <c r="R666" s="343">
        <v>-466179.54</v>
      </c>
    </row>
    <row r="667" spans="1:18" x14ac:dyDescent="0.2">
      <c r="A667" s="342" t="s">
        <v>727</v>
      </c>
      <c r="B667" s="337" t="s">
        <v>789</v>
      </c>
      <c r="C667" s="337" t="s">
        <v>796</v>
      </c>
      <c r="D667" s="337" t="s">
        <v>739</v>
      </c>
      <c r="E667" s="337" t="s">
        <v>790</v>
      </c>
      <c r="F667" s="337" t="s">
        <v>771</v>
      </c>
      <c r="G667" s="337" t="s">
        <v>852</v>
      </c>
      <c r="H667" s="337" t="s">
        <v>853</v>
      </c>
      <c r="I667" s="337" t="s">
        <v>767</v>
      </c>
      <c r="J667" s="337" t="s">
        <v>765</v>
      </c>
      <c r="K667" s="337"/>
      <c r="L667" s="337"/>
      <c r="M667" s="337" t="s">
        <v>784</v>
      </c>
      <c r="N667" s="337" t="s">
        <v>755</v>
      </c>
      <c r="O667" s="337" t="e">
        <v>#N/A</v>
      </c>
      <c r="P667" s="337"/>
      <c r="Q667" s="337" t="s">
        <v>841</v>
      </c>
      <c r="R667" s="343">
        <v>-451141.49</v>
      </c>
    </row>
    <row r="668" spans="1:18" x14ac:dyDescent="0.2">
      <c r="A668" s="342" t="s">
        <v>728</v>
      </c>
      <c r="B668" s="337" t="s">
        <v>789</v>
      </c>
      <c r="C668" s="337" t="s">
        <v>796</v>
      </c>
      <c r="D668" s="337" t="s">
        <v>739</v>
      </c>
      <c r="E668" s="337" t="s">
        <v>790</v>
      </c>
      <c r="F668" s="337" t="s">
        <v>771</v>
      </c>
      <c r="G668" s="337" t="s">
        <v>852</v>
      </c>
      <c r="H668" s="337" t="s">
        <v>853</v>
      </c>
      <c r="I668" s="337" t="s">
        <v>767</v>
      </c>
      <c r="J668" s="337" t="s">
        <v>765</v>
      </c>
      <c r="K668" s="337"/>
      <c r="L668" s="337"/>
      <c r="M668" s="337" t="s">
        <v>784</v>
      </c>
      <c r="N668" s="337" t="s">
        <v>755</v>
      </c>
      <c r="O668" s="337" t="e">
        <v>#N/A</v>
      </c>
      <c r="P668" s="337"/>
      <c r="Q668" s="337" t="s">
        <v>856</v>
      </c>
      <c r="R668" s="343">
        <v>-208147</v>
      </c>
    </row>
    <row r="669" spans="1:18" x14ac:dyDescent="0.2">
      <c r="A669" s="342" t="s">
        <v>730</v>
      </c>
      <c r="B669" s="337" t="s">
        <v>789</v>
      </c>
      <c r="C669" s="337" t="s">
        <v>796</v>
      </c>
      <c r="D669" s="337" t="s">
        <v>739</v>
      </c>
      <c r="E669" s="337" t="s">
        <v>790</v>
      </c>
      <c r="F669" s="337" t="s">
        <v>771</v>
      </c>
      <c r="G669" s="337" t="s">
        <v>852</v>
      </c>
      <c r="H669" s="337" t="s">
        <v>853</v>
      </c>
      <c r="I669" s="337" t="s">
        <v>767</v>
      </c>
      <c r="J669" s="337" t="s">
        <v>765</v>
      </c>
      <c r="K669" s="337"/>
      <c r="L669" s="337"/>
      <c r="M669" s="337" t="s">
        <v>784</v>
      </c>
      <c r="N669" s="337" t="s">
        <v>755</v>
      </c>
      <c r="O669" s="337" t="e">
        <v>#N/A</v>
      </c>
      <c r="P669" s="337"/>
      <c r="Q669" s="337" t="s">
        <v>856</v>
      </c>
      <c r="R669" s="343">
        <v>-177310.42</v>
      </c>
    </row>
    <row r="670" spans="1:18" x14ac:dyDescent="0.2">
      <c r="A670" s="342" t="s">
        <v>731</v>
      </c>
      <c r="B670" s="337" t="s">
        <v>789</v>
      </c>
      <c r="C670" s="337" t="s">
        <v>796</v>
      </c>
      <c r="D670" s="337" t="s">
        <v>739</v>
      </c>
      <c r="E670" s="337" t="s">
        <v>790</v>
      </c>
      <c r="F670" s="337" t="s">
        <v>771</v>
      </c>
      <c r="G670" s="337" t="s">
        <v>852</v>
      </c>
      <c r="H670" s="337" t="s">
        <v>853</v>
      </c>
      <c r="I670" s="337" t="s">
        <v>767</v>
      </c>
      <c r="J670" s="337" t="s">
        <v>765</v>
      </c>
      <c r="K670" s="337"/>
      <c r="L670" s="337"/>
      <c r="M670" s="337" t="s">
        <v>784</v>
      </c>
      <c r="N670" s="337" t="s">
        <v>755</v>
      </c>
      <c r="O670" s="337" t="e">
        <v>#N/A</v>
      </c>
      <c r="P670" s="337"/>
      <c r="Q670" s="337" t="s">
        <v>856</v>
      </c>
      <c r="R670" s="343">
        <v>-223813.98</v>
      </c>
    </row>
    <row r="671" spans="1:18" x14ac:dyDescent="0.2">
      <c r="A671" s="342" t="s">
        <v>732</v>
      </c>
      <c r="B671" s="337" t="s">
        <v>789</v>
      </c>
      <c r="C671" s="337" t="s">
        <v>796</v>
      </c>
      <c r="D671" s="337" t="s">
        <v>739</v>
      </c>
      <c r="E671" s="337" t="s">
        <v>790</v>
      </c>
      <c r="F671" s="337" t="s">
        <v>771</v>
      </c>
      <c r="G671" s="337" t="s">
        <v>852</v>
      </c>
      <c r="H671" s="337" t="s">
        <v>853</v>
      </c>
      <c r="I671" s="337" t="s">
        <v>767</v>
      </c>
      <c r="J671" s="337" t="s">
        <v>765</v>
      </c>
      <c r="K671" s="337"/>
      <c r="L671" s="337"/>
      <c r="M671" s="337" t="s">
        <v>784</v>
      </c>
      <c r="N671" s="337" t="s">
        <v>755</v>
      </c>
      <c r="O671" s="337" t="e">
        <v>#N/A</v>
      </c>
      <c r="P671" s="337"/>
      <c r="Q671" s="337" t="s">
        <v>856</v>
      </c>
      <c r="R671" s="343">
        <v>-155426.38</v>
      </c>
    </row>
    <row r="672" spans="1:18" x14ac:dyDescent="0.2">
      <c r="A672" s="342" t="s">
        <v>726</v>
      </c>
      <c r="B672" s="337" t="s">
        <v>789</v>
      </c>
      <c r="C672" s="337" t="s">
        <v>796</v>
      </c>
      <c r="D672" s="337" t="s">
        <v>739</v>
      </c>
      <c r="E672" s="337" t="s">
        <v>790</v>
      </c>
      <c r="F672" s="337" t="s">
        <v>771</v>
      </c>
      <c r="G672" s="337" t="s">
        <v>852</v>
      </c>
      <c r="H672" s="337" t="s">
        <v>853</v>
      </c>
      <c r="I672" s="337" t="s">
        <v>767</v>
      </c>
      <c r="J672" s="337" t="s">
        <v>765</v>
      </c>
      <c r="K672" s="337"/>
      <c r="L672" s="337"/>
      <c r="M672" s="337" t="s">
        <v>784</v>
      </c>
      <c r="N672" s="337" t="s">
        <v>755</v>
      </c>
      <c r="O672" s="337" t="e">
        <v>#N/A</v>
      </c>
      <c r="P672" s="337"/>
      <c r="Q672" s="337" t="s">
        <v>856</v>
      </c>
      <c r="R672" s="343">
        <v>-186511.65</v>
      </c>
    </row>
    <row r="673" spans="1:18" x14ac:dyDescent="0.2">
      <c r="A673" s="342" t="s">
        <v>733</v>
      </c>
      <c r="B673" s="337" t="s">
        <v>789</v>
      </c>
      <c r="C673" s="337" t="s">
        <v>796</v>
      </c>
      <c r="D673" s="337" t="s">
        <v>739</v>
      </c>
      <c r="E673" s="337" t="s">
        <v>790</v>
      </c>
      <c r="F673" s="337" t="s">
        <v>771</v>
      </c>
      <c r="G673" s="337" t="s">
        <v>852</v>
      </c>
      <c r="H673" s="337" t="s">
        <v>853</v>
      </c>
      <c r="I673" s="337" t="s">
        <v>767</v>
      </c>
      <c r="J673" s="337" t="s">
        <v>765</v>
      </c>
      <c r="K673" s="337"/>
      <c r="L673" s="337"/>
      <c r="M673" s="337" t="s">
        <v>784</v>
      </c>
      <c r="N673" s="337" t="s">
        <v>755</v>
      </c>
      <c r="O673" s="337" t="e">
        <v>#N/A</v>
      </c>
      <c r="P673" s="337"/>
      <c r="Q673" s="337" t="s">
        <v>856</v>
      </c>
      <c r="R673" s="343">
        <v>-192728.71</v>
      </c>
    </row>
    <row r="674" spans="1:18" x14ac:dyDescent="0.2">
      <c r="A674" s="342" t="s">
        <v>734</v>
      </c>
      <c r="B674" s="337" t="s">
        <v>789</v>
      </c>
      <c r="C674" s="337" t="s">
        <v>796</v>
      </c>
      <c r="D674" s="337" t="s">
        <v>739</v>
      </c>
      <c r="E674" s="337" t="s">
        <v>790</v>
      </c>
      <c r="F674" s="337" t="s">
        <v>771</v>
      </c>
      <c r="G674" s="337" t="s">
        <v>852</v>
      </c>
      <c r="H674" s="337" t="s">
        <v>853</v>
      </c>
      <c r="I674" s="337" t="s">
        <v>767</v>
      </c>
      <c r="J674" s="337" t="s">
        <v>765</v>
      </c>
      <c r="K674" s="337"/>
      <c r="L674" s="337"/>
      <c r="M674" s="337" t="s">
        <v>784</v>
      </c>
      <c r="N674" s="337" t="s">
        <v>755</v>
      </c>
      <c r="O674" s="337" t="e">
        <v>#N/A</v>
      </c>
      <c r="P674" s="337"/>
      <c r="Q674" s="337" t="s">
        <v>856</v>
      </c>
      <c r="R674" s="343">
        <v>-198141.62</v>
      </c>
    </row>
    <row r="675" spans="1:18" x14ac:dyDescent="0.2">
      <c r="A675" s="342" t="s">
        <v>735</v>
      </c>
      <c r="B675" s="337" t="s">
        <v>789</v>
      </c>
      <c r="C675" s="337" t="s">
        <v>796</v>
      </c>
      <c r="D675" s="337" t="s">
        <v>739</v>
      </c>
      <c r="E675" s="337" t="s">
        <v>790</v>
      </c>
      <c r="F675" s="337" t="s">
        <v>771</v>
      </c>
      <c r="G675" s="337" t="s">
        <v>852</v>
      </c>
      <c r="H675" s="337" t="s">
        <v>853</v>
      </c>
      <c r="I675" s="337" t="s">
        <v>767</v>
      </c>
      <c r="J675" s="337" t="s">
        <v>765</v>
      </c>
      <c r="K675" s="337"/>
      <c r="L675" s="337"/>
      <c r="M675" s="337" t="s">
        <v>784</v>
      </c>
      <c r="N675" s="337" t="s">
        <v>755</v>
      </c>
      <c r="O675" s="337" t="e">
        <v>#N/A</v>
      </c>
      <c r="P675" s="337"/>
      <c r="Q675" s="337" t="s">
        <v>856</v>
      </c>
      <c r="R675" s="343">
        <v>-178966.62</v>
      </c>
    </row>
    <row r="676" spans="1:18" x14ac:dyDescent="0.2">
      <c r="A676" s="342" t="s">
        <v>736</v>
      </c>
      <c r="B676" s="337" t="s">
        <v>789</v>
      </c>
      <c r="C676" s="337" t="s">
        <v>796</v>
      </c>
      <c r="D676" s="337" t="s">
        <v>739</v>
      </c>
      <c r="E676" s="337" t="s">
        <v>790</v>
      </c>
      <c r="F676" s="337" t="s">
        <v>771</v>
      </c>
      <c r="G676" s="337" t="s">
        <v>852</v>
      </c>
      <c r="H676" s="337" t="s">
        <v>853</v>
      </c>
      <c r="I676" s="337" t="s">
        <v>767</v>
      </c>
      <c r="J676" s="337" t="s">
        <v>765</v>
      </c>
      <c r="K676" s="337"/>
      <c r="L676" s="337"/>
      <c r="M676" s="337" t="s">
        <v>784</v>
      </c>
      <c r="N676" s="337" t="s">
        <v>755</v>
      </c>
      <c r="O676" s="337" t="e">
        <v>#N/A</v>
      </c>
      <c r="P676" s="337"/>
      <c r="Q676" s="337" t="s">
        <v>856</v>
      </c>
      <c r="R676" s="343">
        <v>-1192314.73</v>
      </c>
    </row>
    <row r="677" spans="1:18" x14ac:dyDescent="0.2">
      <c r="A677" s="342" t="s">
        <v>737</v>
      </c>
      <c r="B677" s="337" t="s">
        <v>789</v>
      </c>
      <c r="C677" s="337" t="s">
        <v>796</v>
      </c>
      <c r="D677" s="337" t="s">
        <v>739</v>
      </c>
      <c r="E677" s="337" t="s">
        <v>790</v>
      </c>
      <c r="F677" s="337" t="s">
        <v>771</v>
      </c>
      <c r="G677" s="337" t="s">
        <v>852</v>
      </c>
      <c r="H677" s="337" t="s">
        <v>853</v>
      </c>
      <c r="I677" s="337" t="s">
        <v>767</v>
      </c>
      <c r="J677" s="337" t="s">
        <v>765</v>
      </c>
      <c r="K677" s="337"/>
      <c r="L677" s="337"/>
      <c r="M677" s="337" t="s">
        <v>784</v>
      </c>
      <c r="N677" s="337" t="s">
        <v>755</v>
      </c>
      <c r="O677" s="337" t="e">
        <v>#N/A</v>
      </c>
      <c r="P677" s="337"/>
      <c r="Q677" s="337" t="s">
        <v>856</v>
      </c>
      <c r="R677" s="343">
        <v>-313702.96000000002</v>
      </c>
    </row>
    <row r="678" spans="1:18" x14ac:dyDescent="0.2">
      <c r="A678" s="342" t="s">
        <v>738</v>
      </c>
      <c r="B678" s="337" t="s">
        <v>789</v>
      </c>
      <c r="C678" s="337" t="s">
        <v>796</v>
      </c>
      <c r="D678" s="337" t="s">
        <v>739</v>
      </c>
      <c r="E678" s="337" t="s">
        <v>790</v>
      </c>
      <c r="F678" s="337" t="s">
        <v>771</v>
      </c>
      <c r="G678" s="337" t="s">
        <v>852</v>
      </c>
      <c r="H678" s="337" t="s">
        <v>853</v>
      </c>
      <c r="I678" s="337" t="s">
        <v>767</v>
      </c>
      <c r="J678" s="337" t="s">
        <v>765</v>
      </c>
      <c r="K678" s="337"/>
      <c r="L678" s="337"/>
      <c r="M678" s="337" t="s">
        <v>784</v>
      </c>
      <c r="N678" s="337" t="s">
        <v>755</v>
      </c>
      <c r="O678" s="337" t="e">
        <v>#N/A</v>
      </c>
      <c r="P678" s="337"/>
      <c r="Q678" s="337" t="s">
        <v>856</v>
      </c>
      <c r="R678" s="343">
        <v>-257814.21</v>
      </c>
    </row>
    <row r="679" spans="1:18" x14ac:dyDescent="0.2">
      <c r="A679" s="342" t="s">
        <v>727</v>
      </c>
      <c r="B679" s="337" t="s">
        <v>789</v>
      </c>
      <c r="C679" s="337" t="s">
        <v>796</v>
      </c>
      <c r="D679" s="337" t="s">
        <v>739</v>
      </c>
      <c r="E679" s="337" t="s">
        <v>790</v>
      </c>
      <c r="F679" s="337" t="s">
        <v>771</v>
      </c>
      <c r="G679" s="337" t="s">
        <v>852</v>
      </c>
      <c r="H679" s="337" t="s">
        <v>853</v>
      </c>
      <c r="I679" s="337" t="s">
        <v>767</v>
      </c>
      <c r="J679" s="337" t="s">
        <v>765</v>
      </c>
      <c r="K679" s="337"/>
      <c r="L679" s="337"/>
      <c r="M679" s="337" t="s">
        <v>784</v>
      </c>
      <c r="N679" s="337" t="s">
        <v>755</v>
      </c>
      <c r="O679" s="337" t="e">
        <v>#N/A</v>
      </c>
      <c r="P679" s="337"/>
      <c r="Q679" s="337" t="s">
        <v>856</v>
      </c>
      <c r="R679" s="343">
        <v>-210157.95</v>
      </c>
    </row>
    <row r="680" spans="1:18" x14ac:dyDescent="0.2">
      <c r="A680" s="342" t="s">
        <v>728</v>
      </c>
      <c r="B680" s="337" t="s">
        <v>789</v>
      </c>
      <c r="C680" s="337" t="s">
        <v>796</v>
      </c>
      <c r="D680" s="337" t="s">
        <v>739</v>
      </c>
      <c r="E680" s="337" t="s">
        <v>790</v>
      </c>
      <c r="F680" s="337" t="s">
        <v>771</v>
      </c>
      <c r="G680" s="337" t="s">
        <v>852</v>
      </c>
      <c r="H680" s="337" t="s">
        <v>853</v>
      </c>
      <c r="I680" s="337" t="s">
        <v>767</v>
      </c>
      <c r="J680" s="337" t="s">
        <v>765</v>
      </c>
      <c r="K680" s="337"/>
      <c r="L680" s="337"/>
      <c r="M680" s="337" t="s">
        <v>784</v>
      </c>
      <c r="N680" s="337" t="s">
        <v>755</v>
      </c>
      <c r="O680" s="337" t="e">
        <v>#N/A</v>
      </c>
      <c r="P680" s="337"/>
      <c r="Q680" s="337" t="s">
        <v>845</v>
      </c>
      <c r="R680" s="343">
        <v>-369124.92</v>
      </c>
    </row>
    <row r="681" spans="1:18" x14ac:dyDescent="0.2">
      <c r="A681" s="342" t="s">
        <v>730</v>
      </c>
      <c r="B681" s="337" t="s">
        <v>789</v>
      </c>
      <c r="C681" s="337" t="s">
        <v>796</v>
      </c>
      <c r="D681" s="337" t="s">
        <v>739</v>
      </c>
      <c r="E681" s="337" t="s">
        <v>790</v>
      </c>
      <c r="F681" s="337" t="s">
        <v>771</v>
      </c>
      <c r="G681" s="337" t="s">
        <v>852</v>
      </c>
      <c r="H681" s="337" t="s">
        <v>853</v>
      </c>
      <c r="I681" s="337" t="s">
        <v>767</v>
      </c>
      <c r="J681" s="337" t="s">
        <v>765</v>
      </c>
      <c r="K681" s="337"/>
      <c r="L681" s="337"/>
      <c r="M681" s="337" t="s">
        <v>784</v>
      </c>
      <c r="N681" s="337" t="s">
        <v>755</v>
      </c>
      <c r="O681" s="337" t="e">
        <v>#N/A</v>
      </c>
      <c r="P681" s="337"/>
      <c r="Q681" s="337" t="s">
        <v>845</v>
      </c>
      <c r="R681" s="343">
        <v>-1023799.32</v>
      </c>
    </row>
    <row r="682" spans="1:18" x14ac:dyDescent="0.2">
      <c r="A682" s="342" t="s">
        <v>731</v>
      </c>
      <c r="B682" s="337" t="s">
        <v>789</v>
      </c>
      <c r="C682" s="337" t="s">
        <v>796</v>
      </c>
      <c r="D682" s="337" t="s">
        <v>739</v>
      </c>
      <c r="E682" s="337" t="s">
        <v>790</v>
      </c>
      <c r="F682" s="337" t="s">
        <v>771</v>
      </c>
      <c r="G682" s="337" t="s">
        <v>852</v>
      </c>
      <c r="H682" s="337" t="s">
        <v>853</v>
      </c>
      <c r="I682" s="337" t="s">
        <v>767</v>
      </c>
      <c r="J682" s="337" t="s">
        <v>765</v>
      </c>
      <c r="K682" s="337"/>
      <c r="L682" s="337"/>
      <c r="M682" s="337" t="s">
        <v>784</v>
      </c>
      <c r="N682" s="337" t="s">
        <v>755</v>
      </c>
      <c r="O682" s="337" t="e">
        <v>#N/A</v>
      </c>
      <c r="P682" s="337"/>
      <c r="Q682" s="337" t="s">
        <v>845</v>
      </c>
      <c r="R682" s="343">
        <v>-673995.6</v>
      </c>
    </row>
    <row r="683" spans="1:18" x14ac:dyDescent="0.2">
      <c r="A683" s="342" t="s">
        <v>732</v>
      </c>
      <c r="B683" s="337" t="s">
        <v>789</v>
      </c>
      <c r="C683" s="337" t="s">
        <v>796</v>
      </c>
      <c r="D683" s="337" t="s">
        <v>739</v>
      </c>
      <c r="E683" s="337" t="s">
        <v>790</v>
      </c>
      <c r="F683" s="337" t="s">
        <v>771</v>
      </c>
      <c r="G683" s="337" t="s">
        <v>852</v>
      </c>
      <c r="H683" s="337" t="s">
        <v>853</v>
      </c>
      <c r="I683" s="337" t="s">
        <v>767</v>
      </c>
      <c r="J683" s="337" t="s">
        <v>765</v>
      </c>
      <c r="K683" s="337"/>
      <c r="L683" s="337"/>
      <c r="M683" s="337" t="s">
        <v>784</v>
      </c>
      <c r="N683" s="337" t="s">
        <v>755</v>
      </c>
      <c r="O683" s="337" t="e">
        <v>#N/A</v>
      </c>
      <c r="P683" s="337"/>
      <c r="Q683" s="337" t="s">
        <v>845</v>
      </c>
      <c r="R683" s="343">
        <v>-697967.33</v>
      </c>
    </row>
    <row r="684" spans="1:18" x14ac:dyDescent="0.2">
      <c r="A684" s="342" t="s">
        <v>726</v>
      </c>
      <c r="B684" s="337" t="s">
        <v>789</v>
      </c>
      <c r="C684" s="337" t="s">
        <v>796</v>
      </c>
      <c r="D684" s="337" t="s">
        <v>739</v>
      </c>
      <c r="E684" s="337" t="s">
        <v>790</v>
      </c>
      <c r="F684" s="337" t="s">
        <v>771</v>
      </c>
      <c r="G684" s="337" t="s">
        <v>852</v>
      </c>
      <c r="H684" s="337" t="s">
        <v>853</v>
      </c>
      <c r="I684" s="337" t="s">
        <v>767</v>
      </c>
      <c r="J684" s="337" t="s">
        <v>765</v>
      </c>
      <c r="K684" s="337"/>
      <c r="L684" s="337"/>
      <c r="M684" s="337" t="s">
        <v>784</v>
      </c>
      <c r="N684" s="337" t="s">
        <v>755</v>
      </c>
      <c r="O684" s="337" t="e">
        <v>#N/A</v>
      </c>
      <c r="P684" s="337"/>
      <c r="Q684" s="337" t="s">
        <v>845</v>
      </c>
      <c r="R684" s="343">
        <v>-675452.25</v>
      </c>
    </row>
    <row r="685" spans="1:18" x14ac:dyDescent="0.2">
      <c r="A685" s="342" t="s">
        <v>733</v>
      </c>
      <c r="B685" s="337" t="s">
        <v>789</v>
      </c>
      <c r="C685" s="337" t="s">
        <v>796</v>
      </c>
      <c r="D685" s="337" t="s">
        <v>739</v>
      </c>
      <c r="E685" s="337" t="s">
        <v>790</v>
      </c>
      <c r="F685" s="337" t="s">
        <v>771</v>
      </c>
      <c r="G685" s="337" t="s">
        <v>852</v>
      </c>
      <c r="H685" s="337" t="s">
        <v>853</v>
      </c>
      <c r="I685" s="337" t="s">
        <v>767</v>
      </c>
      <c r="J685" s="337" t="s">
        <v>765</v>
      </c>
      <c r="K685" s="337"/>
      <c r="L685" s="337"/>
      <c r="M685" s="337" t="s">
        <v>784</v>
      </c>
      <c r="N685" s="337" t="s">
        <v>755</v>
      </c>
      <c r="O685" s="337" t="e">
        <v>#N/A</v>
      </c>
      <c r="P685" s="337"/>
      <c r="Q685" s="337" t="s">
        <v>845</v>
      </c>
      <c r="R685" s="343">
        <v>-697967.33</v>
      </c>
    </row>
    <row r="686" spans="1:18" x14ac:dyDescent="0.2">
      <c r="A686" s="342" t="s">
        <v>734</v>
      </c>
      <c r="B686" s="337" t="s">
        <v>789</v>
      </c>
      <c r="C686" s="337" t="s">
        <v>796</v>
      </c>
      <c r="D686" s="337" t="s">
        <v>739</v>
      </c>
      <c r="E686" s="337" t="s">
        <v>790</v>
      </c>
      <c r="F686" s="337" t="s">
        <v>771</v>
      </c>
      <c r="G686" s="337" t="s">
        <v>852</v>
      </c>
      <c r="H686" s="337" t="s">
        <v>853</v>
      </c>
      <c r="I686" s="337" t="s">
        <v>767</v>
      </c>
      <c r="J686" s="337" t="s">
        <v>765</v>
      </c>
      <c r="K686" s="337"/>
      <c r="L686" s="337"/>
      <c r="M686" s="337" t="s">
        <v>784</v>
      </c>
      <c r="N686" s="337" t="s">
        <v>755</v>
      </c>
      <c r="O686" s="337" t="e">
        <v>#N/A</v>
      </c>
      <c r="P686" s="337"/>
      <c r="Q686" s="337" t="s">
        <v>845</v>
      </c>
      <c r="R686" s="343">
        <v>-233157.51</v>
      </c>
    </row>
    <row r="687" spans="1:18" x14ac:dyDescent="0.2">
      <c r="A687" s="342" t="s">
        <v>735</v>
      </c>
      <c r="B687" s="337" t="s">
        <v>789</v>
      </c>
      <c r="C687" s="337" t="s">
        <v>796</v>
      </c>
      <c r="D687" s="337" t="s">
        <v>739</v>
      </c>
      <c r="E687" s="337" t="s">
        <v>790</v>
      </c>
      <c r="F687" s="337" t="s">
        <v>771</v>
      </c>
      <c r="G687" s="337" t="s">
        <v>852</v>
      </c>
      <c r="H687" s="337" t="s">
        <v>853</v>
      </c>
      <c r="I687" s="337" t="s">
        <v>767</v>
      </c>
      <c r="J687" s="337" t="s">
        <v>765</v>
      </c>
      <c r="K687" s="337"/>
      <c r="L687" s="337"/>
      <c r="M687" s="337" t="s">
        <v>784</v>
      </c>
      <c r="N687" s="337" t="s">
        <v>755</v>
      </c>
      <c r="O687" s="337" t="e">
        <v>#N/A</v>
      </c>
      <c r="P687" s="337"/>
      <c r="Q687" s="337" t="s">
        <v>845</v>
      </c>
      <c r="R687" s="343">
        <v>-210593.88</v>
      </c>
    </row>
    <row r="688" spans="1:18" x14ac:dyDescent="0.2">
      <c r="A688" s="342" t="s">
        <v>736</v>
      </c>
      <c r="B688" s="337" t="s">
        <v>789</v>
      </c>
      <c r="C688" s="337" t="s">
        <v>796</v>
      </c>
      <c r="D688" s="337" t="s">
        <v>739</v>
      </c>
      <c r="E688" s="337" t="s">
        <v>790</v>
      </c>
      <c r="F688" s="337" t="s">
        <v>771</v>
      </c>
      <c r="G688" s="337" t="s">
        <v>852</v>
      </c>
      <c r="H688" s="337" t="s">
        <v>853</v>
      </c>
      <c r="I688" s="337" t="s">
        <v>767</v>
      </c>
      <c r="J688" s="337" t="s">
        <v>765</v>
      </c>
      <c r="K688" s="337"/>
      <c r="L688" s="337"/>
      <c r="M688" s="337" t="s">
        <v>784</v>
      </c>
      <c r="N688" s="337" t="s">
        <v>755</v>
      </c>
      <c r="O688" s="337" t="e">
        <v>#N/A</v>
      </c>
      <c r="P688" s="337"/>
      <c r="Q688" s="337" t="s">
        <v>845</v>
      </c>
      <c r="R688" s="343">
        <v>-233157.51</v>
      </c>
    </row>
    <row r="689" spans="1:18" x14ac:dyDescent="0.2">
      <c r="A689" s="342" t="s">
        <v>737</v>
      </c>
      <c r="B689" s="337" t="s">
        <v>789</v>
      </c>
      <c r="C689" s="337" t="s">
        <v>796</v>
      </c>
      <c r="D689" s="337" t="s">
        <v>739</v>
      </c>
      <c r="E689" s="337" t="s">
        <v>790</v>
      </c>
      <c r="F689" s="337" t="s">
        <v>771</v>
      </c>
      <c r="G689" s="337" t="s">
        <v>852</v>
      </c>
      <c r="H689" s="337" t="s">
        <v>853</v>
      </c>
      <c r="I689" s="337" t="s">
        <v>767</v>
      </c>
      <c r="J689" s="337" t="s">
        <v>765</v>
      </c>
      <c r="K689" s="337"/>
      <c r="L689" s="337"/>
      <c r="M689" s="337" t="s">
        <v>784</v>
      </c>
      <c r="N689" s="337" t="s">
        <v>755</v>
      </c>
      <c r="O689" s="337" t="e">
        <v>#N/A</v>
      </c>
      <c r="P689" s="337"/>
      <c r="Q689" s="337" t="s">
        <v>845</v>
      </c>
      <c r="R689" s="343">
        <v>-227740.5</v>
      </c>
    </row>
    <row r="690" spans="1:18" x14ac:dyDescent="0.2">
      <c r="A690" s="342" t="s">
        <v>738</v>
      </c>
      <c r="B690" s="337" t="s">
        <v>789</v>
      </c>
      <c r="C690" s="337" t="s">
        <v>796</v>
      </c>
      <c r="D690" s="337" t="s">
        <v>739</v>
      </c>
      <c r="E690" s="337" t="s">
        <v>790</v>
      </c>
      <c r="F690" s="337" t="s">
        <v>771</v>
      </c>
      <c r="G690" s="337" t="s">
        <v>852</v>
      </c>
      <c r="H690" s="337" t="s">
        <v>853</v>
      </c>
      <c r="I690" s="337" t="s">
        <v>767</v>
      </c>
      <c r="J690" s="337" t="s">
        <v>765</v>
      </c>
      <c r="K690" s="337"/>
      <c r="L690" s="337"/>
      <c r="M690" s="337" t="s">
        <v>784</v>
      </c>
      <c r="N690" s="337" t="s">
        <v>755</v>
      </c>
      <c r="O690" s="337" t="e">
        <v>#N/A</v>
      </c>
      <c r="P690" s="337"/>
      <c r="Q690" s="337" t="s">
        <v>845</v>
      </c>
      <c r="R690" s="343">
        <v>-235331.85</v>
      </c>
    </row>
    <row r="691" spans="1:18" x14ac:dyDescent="0.2">
      <c r="A691" s="342" t="s">
        <v>727</v>
      </c>
      <c r="B691" s="337" t="s">
        <v>789</v>
      </c>
      <c r="C691" s="337" t="s">
        <v>796</v>
      </c>
      <c r="D691" s="337" t="s">
        <v>739</v>
      </c>
      <c r="E691" s="337" t="s">
        <v>790</v>
      </c>
      <c r="F691" s="337" t="s">
        <v>771</v>
      </c>
      <c r="G691" s="337" t="s">
        <v>852</v>
      </c>
      <c r="H691" s="337" t="s">
        <v>853</v>
      </c>
      <c r="I691" s="337" t="s">
        <v>767</v>
      </c>
      <c r="J691" s="337" t="s">
        <v>765</v>
      </c>
      <c r="K691" s="337"/>
      <c r="L691" s="337"/>
      <c r="M691" s="337" t="s">
        <v>784</v>
      </c>
      <c r="N691" s="337" t="s">
        <v>755</v>
      </c>
      <c r="O691" s="337" t="e">
        <v>#N/A</v>
      </c>
      <c r="P691" s="337"/>
      <c r="Q691" s="337" t="s">
        <v>845</v>
      </c>
      <c r="R691" s="343">
        <v>-227740.5</v>
      </c>
    </row>
    <row r="692" spans="1:18" x14ac:dyDescent="0.2">
      <c r="A692" s="342" t="s">
        <v>728</v>
      </c>
      <c r="B692" s="337" t="s">
        <v>789</v>
      </c>
      <c r="C692" s="337" t="s">
        <v>796</v>
      </c>
      <c r="D692" s="337" t="s">
        <v>739</v>
      </c>
      <c r="E692" s="337" t="s">
        <v>790</v>
      </c>
      <c r="F692" s="337" t="s">
        <v>771</v>
      </c>
      <c r="G692" s="337" t="s">
        <v>852</v>
      </c>
      <c r="H692" s="337" t="s">
        <v>853</v>
      </c>
      <c r="I692" s="337" t="s">
        <v>767</v>
      </c>
      <c r="J692" s="337" t="s">
        <v>765</v>
      </c>
      <c r="K692" s="337"/>
      <c r="L692" s="337"/>
      <c r="M692" s="337" t="s">
        <v>784</v>
      </c>
      <c r="N692" s="337" t="s">
        <v>755</v>
      </c>
      <c r="O692" s="337" t="e">
        <v>#N/A</v>
      </c>
      <c r="P692" s="337"/>
      <c r="Q692" s="337" t="s">
        <v>842</v>
      </c>
      <c r="R692" s="343">
        <v>-756179.75</v>
      </c>
    </row>
    <row r="693" spans="1:18" x14ac:dyDescent="0.2">
      <c r="A693" s="342" t="s">
        <v>730</v>
      </c>
      <c r="B693" s="337" t="s">
        <v>789</v>
      </c>
      <c r="C693" s="337" t="s">
        <v>796</v>
      </c>
      <c r="D693" s="337" t="s">
        <v>739</v>
      </c>
      <c r="E693" s="337" t="s">
        <v>790</v>
      </c>
      <c r="F693" s="337" t="s">
        <v>771</v>
      </c>
      <c r="G693" s="337" t="s">
        <v>852</v>
      </c>
      <c r="H693" s="337" t="s">
        <v>853</v>
      </c>
      <c r="I693" s="337" t="s">
        <v>767</v>
      </c>
      <c r="J693" s="337" t="s">
        <v>765</v>
      </c>
      <c r="K693" s="337"/>
      <c r="L693" s="337"/>
      <c r="M693" s="337" t="s">
        <v>784</v>
      </c>
      <c r="N693" s="337" t="s">
        <v>755</v>
      </c>
      <c r="O693" s="337" t="e">
        <v>#N/A</v>
      </c>
      <c r="P693" s="337"/>
      <c r="Q693" s="337" t="s">
        <v>842</v>
      </c>
      <c r="R693" s="343">
        <v>-1428339.53</v>
      </c>
    </row>
    <row r="694" spans="1:18" x14ac:dyDescent="0.2">
      <c r="A694" s="342" t="s">
        <v>731</v>
      </c>
      <c r="B694" s="337" t="s">
        <v>789</v>
      </c>
      <c r="C694" s="337" t="s">
        <v>796</v>
      </c>
      <c r="D694" s="337" t="s">
        <v>739</v>
      </c>
      <c r="E694" s="337" t="s">
        <v>790</v>
      </c>
      <c r="F694" s="337" t="s">
        <v>771</v>
      </c>
      <c r="G694" s="337" t="s">
        <v>852</v>
      </c>
      <c r="H694" s="337" t="s">
        <v>853</v>
      </c>
      <c r="I694" s="337" t="s">
        <v>767</v>
      </c>
      <c r="J694" s="337" t="s">
        <v>765</v>
      </c>
      <c r="K694" s="337"/>
      <c r="L694" s="337"/>
      <c r="M694" s="337" t="s">
        <v>784</v>
      </c>
      <c r="N694" s="337" t="s">
        <v>755</v>
      </c>
      <c r="O694" s="337" t="e">
        <v>#N/A</v>
      </c>
      <c r="P694" s="337"/>
      <c r="Q694" s="337" t="s">
        <v>842</v>
      </c>
      <c r="R694" s="343">
        <v>-1057025.46</v>
      </c>
    </row>
    <row r="695" spans="1:18" x14ac:dyDescent="0.2">
      <c r="A695" s="342" t="s">
        <v>732</v>
      </c>
      <c r="B695" s="337" t="s">
        <v>789</v>
      </c>
      <c r="C695" s="337" t="s">
        <v>796</v>
      </c>
      <c r="D695" s="337" t="s">
        <v>739</v>
      </c>
      <c r="E695" s="337" t="s">
        <v>790</v>
      </c>
      <c r="F695" s="337" t="s">
        <v>771</v>
      </c>
      <c r="G695" s="337" t="s">
        <v>852</v>
      </c>
      <c r="H695" s="337" t="s">
        <v>853</v>
      </c>
      <c r="I695" s="337" t="s">
        <v>767</v>
      </c>
      <c r="J695" s="337" t="s">
        <v>765</v>
      </c>
      <c r="K695" s="337"/>
      <c r="L695" s="337"/>
      <c r="M695" s="337" t="s">
        <v>784</v>
      </c>
      <c r="N695" s="337" t="s">
        <v>755</v>
      </c>
      <c r="O695" s="337" t="e">
        <v>#N/A</v>
      </c>
      <c r="P695" s="337"/>
      <c r="Q695" s="337" t="s">
        <v>842</v>
      </c>
      <c r="R695" s="343">
        <v>-995109.52</v>
      </c>
    </row>
    <row r="696" spans="1:18" x14ac:dyDescent="0.2">
      <c r="A696" s="342" t="s">
        <v>726</v>
      </c>
      <c r="B696" s="337" t="s">
        <v>789</v>
      </c>
      <c r="C696" s="337" t="s">
        <v>796</v>
      </c>
      <c r="D696" s="337" t="s">
        <v>739</v>
      </c>
      <c r="E696" s="337" t="s">
        <v>790</v>
      </c>
      <c r="F696" s="337" t="s">
        <v>771</v>
      </c>
      <c r="G696" s="337" t="s">
        <v>852</v>
      </c>
      <c r="H696" s="337" t="s">
        <v>853</v>
      </c>
      <c r="I696" s="337" t="s">
        <v>767</v>
      </c>
      <c r="J696" s="337" t="s">
        <v>765</v>
      </c>
      <c r="K696" s="337"/>
      <c r="L696" s="337"/>
      <c r="M696" s="337" t="s">
        <v>784</v>
      </c>
      <c r="N696" s="337" t="s">
        <v>755</v>
      </c>
      <c r="O696" s="337" t="e">
        <v>#N/A</v>
      </c>
      <c r="P696" s="337"/>
      <c r="Q696" s="337" t="s">
        <v>842</v>
      </c>
      <c r="R696" s="343">
        <v>-963009.22</v>
      </c>
    </row>
    <row r="697" spans="1:18" x14ac:dyDescent="0.2">
      <c r="A697" s="342" t="s">
        <v>733</v>
      </c>
      <c r="B697" s="337" t="s">
        <v>789</v>
      </c>
      <c r="C697" s="337" t="s">
        <v>796</v>
      </c>
      <c r="D697" s="337" t="s">
        <v>739</v>
      </c>
      <c r="E697" s="337" t="s">
        <v>790</v>
      </c>
      <c r="F697" s="337" t="s">
        <v>771</v>
      </c>
      <c r="G697" s="337" t="s">
        <v>852</v>
      </c>
      <c r="H697" s="337" t="s">
        <v>853</v>
      </c>
      <c r="I697" s="337" t="s">
        <v>767</v>
      </c>
      <c r="J697" s="337" t="s">
        <v>765</v>
      </c>
      <c r="K697" s="337"/>
      <c r="L697" s="337"/>
      <c r="M697" s="337" t="s">
        <v>784</v>
      </c>
      <c r="N697" s="337" t="s">
        <v>755</v>
      </c>
      <c r="O697" s="337" t="e">
        <v>#N/A</v>
      </c>
      <c r="P697" s="337"/>
      <c r="Q697" s="337" t="s">
        <v>842</v>
      </c>
      <c r="R697" s="343">
        <v>-995109.52</v>
      </c>
    </row>
    <row r="698" spans="1:18" x14ac:dyDescent="0.2">
      <c r="A698" s="342" t="s">
        <v>734</v>
      </c>
      <c r="B698" s="337" t="s">
        <v>789</v>
      </c>
      <c r="C698" s="337" t="s">
        <v>796</v>
      </c>
      <c r="D698" s="337" t="s">
        <v>739</v>
      </c>
      <c r="E698" s="337" t="s">
        <v>790</v>
      </c>
      <c r="F698" s="337" t="s">
        <v>771</v>
      </c>
      <c r="G698" s="337" t="s">
        <v>852</v>
      </c>
      <c r="H698" s="337" t="s">
        <v>853</v>
      </c>
      <c r="I698" s="337" t="s">
        <v>767</v>
      </c>
      <c r="J698" s="337" t="s">
        <v>765</v>
      </c>
      <c r="K698" s="337"/>
      <c r="L698" s="337"/>
      <c r="M698" s="337" t="s">
        <v>784</v>
      </c>
      <c r="N698" s="337" t="s">
        <v>755</v>
      </c>
      <c r="O698" s="337" t="e">
        <v>#N/A</v>
      </c>
      <c r="P698" s="337"/>
      <c r="Q698" s="337" t="s">
        <v>842</v>
      </c>
      <c r="R698" s="343">
        <v>0</v>
      </c>
    </row>
    <row r="699" spans="1:18" x14ac:dyDescent="0.2">
      <c r="A699" s="342" t="s">
        <v>731</v>
      </c>
      <c r="B699" s="337" t="s">
        <v>789</v>
      </c>
      <c r="C699" s="337" t="s">
        <v>796</v>
      </c>
      <c r="D699" s="337" t="s">
        <v>739</v>
      </c>
      <c r="E699" s="337" t="s">
        <v>790</v>
      </c>
      <c r="F699" s="337" t="s">
        <v>771</v>
      </c>
      <c r="G699" s="337" t="s">
        <v>852</v>
      </c>
      <c r="H699" s="337" t="s">
        <v>853</v>
      </c>
      <c r="I699" s="337" t="s">
        <v>767</v>
      </c>
      <c r="J699" s="337" t="s">
        <v>765</v>
      </c>
      <c r="K699" s="337"/>
      <c r="L699" s="337"/>
      <c r="M699" s="337" t="s">
        <v>784</v>
      </c>
      <c r="N699" s="337" t="s">
        <v>755</v>
      </c>
      <c r="O699" s="337" t="e">
        <v>#N/A</v>
      </c>
      <c r="P699" s="337"/>
      <c r="Q699" s="337" t="s">
        <v>851</v>
      </c>
      <c r="R699" s="343">
        <v>-35362.92</v>
      </c>
    </row>
    <row r="700" spans="1:18" x14ac:dyDescent="0.2">
      <c r="A700" s="342" t="s">
        <v>732</v>
      </c>
      <c r="B700" s="337" t="s">
        <v>789</v>
      </c>
      <c r="C700" s="337" t="s">
        <v>796</v>
      </c>
      <c r="D700" s="337" t="s">
        <v>739</v>
      </c>
      <c r="E700" s="337" t="s">
        <v>790</v>
      </c>
      <c r="F700" s="337" t="s">
        <v>771</v>
      </c>
      <c r="G700" s="337" t="s">
        <v>852</v>
      </c>
      <c r="H700" s="337" t="s">
        <v>853</v>
      </c>
      <c r="I700" s="337" t="s">
        <v>767</v>
      </c>
      <c r="J700" s="337" t="s">
        <v>765</v>
      </c>
      <c r="K700" s="337"/>
      <c r="L700" s="337"/>
      <c r="M700" s="337" t="s">
        <v>784</v>
      </c>
      <c r="N700" s="337" t="s">
        <v>755</v>
      </c>
      <c r="O700" s="337" t="e">
        <v>#N/A</v>
      </c>
      <c r="P700" s="337"/>
      <c r="Q700" s="337" t="s">
        <v>851</v>
      </c>
      <c r="R700" s="343">
        <v>0</v>
      </c>
    </row>
    <row r="701" spans="1:18" x14ac:dyDescent="0.2">
      <c r="A701" s="342" t="s">
        <v>728</v>
      </c>
      <c r="B701" s="337" t="s">
        <v>789</v>
      </c>
      <c r="C701" s="337" t="s">
        <v>796</v>
      </c>
      <c r="D701" s="337" t="s">
        <v>739</v>
      </c>
      <c r="E701" s="337" t="s">
        <v>790</v>
      </c>
      <c r="F701" s="337" t="s">
        <v>771</v>
      </c>
      <c r="G701" s="337" t="s">
        <v>852</v>
      </c>
      <c r="H701" s="337" t="s">
        <v>853</v>
      </c>
      <c r="I701" s="337" t="s">
        <v>767</v>
      </c>
      <c r="J701" s="337" t="s">
        <v>765</v>
      </c>
      <c r="K701" s="337"/>
      <c r="L701" s="337"/>
      <c r="M701" s="337" t="s">
        <v>802</v>
      </c>
      <c r="N701" s="337" t="s">
        <v>779</v>
      </c>
      <c r="O701" s="337" t="e">
        <v>#N/A</v>
      </c>
      <c r="P701" s="337"/>
      <c r="Q701" s="337" t="s">
        <v>856</v>
      </c>
      <c r="R701" s="343">
        <v>0</v>
      </c>
    </row>
    <row r="702" spans="1:18" x14ac:dyDescent="0.2">
      <c r="A702" s="342" t="s">
        <v>730</v>
      </c>
      <c r="B702" s="337" t="s">
        <v>789</v>
      </c>
      <c r="C702" s="337" t="s">
        <v>796</v>
      </c>
      <c r="D702" s="337" t="s">
        <v>739</v>
      </c>
      <c r="E702" s="337" t="s">
        <v>790</v>
      </c>
      <c r="F702" s="337" t="s">
        <v>771</v>
      </c>
      <c r="G702" s="337" t="s">
        <v>852</v>
      </c>
      <c r="H702" s="337" t="s">
        <v>853</v>
      </c>
      <c r="I702" s="337" t="s">
        <v>767</v>
      </c>
      <c r="J702" s="337" t="s">
        <v>765</v>
      </c>
      <c r="K702" s="337"/>
      <c r="L702" s="337"/>
      <c r="M702" s="337" t="s">
        <v>802</v>
      </c>
      <c r="N702" s="337" t="s">
        <v>779</v>
      </c>
      <c r="O702" s="337" t="e">
        <v>#N/A</v>
      </c>
      <c r="P702" s="337"/>
      <c r="Q702" s="337" t="s">
        <v>856</v>
      </c>
      <c r="R702" s="343">
        <v>-37003.9</v>
      </c>
    </row>
    <row r="703" spans="1:18" x14ac:dyDescent="0.2">
      <c r="A703" s="342" t="s">
        <v>731</v>
      </c>
      <c r="B703" s="337" t="s">
        <v>789</v>
      </c>
      <c r="C703" s="337" t="s">
        <v>796</v>
      </c>
      <c r="D703" s="337" t="s">
        <v>739</v>
      </c>
      <c r="E703" s="337" t="s">
        <v>790</v>
      </c>
      <c r="F703" s="337" t="s">
        <v>771</v>
      </c>
      <c r="G703" s="337" t="s">
        <v>852</v>
      </c>
      <c r="H703" s="337" t="s">
        <v>853</v>
      </c>
      <c r="I703" s="337" t="s">
        <v>767</v>
      </c>
      <c r="J703" s="337" t="s">
        <v>765</v>
      </c>
      <c r="K703" s="337"/>
      <c r="L703" s="337"/>
      <c r="M703" s="337" t="s">
        <v>802</v>
      </c>
      <c r="N703" s="337" t="s">
        <v>779</v>
      </c>
      <c r="O703" s="337" t="e">
        <v>#N/A</v>
      </c>
      <c r="P703" s="337"/>
      <c r="Q703" s="337" t="s">
        <v>856</v>
      </c>
      <c r="R703" s="343">
        <v>-17905.12</v>
      </c>
    </row>
    <row r="704" spans="1:18" x14ac:dyDescent="0.2">
      <c r="A704" s="342" t="s">
        <v>732</v>
      </c>
      <c r="B704" s="337" t="s">
        <v>789</v>
      </c>
      <c r="C704" s="337" t="s">
        <v>796</v>
      </c>
      <c r="D704" s="337" t="s">
        <v>739</v>
      </c>
      <c r="E704" s="337" t="s">
        <v>790</v>
      </c>
      <c r="F704" s="337" t="s">
        <v>771</v>
      </c>
      <c r="G704" s="337" t="s">
        <v>852</v>
      </c>
      <c r="H704" s="337" t="s">
        <v>853</v>
      </c>
      <c r="I704" s="337" t="s">
        <v>767</v>
      </c>
      <c r="J704" s="337" t="s">
        <v>765</v>
      </c>
      <c r="K704" s="337"/>
      <c r="L704" s="337"/>
      <c r="M704" s="337" t="s">
        <v>802</v>
      </c>
      <c r="N704" s="337" t="s">
        <v>779</v>
      </c>
      <c r="O704" s="337" t="e">
        <v>#N/A</v>
      </c>
      <c r="P704" s="337"/>
      <c r="Q704" s="337" t="s">
        <v>856</v>
      </c>
      <c r="R704" s="343">
        <v>-160400</v>
      </c>
    </row>
    <row r="705" spans="1:18" x14ac:dyDescent="0.2">
      <c r="A705" s="342" t="s">
        <v>726</v>
      </c>
      <c r="B705" s="337" t="s">
        <v>789</v>
      </c>
      <c r="C705" s="337" t="s">
        <v>796</v>
      </c>
      <c r="D705" s="337" t="s">
        <v>739</v>
      </c>
      <c r="E705" s="337" t="s">
        <v>790</v>
      </c>
      <c r="F705" s="337" t="s">
        <v>771</v>
      </c>
      <c r="G705" s="337" t="s">
        <v>852</v>
      </c>
      <c r="H705" s="337" t="s">
        <v>853</v>
      </c>
      <c r="I705" s="337" t="s">
        <v>767</v>
      </c>
      <c r="J705" s="337" t="s">
        <v>765</v>
      </c>
      <c r="K705" s="337"/>
      <c r="L705" s="337"/>
      <c r="M705" s="337" t="s">
        <v>802</v>
      </c>
      <c r="N705" s="337" t="s">
        <v>779</v>
      </c>
      <c r="O705" s="337" t="e">
        <v>#N/A</v>
      </c>
      <c r="P705" s="337"/>
      <c r="Q705" s="337" t="s">
        <v>856</v>
      </c>
      <c r="R705" s="343">
        <v>-152193.49</v>
      </c>
    </row>
    <row r="706" spans="1:18" x14ac:dyDescent="0.2">
      <c r="A706" s="342" t="s">
        <v>733</v>
      </c>
      <c r="B706" s="337" t="s">
        <v>789</v>
      </c>
      <c r="C706" s="337" t="s">
        <v>796</v>
      </c>
      <c r="D706" s="337" t="s">
        <v>739</v>
      </c>
      <c r="E706" s="337" t="s">
        <v>790</v>
      </c>
      <c r="F706" s="337" t="s">
        <v>771</v>
      </c>
      <c r="G706" s="337" t="s">
        <v>852</v>
      </c>
      <c r="H706" s="337" t="s">
        <v>853</v>
      </c>
      <c r="I706" s="337" t="s">
        <v>767</v>
      </c>
      <c r="J706" s="337" t="s">
        <v>765</v>
      </c>
      <c r="K706" s="337"/>
      <c r="L706" s="337"/>
      <c r="M706" s="337" t="s">
        <v>802</v>
      </c>
      <c r="N706" s="337" t="s">
        <v>779</v>
      </c>
      <c r="O706" s="337" t="e">
        <v>#N/A</v>
      </c>
      <c r="P706" s="337"/>
      <c r="Q706" s="337" t="s">
        <v>856</v>
      </c>
      <c r="R706" s="343">
        <v>-157266.6</v>
      </c>
    </row>
    <row r="707" spans="1:18" x14ac:dyDescent="0.2">
      <c r="A707" s="342" t="s">
        <v>734</v>
      </c>
      <c r="B707" s="337" t="s">
        <v>789</v>
      </c>
      <c r="C707" s="337" t="s">
        <v>796</v>
      </c>
      <c r="D707" s="337" t="s">
        <v>739</v>
      </c>
      <c r="E707" s="337" t="s">
        <v>790</v>
      </c>
      <c r="F707" s="337" t="s">
        <v>771</v>
      </c>
      <c r="G707" s="337" t="s">
        <v>852</v>
      </c>
      <c r="H707" s="337" t="s">
        <v>853</v>
      </c>
      <c r="I707" s="337" t="s">
        <v>767</v>
      </c>
      <c r="J707" s="337" t="s">
        <v>765</v>
      </c>
      <c r="K707" s="337"/>
      <c r="L707" s="337"/>
      <c r="M707" s="337" t="s">
        <v>802</v>
      </c>
      <c r="N707" s="337" t="s">
        <v>779</v>
      </c>
      <c r="O707" s="337" t="e">
        <v>#N/A</v>
      </c>
      <c r="P707" s="337"/>
      <c r="Q707" s="337" t="s">
        <v>856</v>
      </c>
      <c r="R707" s="343">
        <v>-161683.6</v>
      </c>
    </row>
    <row r="708" spans="1:18" x14ac:dyDescent="0.2">
      <c r="A708" s="342" t="s">
        <v>735</v>
      </c>
      <c r="B708" s="337" t="s">
        <v>789</v>
      </c>
      <c r="C708" s="337" t="s">
        <v>796</v>
      </c>
      <c r="D708" s="337" t="s">
        <v>739</v>
      </c>
      <c r="E708" s="337" t="s">
        <v>790</v>
      </c>
      <c r="F708" s="337" t="s">
        <v>771</v>
      </c>
      <c r="G708" s="337" t="s">
        <v>852</v>
      </c>
      <c r="H708" s="337" t="s">
        <v>853</v>
      </c>
      <c r="I708" s="337" t="s">
        <v>767</v>
      </c>
      <c r="J708" s="337" t="s">
        <v>765</v>
      </c>
      <c r="K708" s="337"/>
      <c r="L708" s="337"/>
      <c r="M708" s="337" t="s">
        <v>802</v>
      </c>
      <c r="N708" s="337" t="s">
        <v>779</v>
      </c>
      <c r="O708" s="337" t="e">
        <v>#N/A</v>
      </c>
      <c r="P708" s="337"/>
      <c r="Q708" s="337" t="s">
        <v>856</v>
      </c>
      <c r="R708" s="343">
        <v>-146036.79999999999</v>
      </c>
    </row>
    <row r="709" spans="1:18" x14ac:dyDescent="0.2">
      <c r="A709" s="342" t="s">
        <v>736</v>
      </c>
      <c r="B709" s="337" t="s">
        <v>789</v>
      </c>
      <c r="C709" s="337" t="s">
        <v>796</v>
      </c>
      <c r="D709" s="337" t="s">
        <v>739</v>
      </c>
      <c r="E709" s="337" t="s">
        <v>790</v>
      </c>
      <c r="F709" s="337" t="s">
        <v>771</v>
      </c>
      <c r="G709" s="337" t="s">
        <v>852</v>
      </c>
      <c r="H709" s="337" t="s">
        <v>853</v>
      </c>
      <c r="I709" s="337" t="s">
        <v>767</v>
      </c>
      <c r="J709" s="337" t="s">
        <v>765</v>
      </c>
      <c r="K709" s="337"/>
      <c r="L709" s="337"/>
      <c r="M709" s="337" t="s">
        <v>802</v>
      </c>
      <c r="N709" s="337" t="s">
        <v>779</v>
      </c>
      <c r="O709" s="337" t="e">
        <v>#N/A</v>
      </c>
      <c r="P709" s="337"/>
      <c r="Q709" s="337" t="s">
        <v>856</v>
      </c>
      <c r="R709" s="343">
        <v>832489.51</v>
      </c>
    </row>
    <row r="710" spans="1:18" x14ac:dyDescent="0.2">
      <c r="A710" s="342" t="s">
        <v>735</v>
      </c>
      <c r="B710" s="337" t="s">
        <v>789</v>
      </c>
      <c r="C710" s="337" t="s">
        <v>796</v>
      </c>
      <c r="D710" s="337" t="s">
        <v>739</v>
      </c>
      <c r="E710" s="337" t="s">
        <v>790</v>
      </c>
      <c r="F710" s="337" t="s">
        <v>771</v>
      </c>
      <c r="G710" s="337" t="s">
        <v>852</v>
      </c>
      <c r="H710" s="337" t="s">
        <v>853</v>
      </c>
      <c r="I710" s="337" t="s">
        <v>767</v>
      </c>
      <c r="J710" s="337" t="s">
        <v>765</v>
      </c>
      <c r="K710" s="337"/>
      <c r="L710" s="337"/>
      <c r="M710" s="337" t="s">
        <v>803</v>
      </c>
      <c r="N710" s="337" t="s">
        <v>804</v>
      </c>
      <c r="O710" s="337" t="e">
        <v>#N/A</v>
      </c>
      <c r="P710" s="337"/>
      <c r="Q710" s="337" t="s">
        <v>855</v>
      </c>
      <c r="R710" s="343">
        <v>-4693.96</v>
      </c>
    </row>
    <row r="711" spans="1:18" x14ac:dyDescent="0.2">
      <c r="A711" s="342" t="s">
        <v>736</v>
      </c>
      <c r="B711" s="337" t="s">
        <v>789</v>
      </c>
      <c r="C711" s="337" t="s">
        <v>796</v>
      </c>
      <c r="D711" s="337" t="s">
        <v>739</v>
      </c>
      <c r="E711" s="337" t="s">
        <v>790</v>
      </c>
      <c r="F711" s="337" t="s">
        <v>771</v>
      </c>
      <c r="G711" s="337" t="s">
        <v>852</v>
      </c>
      <c r="H711" s="337" t="s">
        <v>853</v>
      </c>
      <c r="I711" s="337" t="s">
        <v>767</v>
      </c>
      <c r="J711" s="337" t="s">
        <v>765</v>
      </c>
      <c r="K711" s="337"/>
      <c r="L711" s="337"/>
      <c r="M711" s="337" t="s">
        <v>803</v>
      </c>
      <c r="N711" s="337" t="s">
        <v>804</v>
      </c>
      <c r="O711" s="337" t="e">
        <v>#N/A</v>
      </c>
      <c r="P711" s="337"/>
      <c r="Q711" s="337" t="s">
        <v>855</v>
      </c>
      <c r="R711" s="343">
        <v>-10547.39</v>
      </c>
    </row>
    <row r="712" spans="1:18" x14ac:dyDescent="0.2">
      <c r="A712" s="342" t="s">
        <v>737</v>
      </c>
      <c r="B712" s="337" t="s">
        <v>789</v>
      </c>
      <c r="C712" s="337" t="s">
        <v>796</v>
      </c>
      <c r="D712" s="337" t="s">
        <v>739</v>
      </c>
      <c r="E712" s="337" t="s">
        <v>790</v>
      </c>
      <c r="F712" s="337" t="s">
        <v>771</v>
      </c>
      <c r="G712" s="337" t="s">
        <v>852</v>
      </c>
      <c r="H712" s="337" t="s">
        <v>853</v>
      </c>
      <c r="I712" s="337" t="s">
        <v>767</v>
      </c>
      <c r="J712" s="337" t="s">
        <v>765</v>
      </c>
      <c r="K712" s="337"/>
      <c r="L712" s="337"/>
      <c r="M712" s="337" t="s">
        <v>803</v>
      </c>
      <c r="N712" s="337" t="s">
        <v>804</v>
      </c>
      <c r="O712" s="337" t="e">
        <v>#N/A</v>
      </c>
      <c r="P712" s="337"/>
      <c r="Q712" s="337" t="s">
        <v>855</v>
      </c>
      <c r="R712" s="343">
        <v>5518.1</v>
      </c>
    </row>
    <row r="713" spans="1:18" x14ac:dyDescent="0.2">
      <c r="A713" s="342" t="s">
        <v>726</v>
      </c>
      <c r="B713" s="337" t="s">
        <v>789</v>
      </c>
      <c r="C713" s="337" t="s">
        <v>796</v>
      </c>
      <c r="D713" s="337" t="s">
        <v>739</v>
      </c>
      <c r="E713" s="337" t="s">
        <v>790</v>
      </c>
      <c r="F713" s="337" t="s">
        <v>771</v>
      </c>
      <c r="G713" s="337" t="s">
        <v>852</v>
      </c>
      <c r="H713" s="337" t="s">
        <v>853</v>
      </c>
      <c r="I713" s="337" t="s">
        <v>767</v>
      </c>
      <c r="J713" s="337" t="s">
        <v>765</v>
      </c>
      <c r="K713" s="337"/>
      <c r="L713" s="337"/>
      <c r="M713" s="337" t="s">
        <v>805</v>
      </c>
      <c r="N713" s="337" t="s">
        <v>806</v>
      </c>
      <c r="O713" s="337" t="e">
        <v>#N/A</v>
      </c>
      <c r="P713" s="337"/>
      <c r="Q713" s="337" t="s">
        <v>840</v>
      </c>
      <c r="R713" s="343">
        <v>-182894.05</v>
      </c>
    </row>
    <row r="714" spans="1:18" x14ac:dyDescent="0.2">
      <c r="A714" s="342" t="s">
        <v>733</v>
      </c>
      <c r="B714" s="337" t="s">
        <v>789</v>
      </c>
      <c r="C714" s="337" t="s">
        <v>796</v>
      </c>
      <c r="D714" s="337" t="s">
        <v>739</v>
      </c>
      <c r="E714" s="337" t="s">
        <v>790</v>
      </c>
      <c r="F714" s="337" t="s">
        <v>771</v>
      </c>
      <c r="G714" s="337" t="s">
        <v>852</v>
      </c>
      <c r="H714" s="337" t="s">
        <v>853</v>
      </c>
      <c r="I714" s="337" t="s">
        <v>767</v>
      </c>
      <c r="J714" s="337" t="s">
        <v>765</v>
      </c>
      <c r="K714" s="337"/>
      <c r="L714" s="337"/>
      <c r="M714" s="337" t="s">
        <v>805</v>
      </c>
      <c r="N714" s="337" t="s">
        <v>806</v>
      </c>
      <c r="O714" s="337" t="e">
        <v>#N/A</v>
      </c>
      <c r="P714" s="337"/>
      <c r="Q714" s="337" t="s">
        <v>840</v>
      </c>
      <c r="R714" s="343">
        <v>-37105.129999999997</v>
      </c>
    </row>
    <row r="715" spans="1:18" x14ac:dyDescent="0.2">
      <c r="A715" s="342" t="s">
        <v>734</v>
      </c>
      <c r="B715" s="337" t="s">
        <v>789</v>
      </c>
      <c r="C715" s="337" t="s">
        <v>796</v>
      </c>
      <c r="D715" s="337" t="s">
        <v>739</v>
      </c>
      <c r="E715" s="337" t="s">
        <v>790</v>
      </c>
      <c r="F715" s="337" t="s">
        <v>771</v>
      </c>
      <c r="G715" s="337" t="s">
        <v>852</v>
      </c>
      <c r="H715" s="337" t="s">
        <v>853</v>
      </c>
      <c r="I715" s="337" t="s">
        <v>767</v>
      </c>
      <c r="J715" s="337" t="s">
        <v>765</v>
      </c>
      <c r="K715" s="337"/>
      <c r="L715" s="337"/>
      <c r="M715" s="337" t="s">
        <v>805</v>
      </c>
      <c r="N715" s="337" t="s">
        <v>806</v>
      </c>
      <c r="O715" s="337" t="e">
        <v>#N/A</v>
      </c>
      <c r="P715" s="337"/>
      <c r="Q715" s="337" t="s">
        <v>840</v>
      </c>
      <c r="R715" s="343">
        <v>-25935.73</v>
      </c>
    </row>
    <row r="716" spans="1:18" x14ac:dyDescent="0.2">
      <c r="A716" s="342" t="s">
        <v>735</v>
      </c>
      <c r="B716" s="337" t="s">
        <v>789</v>
      </c>
      <c r="C716" s="337" t="s">
        <v>796</v>
      </c>
      <c r="D716" s="337" t="s">
        <v>739</v>
      </c>
      <c r="E716" s="337" t="s">
        <v>790</v>
      </c>
      <c r="F716" s="337" t="s">
        <v>771</v>
      </c>
      <c r="G716" s="337" t="s">
        <v>852</v>
      </c>
      <c r="H716" s="337" t="s">
        <v>853</v>
      </c>
      <c r="I716" s="337" t="s">
        <v>767</v>
      </c>
      <c r="J716" s="337" t="s">
        <v>765</v>
      </c>
      <c r="K716" s="337"/>
      <c r="L716" s="337"/>
      <c r="M716" s="337" t="s">
        <v>805</v>
      </c>
      <c r="N716" s="337" t="s">
        <v>806</v>
      </c>
      <c r="O716" s="337" t="e">
        <v>#N/A</v>
      </c>
      <c r="P716" s="337"/>
      <c r="Q716" s="337" t="s">
        <v>840</v>
      </c>
      <c r="R716" s="343">
        <v>-21705.59</v>
      </c>
    </row>
    <row r="717" spans="1:18" x14ac:dyDescent="0.2">
      <c r="A717" s="342" t="s">
        <v>736</v>
      </c>
      <c r="B717" s="337" t="s">
        <v>789</v>
      </c>
      <c r="C717" s="337" t="s">
        <v>796</v>
      </c>
      <c r="D717" s="337" t="s">
        <v>739</v>
      </c>
      <c r="E717" s="337" t="s">
        <v>790</v>
      </c>
      <c r="F717" s="337" t="s">
        <v>771</v>
      </c>
      <c r="G717" s="337" t="s">
        <v>852</v>
      </c>
      <c r="H717" s="337" t="s">
        <v>853</v>
      </c>
      <c r="I717" s="337" t="s">
        <v>767</v>
      </c>
      <c r="J717" s="337" t="s">
        <v>765</v>
      </c>
      <c r="K717" s="337"/>
      <c r="L717" s="337"/>
      <c r="M717" s="337" t="s">
        <v>805</v>
      </c>
      <c r="N717" s="337" t="s">
        <v>806</v>
      </c>
      <c r="O717" s="337" t="e">
        <v>#N/A</v>
      </c>
      <c r="P717" s="337"/>
      <c r="Q717" s="337" t="s">
        <v>840</v>
      </c>
      <c r="R717" s="343">
        <v>-25031.88</v>
      </c>
    </row>
    <row r="718" spans="1:18" x14ac:dyDescent="0.2">
      <c r="A718" s="342" t="s">
        <v>737</v>
      </c>
      <c r="B718" s="337" t="s">
        <v>789</v>
      </c>
      <c r="C718" s="337" t="s">
        <v>796</v>
      </c>
      <c r="D718" s="337" t="s">
        <v>739</v>
      </c>
      <c r="E718" s="337" t="s">
        <v>790</v>
      </c>
      <c r="F718" s="337" t="s">
        <v>771</v>
      </c>
      <c r="G718" s="337" t="s">
        <v>852</v>
      </c>
      <c r="H718" s="337" t="s">
        <v>853</v>
      </c>
      <c r="I718" s="337" t="s">
        <v>767</v>
      </c>
      <c r="J718" s="337" t="s">
        <v>765</v>
      </c>
      <c r="K718" s="337"/>
      <c r="L718" s="337"/>
      <c r="M718" s="337" t="s">
        <v>805</v>
      </c>
      <c r="N718" s="337" t="s">
        <v>806</v>
      </c>
      <c r="O718" s="337" t="e">
        <v>#N/A</v>
      </c>
      <c r="P718" s="337"/>
      <c r="Q718" s="337" t="s">
        <v>840</v>
      </c>
      <c r="R718" s="343">
        <v>-24450.34</v>
      </c>
    </row>
    <row r="719" spans="1:18" x14ac:dyDescent="0.2">
      <c r="A719" s="342" t="s">
        <v>738</v>
      </c>
      <c r="B719" s="337" t="s">
        <v>789</v>
      </c>
      <c r="C719" s="337" t="s">
        <v>796</v>
      </c>
      <c r="D719" s="337" t="s">
        <v>739</v>
      </c>
      <c r="E719" s="337" t="s">
        <v>790</v>
      </c>
      <c r="F719" s="337" t="s">
        <v>771</v>
      </c>
      <c r="G719" s="337" t="s">
        <v>852</v>
      </c>
      <c r="H719" s="337" t="s">
        <v>853</v>
      </c>
      <c r="I719" s="337" t="s">
        <v>767</v>
      </c>
      <c r="J719" s="337" t="s">
        <v>765</v>
      </c>
      <c r="K719" s="337"/>
      <c r="L719" s="337"/>
      <c r="M719" s="337" t="s">
        <v>805</v>
      </c>
      <c r="N719" s="337" t="s">
        <v>806</v>
      </c>
      <c r="O719" s="337" t="e">
        <v>#N/A</v>
      </c>
      <c r="P719" s="337"/>
      <c r="Q719" s="337" t="s">
        <v>840</v>
      </c>
      <c r="R719" s="343">
        <v>-25265.35</v>
      </c>
    </row>
    <row r="720" spans="1:18" x14ac:dyDescent="0.2">
      <c r="A720" s="342" t="s">
        <v>727</v>
      </c>
      <c r="B720" s="337" t="s">
        <v>789</v>
      </c>
      <c r="C720" s="337" t="s">
        <v>796</v>
      </c>
      <c r="D720" s="337" t="s">
        <v>739</v>
      </c>
      <c r="E720" s="337" t="s">
        <v>790</v>
      </c>
      <c r="F720" s="337" t="s">
        <v>771</v>
      </c>
      <c r="G720" s="337" t="s">
        <v>852</v>
      </c>
      <c r="H720" s="337" t="s">
        <v>853</v>
      </c>
      <c r="I720" s="337" t="s">
        <v>767</v>
      </c>
      <c r="J720" s="337" t="s">
        <v>765</v>
      </c>
      <c r="K720" s="337"/>
      <c r="L720" s="337"/>
      <c r="M720" s="337" t="s">
        <v>805</v>
      </c>
      <c r="N720" s="337" t="s">
        <v>806</v>
      </c>
      <c r="O720" s="337" t="e">
        <v>#N/A</v>
      </c>
      <c r="P720" s="337"/>
      <c r="Q720" s="337" t="s">
        <v>840</v>
      </c>
      <c r="R720" s="343">
        <v>-24450.34</v>
      </c>
    </row>
    <row r="721" spans="1:18" x14ac:dyDescent="0.2">
      <c r="A721" s="342" t="s">
        <v>735</v>
      </c>
      <c r="B721" s="337" t="s">
        <v>789</v>
      </c>
      <c r="C721" s="337" t="s">
        <v>796</v>
      </c>
      <c r="D721" s="337" t="s">
        <v>739</v>
      </c>
      <c r="E721" s="337" t="s">
        <v>790</v>
      </c>
      <c r="F721" s="337" t="s">
        <v>771</v>
      </c>
      <c r="G721" s="337" t="s">
        <v>852</v>
      </c>
      <c r="H721" s="337" t="s">
        <v>853</v>
      </c>
      <c r="I721" s="337" t="s">
        <v>767</v>
      </c>
      <c r="J721" s="337" t="s">
        <v>765</v>
      </c>
      <c r="K721" s="337"/>
      <c r="L721" s="337"/>
      <c r="M721" s="337" t="s">
        <v>805</v>
      </c>
      <c r="N721" s="337" t="s">
        <v>806</v>
      </c>
      <c r="O721" s="337" t="e">
        <v>#N/A</v>
      </c>
      <c r="P721" s="337"/>
      <c r="Q721" s="337" t="s">
        <v>841</v>
      </c>
      <c r="R721" s="343">
        <v>-131056.92</v>
      </c>
    </row>
    <row r="722" spans="1:18" x14ac:dyDescent="0.2">
      <c r="A722" s="342" t="s">
        <v>736</v>
      </c>
      <c r="B722" s="337" t="s">
        <v>789</v>
      </c>
      <c r="C722" s="337" t="s">
        <v>796</v>
      </c>
      <c r="D722" s="337" t="s">
        <v>739</v>
      </c>
      <c r="E722" s="337" t="s">
        <v>790</v>
      </c>
      <c r="F722" s="337" t="s">
        <v>771</v>
      </c>
      <c r="G722" s="337" t="s">
        <v>852</v>
      </c>
      <c r="H722" s="337" t="s">
        <v>853</v>
      </c>
      <c r="I722" s="337" t="s">
        <v>767</v>
      </c>
      <c r="J722" s="337" t="s">
        <v>765</v>
      </c>
      <c r="K722" s="337"/>
      <c r="L722" s="337"/>
      <c r="M722" s="337" t="s">
        <v>805</v>
      </c>
      <c r="N722" s="337" t="s">
        <v>806</v>
      </c>
      <c r="O722" s="337" t="e">
        <v>#N/A</v>
      </c>
      <c r="P722" s="337"/>
      <c r="Q722" s="337" t="s">
        <v>841</v>
      </c>
      <c r="R722" s="343">
        <v>-131056.92</v>
      </c>
    </row>
    <row r="723" spans="1:18" x14ac:dyDescent="0.2">
      <c r="A723" s="342" t="s">
        <v>737</v>
      </c>
      <c r="B723" s="337" t="s">
        <v>789</v>
      </c>
      <c r="C723" s="337" t="s">
        <v>796</v>
      </c>
      <c r="D723" s="337" t="s">
        <v>739</v>
      </c>
      <c r="E723" s="337" t="s">
        <v>790</v>
      </c>
      <c r="F723" s="337" t="s">
        <v>771</v>
      </c>
      <c r="G723" s="337" t="s">
        <v>852</v>
      </c>
      <c r="H723" s="337" t="s">
        <v>853</v>
      </c>
      <c r="I723" s="337" t="s">
        <v>767</v>
      </c>
      <c r="J723" s="337" t="s">
        <v>765</v>
      </c>
      <c r="K723" s="337"/>
      <c r="L723" s="337"/>
      <c r="M723" s="337" t="s">
        <v>805</v>
      </c>
      <c r="N723" s="337" t="s">
        <v>806</v>
      </c>
      <c r="O723" s="337" t="e">
        <v>#N/A</v>
      </c>
      <c r="P723" s="337"/>
      <c r="Q723" s="337" t="s">
        <v>841</v>
      </c>
      <c r="R723" s="343">
        <v>0</v>
      </c>
    </row>
    <row r="724" spans="1:18" x14ac:dyDescent="0.2">
      <c r="A724" s="342" t="s">
        <v>738</v>
      </c>
      <c r="B724" s="337" t="s">
        <v>789</v>
      </c>
      <c r="C724" s="337" t="s">
        <v>796</v>
      </c>
      <c r="D724" s="337" t="s">
        <v>739</v>
      </c>
      <c r="E724" s="337" t="s">
        <v>790</v>
      </c>
      <c r="F724" s="337" t="s">
        <v>771</v>
      </c>
      <c r="G724" s="337" t="s">
        <v>852</v>
      </c>
      <c r="H724" s="337" t="s">
        <v>853</v>
      </c>
      <c r="I724" s="337" t="s">
        <v>767</v>
      </c>
      <c r="J724" s="337" t="s">
        <v>765</v>
      </c>
      <c r="K724" s="337"/>
      <c r="L724" s="337"/>
      <c r="M724" s="337" t="s">
        <v>805</v>
      </c>
      <c r="N724" s="337" t="s">
        <v>806</v>
      </c>
      <c r="O724" s="337" t="e">
        <v>#N/A</v>
      </c>
      <c r="P724" s="337"/>
      <c r="Q724" s="337" t="s">
        <v>841</v>
      </c>
      <c r="R724" s="343">
        <v>-128012.03</v>
      </c>
    </row>
    <row r="725" spans="1:18" x14ac:dyDescent="0.2">
      <c r="A725" s="342" t="s">
        <v>727</v>
      </c>
      <c r="B725" s="337" t="s">
        <v>789</v>
      </c>
      <c r="C725" s="337" t="s">
        <v>796</v>
      </c>
      <c r="D725" s="337" t="s">
        <v>739</v>
      </c>
      <c r="E725" s="337" t="s">
        <v>790</v>
      </c>
      <c r="F725" s="337" t="s">
        <v>771</v>
      </c>
      <c r="G725" s="337" t="s">
        <v>852</v>
      </c>
      <c r="H725" s="337" t="s">
        <v>853</v>
      </c>
      <c r="I725" s="337" t="s">
        <v>767</v>
      </c>
      <c r="J725" s="337" t="s">
        <v>765</v>
      </c>
      <c r="K725" s="337"/>
      <c r="L725" s="337"/>
      <c r="M725" s="337" t="s">
        <v>805</v>
      </c>
      <c r="N725" s="337" t="s">
        <v>806</v>
      </c>
      <c r="O725" s="337" t="e">
        <v>#N/A</v>
      </c>
      <c r="P725" s="337"/>
      <c r="Q725" s="337" t="s">
        <v>841</v>
      </c>
      <c r="R725" s="343">
        <v>-260291.66</v>
      </c>
    </row>
    <row r="726" spans="1:18" x14ac:dyDescent="0.2">
      <c r="A726" s="342" t="s">
        <v>728</v>
      </c>
      <c r="B726" s="337" t="s">
        <v>789</v>
      </c>
      <c r="C726" s="337" t="s">
        <v>796</v>
      </c>
      <c r="D726" s="337" t="s">
        <v>739</v>
      </c>
      <c r="E726" s="337" t="s">
        <v>790</v>
      </c>
      <c r="F726" s="337" t="s">
        <v>771</v>
      </c>
      <c r="G726" s="337" t="s">
        <v>852</v>
      </c>
      <c r="H726" s="337" t="s">
        <v>853</v>
      </c>
      <c r="I726" s="337" t="s">
        <v>767</v>
      </c>
      <c r="J726" s="337" t="s">
        <v>765</v>
      </c>
      <c r="K726" s="337"/>
      <c r="L726" s="337"/>
      <c r="M726" s="337" t="s">
        <v>805</v>
      </c>
      <c r="N726" s="337" t="s">
        <v>806</v>
      </c>
      <c r="O726" s="337" t="e">
        <v>#N/A</v>
      </c>
      <c r="P726" s="337"/>
      <c r="Q726" s="337" t="s">
        <v>856</v>
      </c>
      <c r="R726" s="343">
        <v>-73036.62</v>
      </c>
    </row>
    <row r="727" spans="1:18" x14ac:dyDescent="0.2">
      <c r="A727" s="342" t="s">
        <v>730</v>
      </c>
      <c r="B727" s="337" t="s">
        <v>789</v>
      </c>
      <c r="C727" s="337" t="s">
        <v>796</v>
      </c>
      <c r="D727" s="337" t="s">
        <v>739</v>
      </c>
      <c r="E727" s="337" t="s">
        <v>790</v>
      </c>
      <c r="F727" s="337" t="s">
        <v>771</v>
      </c>
      <c r="G727" s="337" t="s">
        <v>852</v>
      </c>
      <c r="H727" s="337" t="s">
        <v>853</v>
      </c>
      <c r="I727" s="337" t="s">
        <v>767</v>
      </c>
      <c r="J727" s="337" t="s">
        <v>765</v>
      </c>
      <c r="K727" s="337"/>
      <c r="L727" s="337"/>
      <c r="M727" s="337" t="s">
        <v>805</v>
      </c>
      <c r="N727" s="337" t="s">
        <v>806</v>
      </c>
      <c r="O727" s="337" t="e">
        <v>#N/A</v>
      </c>
      <c r="P727" s="337"/>
      <c r="Q727" s="337" t="s">
        <v>856</v>
      </c>
      <c r="R727" s="343">
        <v>-73036.62</v>
      </c>
    </row>
    <row r="728" spans="1:18" x14ac:dyDescent="0.2">
      <c r="A728" s="342" t="s">
        <v>731</v>
      </c>
      <c r="B728" s="337" t="s">
        <v>789</v>
      </c>
      <c r="C728" s="337" t="s">
        <v>796</v>
      </c>
      <c r="D728" s="337" t="s">
        <v>739</v>
      </c>
      <c r="E728" s="337" t="s">
        <v>790</v>
      </c>
      <c r="F728" s="337" t="s">
        <v>771</v>
      </c>
      <c r="G728" s="337" t="s">
        <v>852</v>
      </c>
      <c r="H728" s="337" t="s">
        <v>853</v>
      </c>
      <c r="I728" s="337" t="s">
        <v>767</v>
      </c>
      <c r="J728" s="337" t="s">
        <v>765</v>
      </c>
      <c r="K728" s="337"/>
      <c r="L728" s="337"/>
      <c r="M728" s="337" t="s">
        <v>805</v>
      </c>
      <c r="N728" s="337" t="s">
        <v>806</v>
      </c>
      <c r="O728" s="337" t="e">
        <v>#N/A</v>
      </c>
      <c r="P728" s="337"/>
      <c r="Q728" s="337" t="s">
        <v>856</v>
      </c>
      <c r="R728" s="343">
        <v>-83769.600000000006</v>
      </c>
    </row>
    <row r="729" spans="1:18" x14ac:dyDescent="0.2">
      <c r="A729" s="342" t="s">
        <v>732</v>
      </c>
      <c r="B729" s="337" t="s">
        <v>789</v>
      </c>
      <c r="C729" s="337" t="s">
        <v>796</v>
      </c>
      <c r="D729" s="337" t="s">
        <v>739</v>
      </c>
      <c r="E729" s="337" t="s">
        <v>790</v>
      </c>
      <c r="F729" s="337" t="s">
        <v>771</v>
      </c>
      <c r="G729" s="337" t="s">
        <v>852</v>
      </c>
      <c r="H729" s="337" t="s">
        <v>853</v>
      </c>
      <c r="I729" s="337" t="s">
        <v>767</v>
      </c>
      <c r="J729" s="337" t="s">
        <v>765</v>
      </c>
      <c r="K729" s="337"/>
      <c r="L729" s="337"/>
      <c r="M729" s="337" t="s">
        <v>805</v>
      </c>
      <c r="N729" s="337" t="s">
        <v>806</v>
      </c>
      <c r="O729" s="337" t="e">
        <v>#N/A</v>
      </c>
      <c r="P729" s="337"/>
      <c r="Q729" s="337" t="s">
        <v>856</v>
      </c>
      <c r="R729" s="343">
        <v>-101439.75</v>
      </c>
    </row>
    <row r="730" spans="1:18" x14ac:dyDescent="0.2">
      <c r="A730" s="342" t="s">
        <v>726</v>
      </c>
      <c r="B730" s="337" t="s">
        <v>789</v>
      </c>
      <c r="C730" s="337" t="s">
        <v>796</v>
      </c>
      <c r="D730" s="337" t="s">
        <v>739</v>
      </c>
      <c r="E730" s="337" t="s">
        <v>790</v>
      </c>
      <c r="F730" s="337" t="s">
        <v>771</v>
      </c>
      <c r="G730" s="337" t="s">
        <v>852</v>
      </c>
      <c r="H730" s="337" t="s">
        <v>853</v>
      </c>
      <c r="I730" s="337" t="s">
        <v>767</v>
      </c>
      <c r="J730" s="337" t="s">
        <v>765</v>
      </c>
      <c r="K730" s="337"/>
      <c r="L730" s="337"/>
      <c r="M730" s="337" t="s">
        <v>805</v>
      </c>
      <c r="N730" s="337" t="s">
        <v>806</v>
      </c>
      <c r="O730" s="337" t="e">
        <v>#N/A</v>
      </c>
      <c r="P730" s="337"/>
      <c r="Q730" s="337" t="s">
        <v>856</v>
      </c>
      <c r="R730" s="343">
        <v>-109947.6</v>
      </c>
    </row>
    <row r="731" spans="1:18" x14ac:dyDescent="0.2">
      <c r="A731" s="342" t="s">
        <v>733</v>
      </c>
      <c r="B731" s="337" t="s">
        <v>789</v>
      </c>
      <c r="C731" s="337" t="s">
        <v>796</v>
      </c>
      <c r="D731" s="337" t="s">
        <v>739</v>
      </c>
      <c r="E731" s="337" t="s">
        <v>790</v>
      </c>
      <c r="F731" s="337" t="s">
        <v>771</v>
      </c>
      <c r="G731" s="337" t="s">
        <v>852</v>
      </c>
      <c r="H731" s="337" t="s">
        <v>853</v>
      </c>
      <c r="I731" s="337" t="s">
        <v>767</v>
      </c>
      <c r="J731" s="337" t="s">
        <v>765</v>
      </c>
      <c r="K731" s="337"/>
      <c r="L731" s="337"/>
      <c r="M731" s="337" t="s">
        <v>805</v>
      </c>
      <c r="N731" s="337" t="s">
        <v>806</v>
      </c>
      <c r="O731" s="337" t="e">
        <v>#N/A</v>
      </c>
      <c r="P731" s="337"/>
      <c r="Q731" s="337" t="s">
        <v>856</v>
      </c>
      <c r="R731" s="343">
        <v>-113612.52</v>
      </c>
    </row>
    <row r="732" spans="1:18" x14ac:dyDescent="0.2">
      <c r="A732" s="342" t="s">
        <v>734</v>
      </c>
      <c r="B732" s="337" t="s">
        <v>789</v>
      </c>
      <c r="C732" s="337" t="s">
        <v>796</v>
      </c>
      <c r="D732" s="337" t="s">
        <v>739</v>
      </c>
      <c r="E732" s="337" t="s">
        <v>790</v>
      </c>
      <c r="F732" s="337" t="s">
        <v>771</v>
      </c>
      <c r="G732" s="337" t="s">
        <v>852</v>
      </c>
      <c r="H732" s="337" t="s">
        <v>853</v>
      </c>
      <c r="I732" s="337" t="s">
        <v>767</v>
      </c>
      <c r="J732" s="337" t="s">
        <v>765</v>
      </c>
      <c r="K732" s="337"/>
      <c r="L732" s="337"/>
      <c r="M732" s="337" t="s">
        <v>805</v>
      </c>
      <c r="N732" s="337" t="s">
        <v>806</v>
      </c>
      <c r="O732" s="337" t="e">
        <v>#N/A</v>
      </c>
      <c r="P732" s="337"/>
      <c r="Q732" s="337" t="s">
        <v>856</v>
      </c>
      <c r="R732" s="343">
        <v>-116806.59</v>
      </c>
    </row>
    <row r="733" spans="1:18" x14ac:dyDescent="0.2">
      <c r="A733" s="342" t="s">
        <v>735</v>
      </c>
      <c r="B733" s="337" t="s">
        <v>789</v>
      </c>
      <c r="C733" s="337" t="s">
        <v>796</v>
      </c>
      <c r="D733" s="337" t="s">
        <v>739</v>
      </c>
      <c r="E733" s="337" t="s">
        <v>790</v>
      </c>
      <c r="F733" s="337" t="s">
        <v>771</v>
      </c>
      <c r="G733" s="337" t="s">
        <v>852</v>
      </c>
      <c r="H733" s="337" t="s">
        <v>853</v>
      </c>
      <c r="I733" s="337" t="s">
        <v>767</v>
      </c>
      <c r="J733" s="337" t="s">
        <v>765</v>
      </c>
      <c r="K733" s="337"/>
      <c r="L733" s="337"/>
      <c r="M733" s="337" t="s">
        <v>805</v>
      </c>
      <c r="N733" s="337" t="s">
        <v>806</v>
      </c>
      <c r="O733" s="337" t="e">
        <v>#N/A</v>
      </c>
      <c r="P733" s="337"/>
      <c r="Q733" s="337" t="s">
        <v>856</v>
      </c>
      <c r="R733" s="343">
        <v>-105502.72</v>
      </c>
    </row>
    <row r="734" spans="1:18" x14ac:dyDescent="0.2">
      <c r="A734" s="342" t="s">
        <v>736</v>
      </c>
      <c r="B734" s="337" t="s">
        <v>789</v>
      </c>
      <c r="C734" s="337" t="s">
        <v>796</v>
      </c>
      <c r="D734" s="337" t="s">
        <v>739</v>
      </c>
      <c r="E734" s="337" t="s">
        <v>790</v>
      </c>
      <c r="F734" s="337" t="s">
        <v>771</v>
      </c>
      <c r="G734" s="337" t="s">
        <v>852</v>
      </c>
      <c r="H734" s="337" t="s">
        <v>853</v>
      </c>
      <c r="I734" s="337" t="s">
        <v>767</v>
      </c>
      <c r="J734" s="337" t="s">
        <v>765</v>
      </c>
      <c r="K734" s="337"/>
      <c r="L734" s="337"/>
      <c r="M734" s="337" t="s">
        <v>805</v>
      </c>
      <c r="N734" s="337" t="s">
        <v>806</v>
      </c>
      <c r="O734" s="337" t="e">
        <v>#N/A</v>
      </c>
      <c r="P734" s="337"/>
      <c r="Q734" s="337" t="s">
        <v>856</v>
      </c>
      <c r="R734" s="343">
        <v>-116803.46</v>
      </c>
    </row>
    <row r="735" spans="1:18" x14ac:dyDescent="0.2">
      <c r="A735" s="342" t="s">
        <v>737</v>
      </c>
      <c r="B735" s="337" t="s">
        <v>789</v>
      </c>
      <c r="C735" s="337" t="s">
        <v>796</v>
      </c>
      <c r="D735" s="337" t="s">
        <v>739</v>
      </c>
      <c r="E735" s="337" t="s">
        <v>790</v>
      </c>
      <c r="F735" s="337" t="s">
        <v>771</v>
      </c>
      <c r="G735" s="337" t="s">
        <v>852</v>
      </c>
      <c r="H735" s="337" t="s">
        <v>853</v>
      </c>
      <c r="I735" s="337" t="s">
        <v>767</v>
      </c>
      <c r="J735" s="337" t="s">
        <v>765</v>
      </c>
      <c r="K735" s="337"/>
      <c r="L735" s="337"/>
      <c r="M735" s="337" t="s">
        <v>805</v>
      </c>
      <c r="N735" s="337" t="s">
        <v>806</v>
      </c>
      <c r="O735" s="337" t="e">
        <v>#N/A</v>
      </c>
      <c r="P735" s="337"/>
      <c r="Q735" s="337" t="s">
        <v>856</v>
      </c>
      <c r="R735" s="343">
        <v>-100924.65</v>
      </c>
    </row>
    <row r="736" spans="1:18" x14ac:dyDescent="0.2">
      <c r="A736" s="342" t="s">
        <v>738</v>
      </c>
      <c r="B736" s="337" t="s">
        <v>789</v>
      </c>
      <c r="C736" s="337" t="s">
        <v>796</v>
      </c>
      <c r="D736" s="337" t="s">
        <v>739</v>
      </c>
      <c r="E736" s="337" t="s">
        <v>790</v>
      </c>
      <c r="F736" s="337" t="s">
        <v>771</v>
      </c>
      <c r="G736" s="337" t="s">
        <v>852</v>
      </c>
      <c r="H736" s="337" t="s">
        <v>853</v>
      </c>
      <c r="I736" s="337" t="s">
        <v>767</v>
      </c>
      <c r="J736" s="337" t="s">
        <v>765</v>
      </c>
      <c r="K736" s="337"/>
      <c r="L736" s="337"/>
      <c r="M736" s="337" t="s">
        <v>805</v>
      </c>
      <c r="N736" s="337" t="s">
        <v>806</v>
      </c>
      <c r="O736" s="337" t="e">
        <v>#N/A</v>
      </c>
      <c r="P736" s="337"/>
      <c r="Q736" s="337" t="s">
        <v>856</v>
      </c>
      <c r="R736" s="343">
        <v>-88993.11</v>
      </c>
    </row>
    <row r="737" spans="1:18" x14ac:dyDescent="0.2">
      <c r="A737" s="342" t="s">
        <v>727</v>
      </c>
      <c r="B737" s="337" t="s">
        <v>789</v>
      </c>
      <c r="C737" s="337" t="s">
        <v>796</v>
      </c>
      <c r="D737" s="337" t="s">
        <v>739</v>
      </c>
      <c r="E737" s="337" t="s">
        <v>790</v>
      </c>
      <c r="F737" s="337" t="s">
        <v>771</v>
      </c>
      <c r="G737" s="337" t="s">
        <v>852</v>
      </c>
      <c r="H737" s="337" t="s">
        <v>853</v>
      </c>
      <c r="I737" s="337" t="s">
        <v>767</v>
      </c>
      <c r="J737" s="337" t="s">
        <v>765</v>
      </c>
      <c r="K737" s="337"/>
      <c r="L737" s="337"/>
      <c r="M737" s="337" t="s">
        <v>805</v>
      </c>
      <c r="N737" s="337" t="s">
        <v>806</v>
      </c>
      <c r="O737" s="337" t="e">
        <v>#N/A</v>
      </c>
      <c r="P737" s="337"/>
      <c r="Q737" s="337" t="s">
        <v>856</v>
      </c>
      <c r="R737" s="343">
        <v>-72665.75</v>
      </c>
    </row>
    <row r="738" spans="1:18" x14ac:dyDescent="0.2">
      <c r="A738" s="342" t="s">
        <v>728</v>
      </c>
      <c r="B738" s="337" t="s">
        <v>789</v>
      </c>
      <c r="C738" s="337" t="s">
        <v>796</v>
      </c>
      <c r="D738" s="337" t="s">
        <v>739</v>
      </c>
      <c r="E738" s="337" t="s">
        <v>790</v>
      </c>
      <c r="F738" s="337" t="s">
        <v>771</v>
      </c>
      <c r="G738" s="337" t="s">
        <v>852</v>
      </c>
      <c r="H738" s="337" t="s">
        <v>853</v>
      </c>
      <c r="I738" s="337" t="s">
        <v>767</v>
      </c>
      <c r="J738" s="337" t="s">
        <v>765</v>
      </c>
      <c r="K738" s="337"/>
      <c r="L738" s="337"/>
      <c r="M738" s="337" t="s">
        <v>807</v>
      </c>
      <c r="N738" s="337" t="s">
        <v>760</v>
      </c>
      <c r="O738" s="337" t="e">
        <v>#N/A</v>
      </c>
      <c r="P738" s="337"/>
      <c r="Q738" s="337" t="s">
        <v>854</v>
      </c>
      <c r="R738" s="343">
        <v>-990.54</v>
      </c>
    </row>
    <row r="739" spans="1:18" x14ac:dyDescent="0.2">
      <c r="A739" s="342" t="s">
        <v>730</v>
      </c>
      <c r="B739" s="337" t="s">
        <v>789</v>
      </c>
      <c r="C739" s="337" t="s">
        <v>796</v>
      </c>
      <c r="D739" s="337" t="s">
        <v>739</v>
      </c>
      <c r="E739" s="337" t="s">
        <v>790</v>
      </c>
      <c r="F739" s="337" t="s">
        <v>771</v>
      </c>
      <c r="G739" s="337" t="s">
        <v>852</v>
      </c>
      <c r="H739" s="337" t="s">
        <v>853</v>
      </c>
      <c r="I739" s="337" t="s">
        <v>767</v>
      </c>
      <c r="J739" s="337" t="s">
        <v>765</v>
      </c>
      <c r="K739" s="337"/>
      <c r="L739" s="337"/>
      <c r="M739" s="337" t="s">
        <v>807</v>
      </c>
      <c r="N739" s="337" t="s">
        <v>760</v>
      </c>
      <c r="O739" s="337" t="e">
        <v>#N/A</v>
      </c>
      <c r="P739" s="337"/>
      <c r="Q739" s="337" t="s">
        <v>854</v>
      </c>
      <c r="R739" s="343">
        <v>-990.54</v>
      </c>
    </row>
    <row r="740" spans="1:18" x14ac:dyDescent="0.2">
      <c r="A740" s="342" t="s">
        <v>731</v>
      </c>
      <c r="B740" s="337" t="s">
        <v>789</v>
      </c>
      <c r="C740" s="337" t="s">
        <v>796</v>
      </c>
      <c r="D740" s="337" t="s">
        <v>739</v>
      </c>
      <c r="E740" s="337" t="s">
        <v>790</v>
      </c>
      <c r="F740" s="337" t="s">
        <v>771</v>
      </c>
      <c r="G740" s="337" t="s">
        <v>852</v>
      </c>
      <c r="H740" s="337" t="s">
        <v>853</v>
      </c>
      <c r="I740" s="337" t="s">
        <v>767</v>
      </c>
      <c r="J740" s="337" t="s">
        <v>765</v>
      </c>
      <c r="K740" s="337"/>
      <c r="L740" s="337"/>
      <c r="M740" s="337" t="s">
        <v>807</v>
      </c>
      <c r="N740" s="337" t="s">
        <v>760</v>
      </c>
      <c r="O740" s="337" t="e">
        <v>#N/A</v>
      </c>
      <c r="P740" s="337"/>
      <c r="Q740" s="337" t="s">
        <v>854</v>
      </c>
      <c r="R740" s="343">
        <v>-990.54</v>
      </c>
    </row>
    <row r="741" spans="1:18" x14ac:dyDescent="0.2">
      <c r="A741" s="342" t="s">
        <v>732</v>
      </c>
      <c r="B741" s="337" t="s">
        <v>789</v>
      </c>
      <c r="C741" s="337" t="s">
        <v>796</v>
      </c>
      <c r="D741" s="337" t="s">
        <v>739</v>
      </c>
      <c r="E741" s="337" t="s">
        <v>790</v>
      </c>
      <c r="F741" s="337" t="s">
        <v>771</v>
      </c>
      <c r="G741" s="337" t="s">
        <v>852</v>
      </c>
      <c r="H741" s="337" t="s">
        <v>853</v>
      </c>
      <c r="I741" s="337" t="s">
        <v>767</v>
      </c>
      <c r="J741" s="337" t="s">
        <v>765</v>
      </c>
      <c r="K741" s="337"/>
      <c r="L741" s="337"/>
      <c r="M741" s="337" t="s">
        <v>807</v>
      </c>
      <c r="N741" s="337" t="s">
        <v>760</v>
      </c>
      <c r="O741" s="337" t="e">
        <v>#N/A</v>
      </c>
      <c r="P741" s="337"/>
      <c r="Q741" s="337" t="s">
        <v>854</v>
      </c>
      <c r="R741" s="343">
        <v>-992.68</v>
      </c>
    </row>
    <row r="742" spans="1:18" x14ac:dyDescent="0.2">
      <c r="A742" s="342" t="s">
        <v>726</v>
      </c>
      <c r="B742" s="337" t="s">
        <v>789</v>
      </c>
      <c r="C742" s="337" t="s">
        <v>796</v>
      </c>
      <c r="D742" s="337" t="s">
        <v>739</v>
      </c>
      <c r="E742" s="337" t="s">
        <v>790</v>
      </c>
      <c r="F742" s="337" t="s">
        <v>771</v>
      </c>
      <c r="G742" s="337" t="s">
        <v>852</v>
      </c>
      <c r="H742" s="337" t="s">
        <v>853</v>
      </c>
      <c r="I742" s="337" t="s">
        <v>767</v>
      </c>
      <c r="J742" s="337" t="s">
        <v>765</v>
      </c>
      <c r="K742" s="337"/>
      <c r="L742" s="337"/>
      <c r="M742" s="337" t="s">
        <v>807</v>
      </c>
      <c r="N742" s="337" t="s">
        <v>760</v>
      </c>
      <c r="O742" s="337" t="e">
        <v>#N/A</v>
      </c>
      <c r="P742" s="337"/>
      <c r="Q742" s="337" t="s">
        <v>854</v>
      </c>
      <c r="R742" s="343">
        <v>-992.68</v>
      </c>
    </row>
    <row r="743" spans="1:18" x14ac:dyDescent="0.2">
      <c r="A743" s="342" t="s">
        <v>733</v>
      </c>
      <c r="B743" s="337" t="s">
        <v>789</v>
      </c>
      <c r="C743" s="337" t="s">
        <v>796</v>
      </c>
      <c r="D743" s="337" t="s">
        <v>739</v>
      </c>
      <c r="E743" s="337" t="s">
        <v>790</v>
      </c>
      <c r="F743" s="337" t="s">
        <v>771</v>
      </c>
      <c r="G743" s="337" t="s">
        <v>852</v>
      </c>
      <c r="H743" s="337" t="s">
        <v>853</v>
      </c>
      <c r="I743" s="337" t="s">
        <v>767</v>
      </c>
      <c r="J743" s="337" t="s">
        <v>765</v>
      </c>
      <c r="K743" s="337"/>
      <c r="L743" s="337"/>
      <c r="M743" s="337" t="s">
        <v>807</v>
      </c>
      <c r="N743" s="337" t="s">
        <v>760</v>
      </c>
      <c r="O743" s="337" t="e">
        <v>#N/A</v>
      </c>
      <c r="P743" s="337"/>
      <c r="Q743" s="337" t="s">
        <v>854</v>
      </c>
      <c r="R743" s="343">
        <v>-992.68</v>
      </c>
    </row>
    <row r="744" spans="1:18" x14ac:dyDescent="0.2">
      <c r="A744" s="342" t="s">
        <v>734</v>
      </c>
      <c r="B744" s="337" t="s">
        <v>789</v>
      </c>
      <c r="C744" s="337" t="s">
        <v>796</v>
      </c>
      <c r="D744" s="337" t="s">
        <v>739</v>
      </c>
      <c r="E744" s="337" t="s">
        <v>790</v>
      </c>
      <c r="F744" s="337" t="s">
        <v>771</v>
      </c>
      <c r="G744" s="337" t="s">
        <v>852</v>
      </c>
      <c r="H744" s="337" t="s">
        <v>853</v>
      </c>
      <c r="I744" s="337" t="s">
        <v>767</v>
      </c>
      <c r="J744" s="337" t="s">
        <v>765</v>
      </c>
      <c r="K744" s="337"/>
      <c r="L744" s="337"/>
      <c r="M744" s="337" t="s">
        <v>807</v>
      </c>
      <c r="N744" s="337" t="s">
        <v>760</v>
      </c>
      <c r="O744" s="337" t="e">
        <v>#N/A</v>
      </c>
      <c r="P744" s="337"/>
      <c r="Q744" s="337" t="s">
        <v>854</v>
      </c>
      <c r="R744" s="343">
        <v>-994.82</v>
      </c>
    </row>
    <row r="745" spans="1:18" x14ac:dyDescent="0.2">
      <c r="A745" s="342" t="s">
        <v>735</v>
      </c>
      <c r="B745" s="337" t="s">
        <v>789</v>
      </c>
      <c r="C745" s="337" t="s">
        <v>796</v>
      </c>
      <c r="D745" s="337" t="s">
        <v>739</v>
      </c>
      <c r="E745" s="337" t="s">
        <v>790</v>
      </c>
      <c r="F745" s="337" t="s">
        <v>771</v>
      </c>
      <c r="G745" s="337" t="s">
        <v>852</v>
      </c>
      <c r="H745" s="337" t="s">
        <v>853</v>
      </c>
      <c r="I745" s="337" t="s">
        <v>767</v>
      </c>
      <c r="J745" s="337" t="s">
        <v>765</v>
      </c>
      <c r="K745" s="337"/>
      <c r="L745" s="337"/>
      <c r="M745" s="337" t="s">
        <v>807</v>
      </c>
      <c r="N745" s="337" t="s">
        <v>760</v>
      </c>
      <c r="O745" s="337" t="e">
        <v>#N/A</v>
      </c>
      <c r="P745" s="337"/>
      <c r="Q745" s="337" t="s">
        <v>854</v>
      </c>
      <c r="R745" s="343">
        <v>-994.82</v>
      </c>
    </row>
    <row r="746" spans="1:18" x14ac:dyDescent="0.2">
      <c r="A746" s="342" t="s">
        <v>736</v>
      </c>
      <c r="B746" s="337" t="s">
        <v>789</v>
      </c>
      <c r="C746" s="337" t="s">
        <v>796</v>
      </c>
      <c r="D746" s="337" t="s">
        <v>739</v>
      </c>
      <c r="E746" s="337" t="s">
        <v>790</v>
      </c>
      <c r="F746" s="337" t="s">
        <v>771</v>
      </c>
      <c r="G746" s="337" t="s">
        <v>852</v>
      </c>
      <c r="H746" s="337" t="s">
        <v>853</v>
      </c>
      <c r="I746" s="337" t="s">
        <v>767</v>
      </c>
      <c r="J746" s="337" t="s">
        <v>765</v>
      </c>
      <c r="K746" s="337"/>
      <c r="L746" s="337"/>
      <c r="M746" s="337" t="s">
        <v>807</v>
      </c>
      <c r="N746" s="337" t="s">
        <v>760</v>
      </c>
      <c r="O746" s="337" t="e">
        <v>#N/A</v>
      </c>
      <c r="P746" s="337"/>
      <c r="Q746" s="337" t="s">
        <v>854</v>
      </c>
      <c r="R746" s="343">
        <v>-994.82</v>
      </c>
    </row>
    <row r="747" spans="1:18" x14ac:dyDescent="0.2">
      <c r="A747" s="342" t="s">
        <v>737</v>
      </c>
      <c r="B747" s="337" t="s">
        <v>789</v>
      </c>
      <c r="C747" s="337" t="s">
        <v>796</v>
      </c>
      <c r="D747" s="337" t="s">
        <v>739</v>
      </c>
      <c r="E747" s="337" t="s">
        <v>790</v>
      </c>
      <c r="F747" s="337" t="s">
        <v>771</v>
      </c>
      <c r="G747" s="337" t="s">
        <v>852</v>
      </c>
      <c r="H747" s="337" t="s">
        <v>853</v>
      </c>
      <c r="I747" s="337" t="s">
        <v>767</v>
      </c>
      <c r="J747" s="337" t="s">
        <v>765</v>
      </c>
      <c r="K747" s="337"/>
      <c r="L747" s="337"/>
      <c r="M747" s="337" t="s">
        <v>807</v>
      </c>
      <c r="N747" s="337" t="s">
        <v>760</v>
      </c>
      <c r="O747" s="337" t="e">
        <v>#N/A</v>
      </c>
      <c r="P747" s="337"/>
      <c r="Q747" s="337" t="s">
        <v>854</v>
      </c>
      <c r="R747" s="343">
        <v>-1004.1</v>
      </c>
    </row>
    <row r="748" spans="1:18" x14ac:dyDescent="0.2">
      <c r="A748" s="342" t="s">
        <v>738</v>
      </c>
      <c r="B748" s="337" t="s">
        <v>789</v>
      </c>
      <c r="C748" s="337" t="s">
        <v>796</v>
      </c>
      <c r="D748" s="337" t="s">
        <v>739</v>
      </c>
      <c r="E748" s="337" t="s">
        <v>790</v>
      </c>
      <c r="F748" s="337" t="s">
        <v>771</v>
      </c>
      <c r="G748" s="337" t="s">
        <v>852</v>
      </c>
      <c r="H748" s="337" t="s">
        <v>853</v>
      </c>
      <c r="I748" s="337" t="s">
        <v>767</v>
      </c>
      <c r="J748" s="337" t="s">
        <v>765</v>
      </c>
      <c r="K748" s="337"/>
      <c r="L748" s="337"/>
      <c r="M748" s="337" t="s">
        <v>807</v>
      </c>
      <c r="N748" s="337" t="s">
        <v>760</v>
      </c>
      <c r="O748" s="337" t="e">
        <v>#N/A</v>
      </c>
      <c r="P748" s="337"/>
      <c r="Q748" s="337" t="s">
        <v>854</v>
      </c>
      <c r="R748" s="343">
        <v>-1004.1</v>
      </c>
    </row>
    <row r="749" spans="1:18" x14ac:dyDescent="0.2">
      <c r="A749" s="342" t="s">
        <v>727</v>
      </c>
      <c r="B749" s="337" t="s">
        <v>789</v>
      </c>
      <c r="C749" s="337" t="s">
        <v>796</v>
      </c>
      <c r="D749" s="337" t="s">
        <v>739</v>
      </c>
      <c r="E749" s="337" t="s">
        <v>790</v>
      </c>
      <c r="F749" s="337" t="s">
        <v>771</v>
      </c>
      <c r="G749" s="337" t="s">
        <v>852</v>
      </c>
      <c r="H749" s="337" t="s">
        <v>853</v>
      </c>
      <c r="I749" s="337" t="s">
        <v>767</v>
      </c>
      <c r="J749" s="337" t="s">
        <v>765</v>
      </c>
      <c r="K749" s="337"/>
      <c r="L749" s="337"/>
      <c r="M749" s="337" t="s">
        <v>807</v>
      </c>
      <c r="N749" s="337" t="s">
        <v>760</v>
      </c>
      <c r="O749" s="337" t="e">
        <v>#N/A</v>
      </c>
      <c r="P749" s="337"/>
      <c r="Q749" s="337" t="s">
        <v>854</v>
      </c>
      <c r="R749" s="343">
        <v>-1004.1</v>
      </c>
    </row>
    <row r="750" spans="1:18" x14ac:dyDescent="0.2">
      <c r="A750" s="342" t="s">
        <v>728</v>
      </c>
      <c r="B750" s="337" t="s">
        <v>789</v>
      </c>
      <c r="C750" s="337" t="s">
        <v>796</v>
      </c>
      <c r="D750" s="337" t="s">
        <v>739</v>
      </c>
      <c r="E750" s="337" t="s">
        <v>790</v>
      </c>
      <c r="F750" s="337" t="s">
        <v>771</v>
      </c>
      <c r="G750" s="337" t="s">
        <v>852</v>
      </c>
      <c r="H750" s="337" t="s">
        <v>853</v>
      </c>
      <c r="I750" s="337" t="s">
        <v>767</v>
      </c>
      <c r="J750" s="337" t="s">
        <v>765</v>
      </c>
      <c r="K750" s="337"/>
      <c r="L750" s="337"/>
      <c r="M750" s="337" t="s">
        <v>807</v>
      </c>
      <c r="N750" s="337" t="s">
        <v>760</v>
      </c>
      <c r="O750" s="337" t="e">
        <v>#N/A</v>
      </c>
      <c r="P750" s="337"/>
      <c r="Q750" s="337" t="s">
        <v>843</v>
      </c>
      <c r="R750" s="343">
        <v>-723.05</v>
      </c>
    </row>
    <row r="751" spans="1:18" x14ac:dyDescent="0.2">
      <c r="A751" s="342" t="s">
        <v>730</v>
      </c>
      <c r="B751" s="337" t="s">
        <v>789</v>
      </c>
      <c r="C751" s="337" t="s">
        <v>796</v>
      </c>
      <c r="D751" s="337" t="s">
        <v>739</v>
      </c>
      <c r="E751" s="337" t="s">
        <v>790</v>
      </c>
      <c r="F751" s="337" t="s">
        <v>771</v>
      </c>
      <c r="G751" s="337" t="s">
        <v>852</v>
      </c>
      <c r="H751" s="337" t="s">
        <v>853</v>
      </c>
      <c r="I751" s="337" t="s">
        <v>767</v>
      </c>
      <c r="J751" s="337" t="s">
        <v>765</v>
      </c>
      <c r="K751" s="337"/>
      <c r="L751" s="337"/>
      <c r="M751" s="337" t="s">
        <v>807</v>
      </c>
      <c r="N751" s="337" t="s">
        <v>760</v>
      </c>
      <c r="O751" s="337" t="e">
        <v>#N/A</v>
      </c>
      <c r="P751" s="337"/>
      <c r="Q751" s="337" t="s">
        <v>843</v>
      </c>
      <c r="R751" s="343">
        <v>-1342.81</v>
      </c>
    </row>
    <row r="752" spans="1:18" x14ac:dyDescent="0.2">
      <c r="A752" s="342" t="s">
        <v>731</v>
      </c>
      <c r="B752" s="337" t="s">
        <v>789</v>
      </c>
      <c r="C752" s="337" t="s">
        <v>796</v>
      </c>
      <c r="D752" s="337" t="s">
        <v>739</v>
      </c>
      <c r="E752" s="337" t="s">
        <v>790</v>
      </c>
      <c r="F752" s="337" t="s">
        <v>771</v>
      </c>
      <c r="G752" s="337" t="s">
        <v>852</v>
      </c>
      <c r="H752" s="337" t="s">
        <v>853</v>
      </c>
      <c r="I752" s="337" t="s">
        <v>767</v>
      </c>
      <c r="J752" s="337" t="s">
        <v>765</v>
      </c>
      <c r="K752" s="337"/>
      <c r="L752" s="337"/>
      <c r="M752" s="337" t="s">
        <v>807</v>
      </c>
      <c r="N752" s="337" t="s">
        <v>760</v>
      </c>
      <c r="O752" s="337" t="e">
        <v>#N/A</v>
      </c>
      <c r="P752" s="337"/>
      <c r="Q752" s="337" t="s">
        <v>843</v>
      </c>
      <c r="R752" s="343">
        <v>-1032.93</v>
      </c>
    </row>
    <row r="753" spans="1:18" x14ac:dyDescent="0.2">
      <c r="A753" s="342" t="s">
        <v>732</v>
      </c>
      <c r="B753" s="337" t="s">
        <v>789</v>
      </c>
      <c r="C753" s="337" t="s">
        <v>796</v>
      </c>
      <c r="D753" s="337" t="s">
        <v>739</v>
      </c>
      <c r="E753" s="337" t="s">
        <v>790</v>
      </c>
      <c r="F753" s="337" t="s">
        <v>771</v>
      </c>
      <c r="G753" s="337" t="s">
        <v>852</v>
      </c>
      <c r="H753" s="337" t="s">
        <v>853</v>
      </c>
      <c r="I753" s="337" t="s">
        <v>767</v>
      </c>
      <c r="J753" s="337" t="s">
        <v>765</v>
      </c>
      <c r="K753" s="337"/>
      <c r="L753" s="337"/>
      <c r="M753" s="337" t="s">
        <v>807</v>
      </c>
      <c r="N753" s="337" t="s">
        <v>760</v>
      </c>
      <c r="O753" s="337" t="e">
        <v>#N/A</v>
      </c>
      <c r="P753" s="337"/>
      <c r="Q753" s="337" t="s">
        <v>843</v>
      </c>
      <c r="R753" s="343">
        <v>-1035.1600000000001</v>
      </c>
    </row>
    <row r="754" spans="1:18" x14ac:dyDescent="0.2">
      <c r="A754" s="342" t="s">
        <v>726</v>
      </c>
      <c r="B754" s="337" t="s">
        <v>789</v>
      </c>
      <c r="C754" s="337" t="s">
        <v>796</v>
      </c>
      <c r="D754" s="337" t="s">
        <v>739</v>
      </c>
      <c r="E754" s="337" t="s">
        <v>790</v>
      </c>
      <c r="F754" s="337" t="s">
        <v>771</v>
      </c>
      <c r="G754" s="337" t="s">
        <v>852</v>
      </c>
      <c r="H754" s="337" t="s">
        <v>853</v>
      </c>
      <c r="I754" s="337" t="s">
        <v>767</v>
      </c>
      <c r="J754" s="337" t="s">
        <v>765</v>
      </c>
      <c r="K754" s="337"/>
      <c r="L754" s="337"/>
      <c r="M754" s="337" t="s">
        <v>807</v>
      </c>
      <c r="N754" s="337" t="s">
        <v>760</v>
      </c>
      <c r="O754" s="337" t="e">
        <v>#N/A</v>
      </c>
      <c r="P754" s="337"/>
      <c r="Q754" s="337" t="s">
        <v>843</v>
      </c>
      <c r="R754" s="343">
        <v>-1035.1600000000001</v>
      </c>
    </row>
    <row r="755" spans="1:18" x14ac:dyDescent="0.2">
      <c r="A755" s="342" t="s">
        <v>733</v>
      </c>
      <c r="B755" s="337" t="s">
        <v>789</v>
      </c>
      <c r="C755" s="337" t="s">
        <v>796</v>
      </c>
      <c r="D755" s="337" t="s">
        <v>739</v>
      </c>
      <c r="E755" s="337" t="s">
        <v>790</v>
      </c>
      <c r="F755" s="337" t="s">
        <v>771</v>
      </c>
      <c r="G755" s="337" t="s">
        <v>852</v>
      </c>
      <c r="H755" s="337" t="s">
        <v>853</v>
      </c>
      <c r="I755" s="337" t="s">
        <v>767</v>
      </c>
      <c r="J755" s="337" t="s">
        <v>765</v>
      </c>
      <c r="K755" s="337"/>
      <c r="L755" s="337"/>
      <c r="M755" s="337" t="s">
        <v>807</v>
      </c>
      <c r="N755" s="337" t="s">
        <v>760</v>
      </c>
      <c r="O755" s="337" t="e">
        <v>#N/A</v>
      </c>
      <c r="P755" s="337"/>
      <c r="Q755" s="337" t="s">
        <v>843</v>
      </c>
      <c r="R755" s="343">
        <v>0</v>
      </c>
    </row>
    <row r="756" spans="1:18" x14ac:dyDescent="0.2">
      <c r="A756" s="342" t="s">
        <v>728</v>
      </c>
      <c r="B756" s="337" t="s">
        <v>789</v>
      </c>
      <c r="C756" s="337" t="s">
        <v>796</v>
      </c>
      <c r="D756" s="337" t="s">
        <v>739</v>
      </c>
      <c r="E756" s="337" t="s">
        <v>790</v>
      </c>
      <c r="F756" s="337" t="s">
        <v>771</v>
      </c>
      <c r="G756" s="337" t="s">
        <v>852</v>
      </c>
      <c r="H756" s="337" t="s">
        <v>853</v>
      </c>
      <c r="I756" s="337" t="s">
        <v>767</v>
      </c>
      <c r="J756" s="337" t="s">
        <v>765</v>
      </c>
      <c r="K756" s="337"/>
      <c r="L756" s="337"/>
      <c r="M756" s="337" t="s">
        <v>807</v>
      </c>
      <c r="N756" s="337" t="s">
        <v>760</v>
      </c>
      <c r="O756" s="337" t="e">
        <v>#N/A</v>
      </c>
      <c r="P756" s="337"/>
      <c r="Q756" s="337" t="s">
        <v>857</v>
      </c>
      <c r="R756" s="343">
        <v>-10.02</v>
      </c>
    </row>
    <row r="757" spans="1:18" x14ac:dyDescent="0.2">
      <c r="A757" s="342" t="s">
        <v>730</v>
      </c>
      <c r="B757" s="337" t="s">
        <v>789</v>
      </c>
      <c r="C757" s="337" t="s">
        <v>796</v>
      </c>
      <c r="D757" s="337" t="s">
        <v>739</v>
      </c>
      <c r="E757" s="337" t="s">
        <v>790</v>
      </c>
      <c r="F757" s="337" t="s">
        <v>771</v>
      </c>
      <c r="G757" s="337" t="s">
        <v>852</v>
      </c>
      <c r="H757" s="337" t="s">
        <v>853</v>
      </c>
      <c r="I757" s="337" t="s">
        <v>767</v>
      </c>
      <c r="J757" s="337" t="s">
        <v>765</v>
      </c>
      <c r="K757" s="337"/>
      <c r="L757" s="337"/>
      <c r="M757" s="337" t="s">
        <v>807</v>
      </c>
      <c r="N757" s="337" t="s">
        <v>760</v>
      </c>
      <c r="O757" s="337" t="e">
        <v>#N/A</v>
      </c>
      <c r="P757" s="337"/>
      <c r="Q757" s="337" t="s">
        <v>857</v>
      </c>
      <c r="R757" s="343">
        <v>0</v>
      </c>
    </row>
    <row r="758" spans="1:18" x14ac:dyDescent="0.2">
      <c r="A758" s="342" t="s">
        <v>731</v>
      </c>
      <c r="B758" s="337" t="s">
        <v>789</v>
      </c>
      <c r="C758" s="337" t="s">
        <v>796</v>
      </c>
      <c r="D758" s="337" t="s">
        <v>739</v>
      </c>
      <c r="E758" s="337" t="s">
        <v>790</v>
      </c>
      <c r="F758" s="337" t="s">
        <v>771</v>
      </c>
      <c r="G758" s="337" t="s">
        <v>852</v>
      </c>
      <c r="H758" s="337" t="s">
        <v>853</v>
      </c>
      <c r="I758" s="337" t="s">
        <v>767</v>
      </c>
      <c r="J758" s="337" t="s">
        <v>765</v>
      </c>
      <c r="K758" s="337"/>
      <c r="L758" s="337"/>
      <c r="M758" s="337" t="s">
        <v>807</v>
      </c>
      <c r="N758" s="337" t="s">
        <v>760</v>
      </c>
      <c r="O758" s="337" t="e">
        <v>#N/A</v>
      </c>
      <c r="P758" s="337"/>
      <c r="Q758" s="337" t="s">
        <v>857</v>
      </c>
      <c r="R758" s="343">
        <v>993.95</v>
      </c>
    </row>
    <row r="759" spans="1:18" x14ac:dyDescent="0.2">
      <c r="A759" s="342" t="s">
        <v>728</v>
      </c>
      <c r="B759" s="337" t="s">
        <v>789</v>
      </c>
      <c r="C759" s="337" t="s">
        <v>796</v>
      </c>
      <c r="D759" s="337" t="s">
        <v>739</v>
      </c>
      <c r="E759" s="337" t="s">
        <v>790</v>
      </c>
      <c r="F759" s="337" t="s">
        <v>771</v>
      </c>
      <c r="G759" s="337" t="s">
        <v>852</v>
      </c>
      <c r="H759" s="337" t="s">
        <v>853</v>
      </c>
      <c r="I759" s="337" t="s">
        <v>767</v>
      </c>
      <c r="J759" s="337" t="s">
        <v>765</v>
      </c>
      <c r="K759" s="337"/>
      <c r="L759" s="337"/>
      <c r="M759" s="337" t="s">
        <v>807</v>
      </c>
      <c r="N759" s="337" t="s">
        <v>760</v>
      </c>
      <c r="O759" s="337" t="e">
        <v>#N/A</v>
      </c>
      <c r="P759" s="337"/>
      <c r="Q759" s="337" t="s">
        <v>839</v>
      </c>
      <c r="R759" s="343">
        <v>-693.38</v>
      </c>
    </row>
    <row r="760" spans="1:18" x14ac:dyDescent="0.2">
      <c r="A760" s="342" t="s">
        <v>730</v>
      </c>
      <c r="B760" s="337" t="s">
        <v>789</v>
      </c>
      <c r="C760" s="337" t="s">
        <v>796</v>
      </c>
      <c r="D760" s="337" t="s">
        <v>739</v>
      </c>
      <c r="E760" s="337" t="s">
        <v>790</v>
      </c>
      <c r="F760" s="337" t="s">
        <v>771</v>
      </c>
      <c r="G760" s="337" t="s">
        <v>852</v>
      </c>
      <c r="H760" s="337" t="s">
        <v>853</v>
      </c>
      <c r="I760" s="337" t="s">
        <v>767</v>
      </c>
      <c r="J760" s="337" t="s">
        <v>765</v>
      </c>
      <c r="K760" s="337"/>
      <c r="L760" s="337"/>
      <c r="M760" s="337" t="s">
        <v>807</v>
      </c>
      <c r="N760" s="337" t="s">
        <v>760</v>
      </c>
      <c r="O760" s="337" t="e">
        <v>#N/A</v>
      </c>
      <c r="P760" s="337"/>
      <c r="Q760" s="337" t="s">
        <v>839</v>
      </c>
      <c r="R760" s="343">
        <v>-1287.7</v>
      </c>
    </row>
    <row r="761" spans="1:18" x14ac:dyDescent="0.2">
      <c r="A761" s="342" t="s">
        <v>731</v>
      </c>
      <c r="B761" s="337" t="s">
        <v>789</v>
      </c>
      <c r="C761" s="337" t="s">
        <v>796</v>
      </c>
      <c r="D761" s="337" t="s">
        <v>739</v>
      </c>
      <c r="E761" s="337" t="s">
        <v>790</v>
      </c>
      <c r="F761" s="337" t="s">
        <v>771</v>
      </c>
      <c r="G761" s="337" t="s">
        <v>852</v>
      </c>
      <c r="H761" s="337" t="s">
        <v>853</v>
      </c>
      <c r="I761" s="337" t="s">
        <v>767</v>
      </c>
      <c r="J761" s="337" t="s">
        <v>765</v>
      </c>
      <c r="K761" s="337"/>
      <c r="L761" s="337"/>
      <c r="M761" s="337" t="s">
        <v>807</v>
      </c>
      <c r="N761" s="337" t="s">
        <v>760</v>
      </c>
      <c r="O761" s="337" t="e">
        <v>#N/A</v>
      </c>
      <c r="P761" s="337"/>
      <c r="Q761" s="337" t="s">
        <v>839</v>
      </c>
      <c r="R761" s="343">
        <v>798.82</v>
      </c>
    </row>
    <row r="762" spans="1:18" x14ac:dyDescent="0.2">
      <c r="A762" s="342" t="s">
        <v>732</v>
      </c>
      <c r="B762" s="337" t="s">
        <v>789</v>
      </c>
      <c r="C762" s="337" t="s">
        <v>796</v>
      </c>
      <c r="D762" s="337" t="s">
        <v>739</v>
      </c>
      <c r="E762" s="337" t="s">
        <v>790</v>
      </c>
      <c r="F762" s="337" t="s">
        <v>771</v>
      </c>
      <c r="G762" s="337" t="s">
        <v>852</v>
      </c>
      <c r="H762" s="337" t="s">
        <v>853</v>
      </c>
      <c r="I762" s="337" t="s">
        <v>767</v>
      </c>
      <c r="J762" s="337" t="s">
        <v>765</v>
      </c>
      <c r="K762" s="337"/>
      <c r="L762" s="337"/>
      <c r="M762" s="337" t="s">
        <v>807</v>
      </c>
      <c r="N762" s="337" t="s">
        <v>760</v>
      </c>
      <c r="O762" s="337" t="e">
        <v>#N/A</v>
      </c>
      <c r="P762" s="337"/>
      <c r="Q762" s="337" t="s">
        <v>839</v>
      </c>
      <c r="R762" s="343">
        <v>-992.68</v>
      </c>
    </row>
    <row r="763" spans="1:18" x14ac:dyDescent="0.2">
      <c r="A763" s="342" t="s">
        <v>726</v>
      </c>
      <c r="B763" s="337" t="s">
        <v>789</v>
      </c>
      <c r="C763" s="337" t="s">
        <v>796</v>
      </c>
      <c r="D763" s="337" t="s">
        <v>739</v>
      </c>
      <c r="E763" s="337" t="s">
        <v>790</v>
      </c>
      <c r="F763" s="337" t="s">
        <v>771</v>
      </c>
      <c r="G763" s="337" t="s">
        <v>852</v>
      </c>
      <c r="H763" s="337" t="s">
        <v>853</v>
      </c>
      <c r="I763" s="337" t="s">
        <v>767</v>
      </c>
      <c r="J763" s="337" t="s">
        <v>765</v>
      </c>
      <c r="K763" s="337"/>
      <c r="L763" s="337"/>
      <c r="M763" s="337" t="s">
        <v>807</v>
      </c>
      <c r="N763" s="337" t="s">
        <v>760</v>
      </c>
      <c r="O763" s="337" t="e">
        <v>#N/A</v>
      </c>
      <c r="P763" s="337"/>
      <c r="Q763" s="337" t="s">
        <v>839</v>
      </c>
      <c r="R763" s="343">
        <v>-992.68</v>
      </c>
    </row>
    <row r="764" spans="1:18" x14ac:dyDescent="0.2">
      <c r="A764" s="342" t="s">
        <v>733</v>
      </c>
      <c r="B764" s="337" t="s">
        <v>789</v>
      </c>
      <c r="C764" s="337" t="s">
        <v>796</v>
      </c>
      <c r="D764" s="337" t="s">
        <v>739</v>
      </c>
      <c r="E764" s="337" t="s">
        <v>790</v>
      </c>
      <c r="F764" s="337" t="s">
        <v>771</v>
      </c>
      <c r="G764" s="337" t="s">
        <v>852</v>
      </c>
      <c r="H764" s="337" t="s">
        <v>853</v>
      </c>
      <c r="I764" s="337" t="s">
        <v>767</v>
      </c>
      <c r="J764" s="337" t="s">
        <v>765</v>
      </c>
      <c r="K764" s="337"/>
      <c r="L764" s="337"/>
      <c r="M764" s="337" t="s">
        <v>807</v>
      </c>
      <c r="N764" s="337" t="s">
        <v>760</v>
      </c>
      <c r="O764" s="337" t="e">
        <v>#N/A</v>
      </c>
      <c r="P764" s="337"/>
      <c r="Q764" s="337" t="s">
        <v>839</v>
      </c>
      <c r="R764" s="343">
        <v>-992.68</v>
      </c>
    </row>
    <row r="765" spans="1:18" x14ac:dyDescent="0.2">
      <c r="A765" s="342" t="s">
        <v>734</v>
      </c>
      <c r="B765" s="337" t="s">
        <v>789</v>
      </c>
      <c r="C765" s="337" t="s">
        <v>796</v>
      </c>
      <c r="D765" s="337" t="s">
        <v>739</v>
      </c>
      <c r="E765" s="337" t="s">
        <v>790</v>
      </c>
      <c r="F765" s="337" t="s">
        <v>771</v>
      </c>
      <c r="G765" s="337" t="s">
        <v>852</v>
      </c>
      <c r="H765" s="337" t="s">
        <v>853</v>
      </c>
      <c r="I765" s="337" t="s">
        <v>767</v>
      </c>
      <c r="J765" s="337" t="s">
        <v>765</v>
      </c>
      <c r="K765" s="337"/>
      <c r="L765" s="337"/>
      <c r="M765" s="337" t="s">
        <v>807</v>
      </c>
      <c r="N765" s="337" t="s">
        <v>760</v>
      </c>
      <c r="O765" s="337" t="e">
        <v>#N/A</v>
      </c>
      <c r="P765" s="337"/>
      <c r="Q765" s="337" t="s">
        <v>839</v>
      </c>
      <c r="R765" s="343">
        <v>-994.82</v>
      </c>
    </row>
    <row r="766" spans="1:18" x14ac:dyDescent="0.2">
      <c r="A766" s="342" t="s">
        <v>735</v>
      </c>
      <c r="B766" s="337" t="s">
        <v>789</v>
      </c>
      <c r="C766" s="337" t="s">
        <v>796</v>
      </c>
      <c r="D766" s="337" t="s">
        <v>739</v>
      </c>
      <c r="E766" s="337" t="s">
        <v>790</v>
      </c>
      <c r="F766" s="337" t="s">
        <v>771</v>
      </c>
      <c r="G766" s="337" t="s">
        <v>852</v>
      </c>
      <c r="H766" s="337" t="s">
        <v>853</v>
      </c>
      <c r="I766" s="337" t="s">
        <v>767</v>
      </c>
      <c r="J766" s="337" t="s">
        <v>765</v>
      </c>
      <c r="K766" s="337"/>
      <c r="L766" s="337"/>
      <c r="M766" s="337" t="s">
        <v>807</v>
      </c>
      <c r="N766" s="337" t="s">
        <v>760</v>
      </c>
      <c r="O766" s="337" t="e">
        <v>#N/A</v>
      </c>
      <c r="P766" s="337"/>
      <c r="Q766" s="337" t="s">
        <v>839</v>
      </c>
      <c r="R766" s="343">
        <v>-994.82</v>
      </c>
    </row>
    <row r="767" spans="1:18" x14ac:dyDescent="0.2">
      <c r="A767" s="342" t="s">
        <v>736</v>
      </c>
      <c r="B767" s="337" t="s">
        <v>789</v>
      </c>
      <c r="C767" s="337" t="s">
        <v>796</v>
      </c>
      <c r="D767" s="337" t="s">
        <v>739</v>
      </c>
      <c r="E767" s="337" t="s">
        <v>790</v>
      </c>
      <c r="F767" s="337" t="s">
        <v>771</v>
      </c>
      <c r="G767" s="337" t="s">
        <v>852</v>
      </c>
      <c r="H767" s="337" t="s">
        <v>853</v>
      </c>
      <c r="I767" s="337" t="s">
        <v>767</v>
      </c>
      <c r="J767" s="337" t="s">
        <v>765</v>
      </c>
      <c r="K767" s="337"/>
      <c r="L767" s="337"/>
      <c r="M767" s="337" t="s">
        <v>807</v>
      </c>
      <c r="N767" s="337" t="s">
        <v>760</v>
      </c>
      <c r="O767" s="337" t="e">
        <v>#N/A</v>
      </c>
      <c r="P767" s="337"/>
      <c r="Q767" s="337" t="s">
        <v>839</v>
      </c>
      <c r="R767" s="343">
        <v>-994.82</v>
      </c>
    </row>
    <row r="768" spans="1:18" x14ac:dyDescent="0.2">
      <c r="A768" s="342" t="s">
        <v>737</v>
      </c>
      <c r="B768" s="337" t="s">
        <v>789</v>
      </c>
      <c r="C768" s="337" t="s">
        <v>796</v>
      </c>
      <c r="D768" s="337" t="s">
        <v>739</v>
      </c>
      <c r="E768" s="337" t="s">
        <v>790</v>
      </c>
      <c r="F768" s="337" t="s">
        <v>771</v>
      </c>
      <c r="G768" s="337" t="s">
        <v>852</v>
      </c>
      <c r="H768" s="337" t="s">
        <v>853</v>
      </c>
      <c r="I768" s="337" t="s">
        <v>767</v>
      </c>
      <c r="J768" s="337" t="s">
        <v>765</v>
      </c>
      <c r="K768" s="337"/>
      <c r="L768" s="337"/>
      <c r="M768" s="337" t="s">
        <v>807</v>
      </c>
      <c r="N768" s="337" t="s">
        <v>760</v>
      </c>
      <c r="O768" s="337" t="e">
        <v>#N/A</v>
      </c>
      <c r="P768" s="337"/>
      <c r="Q768" s="337" t="s">
        <v>839</v>
      </c>
      <c r="R768" s="343">
        <v>-1004.1</v>
      </c>
    </row>
    <row r="769" spans="1:18" x14ac:dyDescent="0.2">
      <c r="A769" s="342" t="s">
        <v>738</v>
      </c>
      <c r="B769" s="337" t="s">
        <v>789</v>
      </c>
      <c r="C769" s="337" t="s">
        <v>796</v>
      </c>
      <c r="D769" s="337" t="s">
        <v>739</v>
      </c>
      <c r="E769" s="337" t="s">
        <v>790</v>
      </c>
      <c r="F769" s="337" t="s">
        <v>771</v>
      </c>
      <c r="G769" s="337" t="s">
        <v>852</v>
      </c>
      <c r="H769" s="337" t="s">
        <v>853</v>
      </c>
      <c r="I769" s="337" t="s">
        <v>767</v>
      </c>
      <c r="J769" s="337" t="s">
        <v>765</v>
      </c>
      <c r="K769" s="337"/>
      <c r="L769" s="337"/>
      <c r="M769" s="337" t="s">
        <v>807</v>
      </c>
      <c r="N769" s="337" t="s">
        <v>760</v>
      </c>
      <c r="O769" s="337" t="e">
        <v>#N/A</v>
      </c>
      <c r="P769" s="337"/>
      <c r="Q769" s="337" t="s">
        <v>839</v>
      </c>
      <c r="R769" s="343">
        <v>-1004.1</v>
      </c>
    </row>
    <row r="770" spans="1:18" x14ac:dyDescent="0.2">
      <c r="A770" s="342" t="s">
        <v>727</v>
      </c>
      <c r="B770" s="337" t="s">
        <v>789</v>
      </c>
      <c r="C770" s="337" t="s">
        <v>796</v>
      </c>
      <c r="D770" s="337" t="s">
        <v>739</v>
      </c>
      <c r="E770" s="337" t="s">
        <v>790</v>
      </c>
      <c r="F770" s="337" t="s">
        <v>771</v>
      </c>
      <c r="G770" s="337" t="s">
        <v>852</v>
      </c>
      <c r="H770" s="337" t="s">
        <v>853</v>
      </c>
      <c r="I770" s="337" t="s">
        <v>767</v>
      </c>
      <c r="J770" s="337" t="s">
        <v>765</v>
      </c>
      <c r="K770" s="337"/>
      <c r="L770" s="337"/>
      <c r="M770" s="337" t="s">
        <v>807</v>
      </c>
      <c r="N770" s="337" t="s">
        <v>760</v>
      </c>
      <c r="O770" s="337" t="e">
        <v>#N/A</v>
      </c>
      <c r="P770" s="337"/>
      <c r="Q770" s="337" t="s">
        <v>839</v>
      </c>
      <c r="R770" s="343">
        <v>-1004.1</v>
      </c>
    </row>
    <row r="771" spans="1:18" x14ac:dyDescent="0.2">
      <c r="A771" s="342" t="s">
        <v>728</v>
      </c>
      <c r="B771" s="337" t="s">
        <v>789</v>
      </c>
      <c r="C771" s="337" t="s">
        <v>796</v>
      </c>
      <c r="D771" s="337" t="s">
        <v>739</v>
      </c>
      <c r="E771" s="337" t="s">
        <v>790</v>
      </c>
      <c r="F771" s="337" t="s">
        <v>771</v>
      </c>
      <c r="G771" s="337" t="s">
        <v>852</v>
      </c>
      <c r="H771" s="337" t="s">
        <v>853</v>
      </c>
      <c r="I771" s="337" t="s">
        <v>767</v>
      </c>
      <c r="J771" s="337" t="s">
        <v>765</v>
      </c>
      <c r="K771" s="337"/>
      <c r="L771" s="337"/>
      <c r="M771" s="337" t="s">
        <v>807</v>
      </c>
      <c r="N771" s="337" t="s">
        <v>760</v>
      </c>
      <c r="O771" s="337" t="e">
        <v>#N/A</v>
      </c>
      <c r="P771" s="337"/>
      <c r="Q771" s="337" t="s">
        <v>844</v>
      </c>
      <c r="R771" s="343">
        <v>-693.38</v>
      </c>
    </row>
    <row r="772" spans="1:18" x14ac:dyDescent="0.2">
      <c r="A772" s="342" t="s">
        <v>730</v>
      </c>
      <c r="B772" s="337" t="s">
        <v>789</v>
      </c>
      <c r="C772" s="337" t="s">
        <v>796</v>
      </c>
      <c r="D772" s="337" t="s">
        <v>739</v>
      </c>
      <c r="E772" s="337" t="s">
        <v>790</v>
      </c>
      <c r="F772" s="337" t="s">
        <v>771</v>
      </c>
      <c r="G772" s="337" t="s">
        <v>852</v>
      </c>
      <c r="H772" s="337" t="s">
        <v>853</v>
      </c>
      <c r="I772" s="337" t="s">
        <v>767</v>
      </c>
      <c r="J772" s="337" t="s">
        <v>765</v>
      </c>
      <c r="K772" s="337"/>
      <c r="L772" s="337"/>
      <c r="M772" s="337" t="s">
        <v>807</v>
      </c>
      <c r="N772" s="337" t="s">
        <v>760</v>
      </c>
      <c r="O772" s="337" t="e">
        <v>#N/A</v>
      </c>
      <c r="P772" s="337"/>
      <c r="Q772" s="337" t="s">
        <v>844</v>
      </c>
      <c r="R772" s="343">
        <v>-1287.7</v>
      </c>
    </row>
    <row r="773" spans="1:18" x14ac:dyDescent="0.2">
      <c r="A773" s="342" t="s">
        <v>731</v>
      </c>
      <c r="B773" s="337" t="s">
        <v>789</v>
      </c>
      <c r="C773" s="337" t="s">
        <v>796</v>
      </c>
      <c r="D773" s="337" t="s">
        <v>739</v>
      </c>
      <c r="E773" s="337" t="s">
        <v>790</v>
      </c>
      <c r="F773" s="337" t="s">
        <v>771</v>
      </c>
      <c r="G773" s="337" t="s">
        <v>852</v>
      </c>
      <c r="H773" s="337" t="s">
        <v>853</v>
      </c>
      <c r="I773" s="337" t="s">
        <v>767</v>
      </c>
      <c r="J773" s="337" t="s">
        <v>765</v>
      </c>
      <c r="K773" s="337"/>
      <c r="L773" s="337"/>
      <c r="M773" s="337" t="s">
        <v>807</v>
      </c>
      <c r="N773" s="337" t="s">
        <v>760</v>
      </c>
      <c r="O773" s="337" t="e">
        <v>#N/A</v>
      </c>
      <c r="P773" s="337"/>
      <c r="Q773" s="337" t="s">
        <v>844</v>
      </c>
      <c r="R773" s="343">
        <v>-990.54</v>
      </c>
    </row>
    <row r="774" spans="1:18" x14ac:dyDescent="0.2">
      <c r="A774" s="342" t="s">
        <v>732</v>
      </c>
      <c r="B774" s="337" t="s">
        <v>789</v>
      </c>
      <c r="C774" s="337" t="s">
        <v>796</v>
      </c>
      <c r="D774" s="337" t="s">
        <v>739</v>
      </c>
      <c r="E774" s="337" t="s">
        <v>790</v>
      </c>
      <c r="F774" s="337" t="s">
        <v>771</v>
      </c>
      <c r="G774" s="337" t="s">
        <v>852</v>
      </c>
      <c r="H774" s="337" t="s">
        <v>853</v>
      </c>
      <c r="I774" s="337" t="s">
        <v>767</v>
      </c>
      <c r="J774" s="337" t="s">
        <v>765</v>
      </c>
      <c r="K774" s="337"/>
      <c r="L774" s="337"/>
      <c r="M774" s="337" t="s">
        <v>807</v>
      </c>
      <c r="N774" s="337" t="s">
        <v>760</v>
      </c>
      <c r="O774" s="337" t="e">
        <v>#N/A</v>
      </c>
      <c r="P774" s="337"/>
      <c r="Q774" s="337" t="s">
        <v>844</v>
      </c>
      <c r="R774" s="343">
        <v>-992.68</v>
      </c>
    </row>
    <row r="775" spans="1:18" x14ac:dyDescent="0.2">
      <c r="A775" s="342" t="s">
        <v>726</v>
      </c>
      <c r="B775" s="337" t="s">
        <v>789</v>
      </c>
      <c r="C775" s="337" t="s">
        <v>796</v>
      </c>
      <c r="D775" s="337" t="s">
        <v>739</v>
      </c>
      <c r="E775" s="337" t="s">
        <v>790</v>
      </c>
      <c r="F775" s="337" t="s">
        <v>771</v>
      </c>
      <c r="G775" s="337" t="s">
        <v>852</v>
      </c>
      <c r="H775" s="337" t="s">
        <v>853</v>
      </c>
      <c r="I775" s="337" t="s">
        <v>767</v>
      </c>
      <c r="J775" s="337" t="s">
        <v>765</v>
      </c>
      <c r="K775" s="337"/>
      <c r="L775" s="337"/>
      <c r="M775" s="337" t="s">
        <v>807</v>
      </c>
      <c r="N775" s="337" t="s">
        <v>760</v>
      </c>
      <c r="O775" s="337" t="e">
        <v>#N/A</v>
      </c>
      <c r="P775" s="337"/>
      <c r="Q775" s="337" t="s">
        <v>844</v>
      </c>
      <c r="R775" s="343">
        <v>-992.68</v>
      </c>
    </row>
    <row r="776" spans="1:18" x14ac:dyDescent="0.2">
      <c r="A776" s="342" t="s">
        <v>733</v>
      </c>
      <c r="B776" s="337" t="s">
        <v>789</v>
      </c>
      <c r="C776" s="337" t="s">
        <v>796</v>
      </c>
      <c r="D776" s="337" t="s">
        <v>739</v>
      </c>
      <c r="E776" s="337" t="s">
        <v>790</v>
      </c>
      <c r="F776" s="337" t="s">
        <v>771</v>
      </c>
      <c r="G776" s="337" t="s">
        <v>852</v>
      </c>
      <c r="H776" s="337" t="s">
        <v>853</v>
      </c>
      <c r="I776" s="337" t="s">
        <v>767</v>
      </c>
      <c r="J776" s="337" t="s">
        <v>765</v>
      </c>
      <c r="K776" s="337"/>
      <c r="L776" s="337"/>
      <c r="M776" s="337" t="s">
        <v>807</v>
      </c>
      <c r="N776" s="337" t="s">
        <v>760</v>
      </c>
      <c r="O776" s="337" t="e">
        <v>#N/A</v>
      </c>
      <c r="P776" s="337"/>
      <c r="Q776" s="337" t="s">
        <v>844</v>
      </c>
      <c r="R776" s="343">
        <v>-992.68</v>
      </c>
    </row>
    <row r="777" spans="1:18" x14ac:dyDescent="0.2">
      <c r="A777" s="342" t="s">
        <v>734</v>
      </c>
      <c r="B777" s="337" t="s">
        <v>789</v>
      </c>
      <c r="C777" s="337" t="s">
        <v>796</v>
      </c>
      <c r="D777" s="337" t="s">
        <v>739</v>
      </c>
      <c r="E777" s="337" t="s">
        <v>790</v>
      </c>
      <c r="F777" s="337" t="s">
        <v>771</v>
      </c>
      <c r="G777" s="337" t="s">
        <v>852</v>
      </c>
      <c r="H777" s="337" t="s">
        <v>853</v>
      </c>
      <c r="I777" s="337" t="s">
        <v>767</v>
      </c>
      <c r="J777" s="337" t="s">
        <v>765</v>
      </c>
      <c r="K777" s="337"/>
      <c r="L777" s="337"/>
      <c r="M777" s="337" t="s">
        <v>807</v>
      </c>
      <c r="N777" s="337" t="s">
        <v>760</v>
      </c>
      <c r="O777" s="337" t="e">
        <v>#N/A</v>
      </c>
      <c r="P777" s="337"/>
      <c r="Q777" s="337" t="s">
        <v>844</v>
      </c>
      <c r="R777" s="343">
        <v>-994.83</v>
      </c>
    </row>
    <row r="778" spans="1:18" x14ac:dyDescent="0.2">
      <c r="A778" s="342" t="s">
        <v>735</v>
      </c>
      <c r="B778" s="337" t="s">
        <v>789</v>
      </c>
      <c r="C778" s="337" t="s">
        <v>796</v>
      </c>
      <c r="D778" s="337" t="s">
        <v>739</v>
      </c>
      <c r="E778" s="337" t="s">
        <v>790</v>
      </c>
      <c r="F778" s="337" t="s">
        <v>771</v>
      </c>
      <c r="G778" s="337" t="s">
        <v>852</v>
      </c>
      <c r="H778" s="337" t="s">
        <v>853</v>
      </c>
      <c r="I778" s="337" t="s">
        <v>767</v>
      </c>
      <c r="J778" s="337" t="s">
        <v>765</v>
      </c>
      <c r="K778" s="337"/>
      <c r="L778" s="337"/>
      <c r="M778" s="337" t="s">
        <v>807</v>
      </c>
      <c r="N778" s="337" t="s">
        <v>760</v>
      </c>
      <c r="O778" s="337" t="e">
        <v>#N/A</v>
      </c>
      <c r="P778" s="337"/>
      <c r="Q778" s="337" t="s">
        <v>844</v>
      </c>
      <c r="R778" s="343">
        <v>-994.83</v>
      </c>
    </row>
    <row r="779" spans="1:18" x14ac:dyDescent="0.2">
      <c r="A779" s="342" t="s">
        <v>736</v>
      </c>
      <c r="B779" s="337" t="s">
        <v>789</v>
      </c>
      <c r="C779" s="337" t="s">
        <v>796</v>
      </c>
      <c r="D779" s="337" t="s">
        <v>739</v>
      </c>
      <c r="E779" s="337" t="s">
        <v>790</v>
      </c>
      <c r="F779" s="337" t="s">
        <v>771</v>
      </c>
      <c r="G779" s="337" t="s">
        <v>852</v>
      </c>
      <c r="H779" s="337" t="s">
        <v>853</v>
      </c>
      <c r="I779" s="337" t="s">
        <v>767</v>
      </c>
      <c r="J779" s="337" t="s">
        <v>765</v>
      </c>
      <c r="K779" s="337"/>
      <c r="L779" s="337"/>
      <c r="M779" s="337" t="s">
        <v>807</v>
      </c>
      <c r="N779" s="337" t="s">
        <v>760</v>
      </c>
      <c r="O779" s="337" t="e">
        <v>#N/A</v>
      </c>
      <c r="P779" s="337"/>
      <c r="Q779" s="337" t="s">
        <v>844</v>
      </c>
      <c r="R779" s="343">
        <v>-465.13</v>
      </c>
    </row>
    <row r="780" spans="1:18" x14ac:dyDescent="0.2">
      <c r="A780" s="342" t="s">
        <v>737</v>
      </c>
      <c r="B780" s="337" t="s">
        <v>789</v>
      </c>
      <c r="C780" s="337" t="s">
        <v>796</v>
      </c>
      <c r="D780" s="337" t="s">
        <v>739</v>
      </c>
      <c r="E780" s="337" t="s">
        <v>790</v>
      </c>
      <c r="F780" s="337" t="s">
        <v>771</v>
      </c>
      <c r="G780" s="337" t="s">
        <v>852</v>
      </c>
      <c r="H780" s="337" t="s">
        <v>853</v>
      </c>
      <c r="I780" s="337" t="s">
        <v>767</v>
      </c>
      <c r="J780" s="337" t="s">
        <v>765</v>
      </c>
      <c r="K780" s="337"/>
      <c r="L780" s="337"/>
      <c r="M780" s="337" t="s">
        <v>807</v>
      </c>
      <c r="N780" s="337" t="s">
        <v>760</v>
      </c>
      <c r="O780" s="337" t="e">
        <v>#N/A</v>
      </c>
      <c r="P780" s="337"/>
      <c r="Q780" s="337" t="s">
        <v>844</v>
      </c>
      <c r="R780" s="343">
        <v>-990.54</v>
      </c>
    </row>
    <row r="781" spans="1:18" x14ac:dyDescent="0.2">
      <c r="A781" s="342" t="s">
        <v>738</v>
      </c>
      <c r="B781" s="337" t="s">
        <v>789</v>
      </c>
      <c r="C781" s="337" t="s">
        <v>796</v>
      </c>
      <c r="D781" s="337" t="s">
        <v>739</v>
      </c>
      <c r="E781" s="337" t="s">
        <v>790</v>
      </c>
      <c r="F781" s="337" t="s">
        <v>771</v>
      </c>
      <c r="G781" s="337" t="s">
        <v>852</v>
      </c>
      <c r="H781" s="337" t="s">
        <v>853</v>
      </c>
      <c r="I781" s="337" t="s">
        <v>767</v>
      </c>
      <c r="J781" s="337" t="s">
        <v>765</v>
      </c>
      <c r="K781" s="337"/>
      <c r="L781" s="337"/>
      <c r="M781" s="337" t="s">
        <v>807</v>
      </c>
      <c r="N781" s="337" t="s">
        <v>760</v>
      </c>
      <c r="O781" s="337" t="e">
        <v>#N/A</v>
      </c>
      <c r="P781" s="337"/>
      <c r="Q781" s="337" t="s">
        <v>844</v>
      </c>
      <c r="R781" s="343">
        <v>-990.54</v>
      </c>
    </row>
    <row r="782" spans="1:18" x14ac:dyDescent="0.2">
      <c r="A782" s="342" t="s">
        <v>727</v>
      </c>
      <c r="B782" s="337" t="s">
        <v>789</v>
      </c>
      <c r="C782" s="337" t="s">
        <v>796</v>
      </c>
      <c r="D782" s="337" t="s">
        <v>739</v>
      </c>
      <c r="E782" s="337" t="s">
        <v>790</v>
      </c>
      <c r="F782" s="337" t="s">
        <v>771</v>
      </c>
      <c r="G782" s="337" t="s">
        <v>852</v>
      </c>
      <c r="H782" s="337" t="s">
        <v>853</v>
      </c>
      <c r="I782" s="337" t="s">
        <v>767</v>
      </c>
      <c r="J782" s="337" t="s">
        <v>765</v>
      </c>
      <c r="K782" s="337"/>
      <c r="L782" s="337"/>
      <c r="M782" s="337" t="s">
        <v>807</v>
      </c>
      <c r="N782" s="337" t="s">
        <v>760</v>
      </c>
      <c r="O782" s="337" t="e">
        <v>#N/A</v>
      </c>
      <c r="P782" s="337"/>
      <c r="Q782" s="337" t="s">
        <v>844</v>
      </c>
      <c r="R782" s="343">
        <v>-990.54</v>
      </c>
    </row>
    <row r="783" spans="1:18" x14ac:dyDescent="0.2">
      <c r="A783" s="342" t="s">
        <v>728</v>
      </c>
      <c r="B783" s="337" t="s">
        <v>789</v>
      </c>
      <c r="C783" s="337" t="s">
        <v>796</v>
      </c>
      <c r="D783" s="337" t="s">
        <v>739</v>
      </c>
      <c r="E783" s="337" t="s">
        <v>790</v>
      </c>
      <c r="F783" s="337" t="s">
        <v>771</v>
      </c>
      <c r="G783" s="337" t="s">
        <v>852</v>
      </c>
      <c r="H783" s="337" t="s">
        <v>853</v>
      </c>
      <c r="I783" s="337" t="s">
        <v>767</v>
      </c>
      <c r="J783" s="337" t="s">
        <v>765</v>
      </c>
      <c r="K783" s="337"/>
      <c r="L783" s="337"/>
      <c r="M783" s="337" t="s">
        <v>807</v>
      </c>
      <c r="N783" s="337" t="s">
        <v>760</v>
      </c>
      <c r="O783" s="337" t="e">
        <v>#N/A</v>
      </c>
      <c r="P783" s="337"/>
      <c r="Q783" s="337" t="s">
        <v>856</v>
      </c>
      <c r="R783" s="343">
        <v>-946.84</v>
      </c>
    </row>
    <row r="784" spans="1:18" x14ac:dyDescent="0.2">
      <c r="A784" s="342" t="s">
        <v>730</v>
      </c>
      <c r="B784" s="337" t="s">
        <v>789</v>
      </c>
      <c r="C784" s="337" t="s">
        <v>796</v>
      </c>
      <c r="D784" s="337" t="s">
        <v>739</v>
      </c>
      <c r="E784" s="337" t="s">
        <v>790</v>
      </c>
      <c r="F784" s="337" t="s">
        <v>771</v>
      </c>
      <c r="G784" s="337" t="s">
        <v>852</v>
      </c>
      <c r="H784" s="337" t="s">
        <v>853</v>
      </c>
      <c r="I784" s="337" t="s">
        <v>767</v>
      </c>
      <c r="J784" s="337" t="s">
        <v>765</v>
      </c>
      <c r="K784" s="337"/>
      <c r="L784" s="337"/>
      <c r="M784" s="337" t="s">
        <v>807</v>
      </c>
      <c r="N784" s="337" t="s">
        <v>760</v>
      </c>
      <c r="O784" s="337" t="e">
        <v>#N/A</v>
      </c>
      <c r="P784" s="337"/>
      <c r="Q784" s="337" t="s">
        <v>856</v>
      </c>
      <c r="R784" s="343">
        <v>-946.84</v>
      </c>
    </row>
    <row r="785" spans="1:18" x14ac:dyDescent="0.2">
      <c r="A785" s="342" t="s">
        <v>731</v>
      </c>
      <c r="B785" s="337" t="s">
        <v>789</v>
      </c>
      <c r="C785" s="337" t="s">
        <v>796</v>
      </c>
      <c r="D785" s="337" t="s">
        <v>739</v>
      </c>
      <c r="E785" s="337" t="s">
        <v>790</v>
      </c>
      <c r="F785" s="337" t="s">
        <v>771</v>
      </c>
      <c r="G785" s="337" t="s">
        <v>852</v>
      </c>
      <c r="H785" s="337" t="s">
        <v>853</v>
      </c>
      <c r="I785" s="337" t="s">
        <v>767</v>
      </c>
      <c r="J785" s="337" t="s">
        <v>765</v>
      </c>
      <c r="K785" s="337"/>
      <c r="L785" s="337"/>
      <c r="M785" s="337" t="s">
        <v>807</v>
      </c>
      <c r="N785" s="337" t="s">
        <v>760</v>
      </c>
      <c r="O785" s="337" t="e">
        <v>#N/A</v>
      </c>
      <c r="P785" s="337"/>
      <c r="Q785" s="337" t="s">
        <v>856</v>
      </c>
      <c r="R785" s="343">
        <v>-997.72</v>
      </c>
    </row>
    <row r="786" spans="1:18" x14ac:dyDescent="0.2">
      <c r="A786" s="342" t="s">
        <v>732</v>
      </c>
      <c r="B786" s="337" t="s">
        <v>789</v>
      </c>
      <c r="C786" s="337" t="s">
        <v>796</v>
      </c>
      <c r="D786" s="337" t="s">
        <v>739</v>
      </c>
      <c r="E786" s="337" t="s">
        <v>790</v>
      </c>
      <c r="F786" s="337" t="s">
        <v>771</v>
      </c>
      <c r="G786" s="337" t="s">
        <v>852</v>
      </c>
      <c r="H786" s="337" t="s">
        <v>853</v>
      </c>
      <c r="I786" s="337" t="s">
        <v>767</v>
      </c>
      <c r="J786" s="337" t="s">
        <v>765</v>
      </c>
      <c r="K786" s="337"/>
      <c r="L786" s="337"/>
      <c r="M786" s="337" t="s">
        <v>807</v>
      </c>
      <c r="N786" s="337" t="s">
        <v>760</v>
      </c>
      <c r="O786" s="337" t="e">
        <v>#N/A</v>
      </c>
      <c r="P786" s="337"/>
      <c r="Q786" s="337" t="s">
        <v>856</v>
      </c>
      <c r="R786" s="343">
        <v>0</v>
      </c>
    </row>
    <row r="787" spans="1:18" x14ac:dyDescent="0.2">
      <c r="A787" s="342" t="s">
        <v>726</v>
      </c>
      <c r="B787" s="337" t="s">
        <v>789</v>
      </c>
      <c r="C787" s="337" t="s">
        <v>796</v>
      </c>
      <c r="D787" s="337" t="s">
        <v>739</v>
      </c>
      <c r="E787" s="337" t="s">
        <v>790</v>
      </c>
      <c r="F787" s="337" t="s">
        <v>771</v>
      </c>
      <c r="G787" s="337" t="s">
        <v>852</v>
      </c>
      <c r="H787" s="337" t="s">
        <v>853</v>
      </c>
      <c r="I787" s="337" t="s">
        <v>767</v>
      </c>
      <c r="J787" s="337" t="s">
        <v>765</v>
      </c>
      <c r="K787" s="337"/>
      <c r="L787" s="337"/>
      <c r="M787" s="337" t="s">
        <v>807</v>
      </c>
      <c r="N787" s="337" t="s">
        <v>760</v>
      </c>
      <c r="O787" s="337" t="e">
        <v>#N/A</v>
      </c>
      <c r="P787" s="337"/>
      <c r="Q787" s="337" t="s">
        <v>836</v>
      </c>
      <c r="R787" s="343">
        <v>-3966.44</v>
      </c>
    </row>
    <row r="788" spans="1:18" x14ac:dyDescent="0.2">
      <c r="A788" s="342" t="s">
        <v>733</v>
      </c>
      <c r="B788" s="337" t="s">
        <v>789</v>
      </c>
      <c r="C788" s="337" t="s">
        <v>796</v>
      </c>
      <c r="D788" s="337" t="s">
        <v>739</v>
      </c>
      <c r="E788" s="337" t="s">
        <v>790</v>
      </c>
      <c r="F788" s="337" t="s">
        <v>771</v>
      </c>
      <c r="G788" s="337" t="s">
        <v>852</v>
      </c>
      <c r="H788" s="337" t="s">
        <v>853</v>
      </c>
      <c r="I788" s="337" t="s">
        <v>767</v>
      </c>
      <c r="J788" s="337" t="s">
        <v>765</v>
      </c>
      <c r="K788" s="337"/>
      <c r="L788" s="337"/>
      <c r="M788" s="337" t="s">
        <v>807</v>
      </c>
      <c r="N788" s="337" t="s">
        <v>760</v>
      </c>
      <c r="O788" s="337" t="e">
        <v>#N/A</v>
      </c>
      <c r="P788" s="337"/>
      <c r="Q788" s="337" t="s">
        <v>836</v>
      </c>
      <c r="R788" s="343">
        <v>0</v>
      </c>
    </row>
    <row r="789" spans="1:18" x14ac:dyDescent="0.2">
      <c r="A789" s="342" t="s">
        <v>734</v>
      </c>
      <c r="B789" s="337" t="s">
        <v>789</v>
      </c>
      <c r="C789" s="337" t="s">
        <v>796</v>
      </c>
      <c r="D789" s="337" t="s">
        <v>739</v>
      </c>
      <c r="E789" s="337" t="s">
        <v>790</v>
      </c>
      <c r="F789" s="337" t="s">
        <v>771</v>
      </c>
      <c r="G789" s="337" t="s">
        <v>852</v>
      </c>
      <c r="H789" s="337" t="s">
        <v>853</v>
      </c>
      <c r="I789" s="337" t="s">
        <v>767</v>
      </c>
      <c r="J789" s="337" t="s">
        <v>765</v>
      </c>
      <c r="K789" s="337"/>
      <c r="L789" s="337"/>
      <c r="M789" s="337" t="s">
        <v>807</v>
      </c>
      <c r="N789" s="337" t="s">
        <v>760</v>
      </c>
      <c r="O789" s="337" t="e">
        <v>#N/A</v>
      </c>
      <c r="P789" s="337"/>
      <c r="Q789" s="337" t="s">
        <v>836</v>
      </c>
      <c r="R789" s="343">
        <v>992.68</v>
      </c>
    </row>
    <row r="790" spans="1:18" x14ac:dyDescent="0.2">
      <c r="A790" s="342" t="s">
        <v>735</v>
      </c>
      <c r="B790" s="337" t="s">
        <v>789</v>
      </c>
      <c r="C790" s="337" t="s">
        <v>796</v>
      </c>
      <c r="D790" s="337" t="s">
        <v>739</v>
      </c>
      <c r="E790" s="337" t="s">
        <v>790</v>
      </c>
      <c r="F790" s="337" t="s">
        <v>771</v>
      </c>
      <c r="G790" s="337" t="s">
        <v>852</v>
      </c>
      <c r="H790" s="337" t="s">
        <v>853</v>
      </c>
      <c r="I790" s="337" t="s">
        <v>767</v>
      </c>
      <c r="J790" s="337" t="s">
        <v>765</v>
      </c>
      <c r="K790" s="337"/>
      <c r="L790" s="337"/>
      <c r="M790" s="337" t="s">
        <v>807</v>
      </c>
      <c r="N790" s="337" t="s">
        <v>760</v>
      </c>
      <c r="O790" s="337" t="e">
        <v>#N/A</v>
      </c>
      <c r="P790" s="337"/>
      <c r="Q790" s="337" t="s">
        <v>836</v>
      </c>
      <c r="R790" s="343">
        <v>-994.82</v>
      </c>
    </row>
    <row r="791" spans="1:18" x14ac:dyDescent="0.2">
      <c r="A791" s="342" t="s">
        <v>737</v>
      </c>
      <c r="B791" s="337" t="s">
        <v>789</v>
      </c>
      <c r="C791" s="337" t="s">
        <v>796</v>
      </c>
      <c r="D791" s="337" t="s">
        <v>739</v>
      </c>
      <c r="E791" s="337" t="s">
        <v>790</v>
      </c>
      <c r="F791" s="337" t="s">
        <v>771</v>
      </c>
      <c r="G791" s="337" t="s">
        <v>852</v>
      </c>
      <c r="H791" s="337" t="s">
        <v>853</v>
      </c>
      <c r="I791" s="337" t="s">
        <v>767</v>
      </c>
      <c r="J791" s="337" t="s">
        <v>765</v>
      </c>
      <c r="K791" s="337"/>
      <c r="L791" s="337"/>
      <c r="M791" s="337" t="s">
        <v>807</v>
      </c>
      <c r="N791" s="337" t="s">
        <v>760</v>
      </c>
      <c r="O791" s="337" t="e">
        <v>#N/A</v>
      </c>
      <c r="P791" s="337"/>
      <c r="Q791" s="337" t="s">
        <v>836</v>
      </c>
      <c r="R791" s="343">
        <v>-1998.92</v>
      </c>
    </row>
    <row r="792" spans="1:18" x14ac:dyDescent="0.2">
      <c r="A792" s="342" t="s">
        <v>738</v>
      </c>
      <c r="B792" s="337" t="s">
        <v>789</v>
      </c>
      <c r="C792" s="337" t="s">
        <v>796</v>
      </c>
      <c r="D792" s="337" t="s">
        <v>739</v>
      </c>
      <c r="E792" s="337" t="s">
        <v>790</v>
      </c>
      <c r="F792" s="337" t="s">
        <v>771</v>
      </c>
      <c r="G792" s="337" t="s">
        <v>852</v>
      </c>
      <c r="H792" s="337" t="s">
        <v>853</v>
      </c>
      <c r="I792" s="337" t="s">
        <v>767</v>
      </c>
      <c r="J792" s="337" t="s">
        <v>765</v>
      </c>
      <c r="K792" s="337"/>
      <c r="L792" s="337"/>
      <c r="M792" s="337" t="s">
        <v>807</v>
      </c>
      <c r="N792" s="337" t="s">
        <v>760</v>
      </c>
      <c r="O792" s="337" t="e">
        <v>#N/A</v>
      </c>
      <c r="P792" s="337"/>
      <c r="Q792" s="337" t="s">
        <v>836</v>
      </c>
      <c r="R792" s="343">
        <v>-1004.1</v>
      </c>
    </row>
    <row r="793" spans="1:18" x14ac:dyDescent="0.2">
      <c r="A793" s="342" t="s">
        <v>727</v>
      </c>
      <c r="B793" s="337" t="s">
        <v>789</v>
      </c>
      <c r="C793" s="337" t="s">
        <v>796</v>
      </c>
      <c r="D793" s="337" t="s">
        <v>739</v>
      </c>
      <c r="E793" s="337" t="s">
        <v>790</v>
      </c>
      <c r="F793" s="337" t="s">
        <v>771</v>
      </c>
      <c r="G793" s="337" t="s">
        <v>852</v>
      </c>
      <c r="H793" s="337" t="s">
        <v>853</v>
      </c>
      <c r="I793" s="337" t="s">
        <v>767</v>
      </c>
      <c r="J793" s="337" t="s">
        <v>765</v>
      </c>
      <c r="K793" s="337"/>
      <c r="L793" s="337"/>
      <c r="M793" s="337" t="s">
        <v>807</v>
      </c>
      <c r="N793" s="337" t="s">
        <v>760</v>
      </c>
      <c r="O793" s="337" t="e">
        <v>#N/A</v>
      </c>
      <c r="P793" s="337"/>
      <c r="Q793" s="337" t="s">
        <v>836</v>
      </c>
      <c r="R793" s="343">
        <v>-1004.1</v>
      </c>
    </row>
    <row r="794" spans="1:18" x14ac:dyDescent="0.2">
      <c r="A794" s="342" t="s">
        <v>735</v>
      </c>
      <c r="B794" s="337" t="s">
        <v>789</v>
      </c>
      <c r="C794" s="337" t="s">
        <v>796</v>
      </c>
      <c r="D794" s="337" t="s">
        <v>739</v>
      </c>
      <c r="E794" s="337" t="s">
        <v>790</v>
      </c>
      <c r="F794" s="337" t="s">
        <v>771</v>
      </c>
      <c r="G794" s="337" t="s">
        <v>852</v>
      </c>
      <c r="H794" s="337" t="s">
        <v>853</v>
      </c>
      <c r="I794" s="337" t="s">
        <v>767</v>
      </c>
      <c r="J794" s="337" t="s">
        <v>765</v>
      </c>
      <c r="K794" s="337"/>
      <c r="L794" s="337"/>
      <c r="M794" s="337" t="s">
        <v>807</v>
      </c>
      <c r="N794" s="337" t="s">
        <v>760</v>
      </c>
      <c r="O794" s="337" t="e">
        <v>#N/A</v>
      </c>
      <c r="P794" s="337"/>
      <c r="Q794" s="337" t="s">
        <v>845</v>
      </c>
      <c r="R794" s="343">
        <v>-994.82</v>
      </c>
    </row>
    <row r="795" spans="1:18" x14ac:dyDescent="0.2">
      <c r="A795" s="342" t="s">
        <v>730</v>
      </c>
      <c r="B795" s="337" t="s">
        <v>789</v>
      </c>
      <c r="C795" s="337" t="s">
        <v>796</v>
      </c>
      <c r="D795" s="337" t="s">
        <v>739</v>
      </c>
      <c r="E795" s="337" t="s">
        <v>790</v>
      </c>
      <c r="F795" s="337" t="s">
        <v>771</v>
      </c>
      <c r="G795" s="337" t="s">
        <v>852</v>
      </c>
      <c r="H795" s="337" t="s">
        <v>853</v>
      </c>
      <c r="I795" s="337" t="s">
        <v>767</v>
      </c>
      <c r="J795" s="337" t="s">
        <v>765</v>
      </c>
      <c r="K795" s="337"/>
      <c r="L795" s="337"/>
      <c r="M795" s="337" t="s">
        <v>807</v>
      </c>
      <c r="N795" s="337" t="s">
        <v>760</v>
      </c>
      <c r="O795" s="337" t="e">
        <v>#N/A</v>
      </c>
      <c r="P795" s="337"/>
      <c r="Q795" s="337" t="s">
        <v>858</v>
      </c>
      <c r="R795" s="343">
        <v>-993.95</v>
      </c>
    </row>
    <row r="796" spans="1:18" x14ac:dyDescent="0.2">
      <c r="A796" s="342" t="s">
        <v>731</v>
      </c>
      <c r="B796" s="337" t="s">
        <v>789</v>
      </c>
      <c r="C796" s="337" t="s">
        <v>796</v>
      </c>
      <c r="D796" s="337" t="s">
        <v>739</v>
      </c>
      <c r="E796" s="337" t="s">
        <v>790</v>
      </c>
      <c r="F796" s="337" t="s">
        <v>771</v>
      </c>
      <c r="G796" s="337" t="s">
        <v>852</v>
      </c>
      <c r="H796" s="337" t="s">
        <v>853</v>
      </c>
      <c r="I796" s="337" t="s">
        <v>767</v>
      </c>
      <c r="J796" s="337" t="s">
        <v>765</v>
      </c>
      <c r="K796" s="337"/>
      <c r="L796" s="337"/>
      <c r="M796" s="337" t="s">
        <v>807</v>
      </c>
      <c r="N796" s="337" t="s">
        <v>760</v>
      </c>
      <c r="O796" s="337" t="e">
        <v>#N/A</v>
      </c>
      <c r="P796" s="337"/>
      <c r="Q796" s="337" t="s">
        <v>858</v>
      </c>
      <c r="R796" s="343">
        <v>0</v>
      </c>
    </row>
    <row r="797" spans="1:18" x14ac:dyDescent="0.2">
      <c r="A797" s="342" t="s">
        <v>732</v>
      </c>
      <c r="B797" s="337" t="s">
        <v>789</v>
      </c>
      <c r="C797" s="337" t="s">
        <v>796</v>
      </c>
      <c r="D797" s="337" t="s">
        <v>739</v>
      </c>
      <c r="E797" s="337" t="s">
        <v>790</v>
      </c>
      <c r="F797" s="337" t="s">
        <v>771</v>
      </c>
      <c r="G797" s="337" t="s">
        <v>852</v>
      </c>
      <c r="H797" s="337" t="s">
        <v>853</v>
      </c>
      <c r="I797" s="337" t="s">
        <v>767</v>
      </c>
      <c r="J797" s="337" t="s">
        <v>765</v>
      </c>
      <c r="K797" s="337"/>
      <c r="L797" s="337"/>
      <c r="M797" s="337" t="s">
        <v>807</v>
      </c>
      <c r="N797" s="337" t="s">
        <v>760</v>
      </c>
      <c r="O797" s="337" t="e">
        <v>#N/A</v>
      </c>
      <c r="P797" s="337"/>
      <c r="Q797" s="337" t="s">
        <v>858</v>
      </c>
      <c r="R797" s="343">
        <v>-996.1</v>
      </c>
    </row>
    <row r="798" spans="1:18" x14ac:dyDescent="0.2">
      <c r="A798" s="342" t="s">
        <v>726</v>
      </c>
      <c r="B798" s="337" t="s">
        <v>789</v>
      </c>
      <c r="C798" s="337" t="s">
        <v>796</v>
      </c>
      <c r="D798" s="337" t="s">
        <v>739</v>
      </c>
      <c r="E798" s="337" t="s">
        <v>790</v>
      </c>
      <c r="F798" s="337" t="s">
        <v>771</v>
      </c>
      <c r="G798" s="337" t="s">
        <v>852</v>
      </c>
      <c r="H798" s="337" t="s">
        <v>853</v>
      </c>
      <c r="I798" s="337" t="s">
        <v>767</v>
      </c>
      <c r="J798" s="337" t="s">
        <v>765</v>
      </c>
      <c r="K798" s="337"/>
      <c r="L798" s="337"/>
      <c r="M798" s="337" t="s">
        <v>807</v>
      </c>
      <c r="N798" s="337" t="s">
        <v>760</v>
      </c>
      <c r="O798" s="337" t="e">
        <v>#N/A</v>
      </c>
      <c r="P798" s="337"/>
      <c r="Q798" s="337" t="s">
        <v>858</v>
      </c>
      <c r="R798" s="343">
        <v>-996.1</v>
      </c>
    </row>
    <row r="799" spans="1:18" x14ac:dyDescent="0.2">
      <c r="A799" s="342" t="s">
        <v>733</v>
      </c>
      <c r="B799" s="337" t="s">
        <v>789</v>
      </c>
      <c r="C799" s="337" t="s">
        <v>796</v>
      </c>
      <c r="D799" s="337" t="s">
        <v>739</v>
      </c>
      <c r="E799" s="337" t="s">
        <v>790</v>
      </c>
      <c r="F799" s="337" t="s">
        <v>771</v>
      </c>
      <c r="G799" s="337" t="s">
        <v>852</v>
      </c>
      <c r="H799" s="337" t="s">
        <v>853</v>
      </c>
      <c r="I799" s="337" t="s">
        <v>767</v>
      </c>
      <c r="J799" s="337" t="s">
        <v>765</v>
      </c>
      <c r="K799" s="337"/>
      <c r="L799" s="337"/>
      <c r="M799" s="337" t="s">
        <v>807</v>
      </c>
      <c r="N799" s="337" t="s">
        <v>760</v>
      </c>
      <c r="O799" s="337" t="e">
        <v>#N/A</v>
      </c>
      <c r="P799" s="337"/>
      <c r="Q799" s="337" t="s">
        <v>858</v>
      </c>
      <c r="R799" s="343">
        <v>-996.1</v>
      </c>
    </row>
    <row r="800" spans="1:18" x14ac:dyDescent="0.2">
      <c r="A800" s="342" t="s">
        <v>734</v>
      </c>
      <c r="B800" s="337" t="s">
        <v>789</v>
      </c>
      <c r="C800" s="337" t="s">
        <v>796</v>
      </c>
      <c r="D800" s="337" t="s">
        <v>739</v>
      </c>
      <c r="E800" s="337" t="s">
        <v>790</v>
      </c>
      <c r="F800" s="337" t="s">
        <v>771</v>
      </c>
      <c r="G800" s="337" t="s">
        <v>852</v>
      </c>
      <c r="H800" s="337" t="s">
        <v>853</v>
      </c>
      <c r="I800" s="337" t="s">
        <v>767</v>
      </c>
      <c r="J800" s="337" t="s">
        <v>765</v>
      </c>
      <c r="K800" s="337"/>
      <c r="L800" s="337"/>
      <c r="M800" s="337" t="s">
        <v>807</v>
      </c>
      <c r="N800" s="337" t="s">
        <v>760</v>
      </c>
      <c r="O800" s="337" t="e">
        <v>#N/A</v>
      </c>
      <c r="P800" s="337"/>
      <c r="Q800" s="337" t="s">
        <v>858</v>
      </c>
      <c r="R800" s="343">
        <v>0</v>
      </c>
    </row>
    <row r="801" spans="1:18" x14ac:dyDescent="0.2">
      <c r="A801" s="342" t="s">
        <v>731</v>
      </c>
      <c r="B801" s="337" t="s">
        <v>789</v>
      </c>
      <c r="C801" s="337" t="s">
        <v>796</v>
      </c>
      <c r="D801" s="337" t="s">
        <v>739</v>
      </c>
      <c r="E801" s="337" t="s">
        <v>790</v>
      </c>
      <c r="F801" s="337" t="s">
        <v>771</v>
      </c>
      <c r="G801" s="337" t="s">
        <v>852</v>
      </c>
      <c r="H801" s="337" t="s">
        <v>853</v>
      </c>
      <c r="I801" s="337" t="s">
        <v>767</v>
      </c>
      <c r="J801" s="337" t="s">
        <v>765</v>
      </c>
      <c r="K801" s="337"/>
      <c r="L801" s="337"/>
      <c r="M801" s="337" t="s">
        <v>807</v>
      </c>
      <c r="N801" s="337" t="s">
        <v>760</v>
      </c>
      <c r="O801" s="337" t="e">
        <v>#N/A</v>
      </c>
      <c r="P801" s="337"/>
      <c r="Q801" s="337" t="s">
        <v>851</v>
      </c>
      <c r="R801" s="343">
        <v>-990.54</v>
      </c>
    </row>
    <row r="802" spans="1:18" x14ac:dyDescent="0.2">
      <c r="A802" s="342" t="s">
        <v>732</v>
      </c>
      <c r="B802" s="337" t="s">
        <v>789</v>
      </c>
      <c r="C802" s="337" t="s">
        <v>796</v>
      </c>
      <c r="D802" s="337" t="s">
        <v>739</v>
      </c>
      <c r="E802" s="337" t="s">
        <v>790</v>
      </c>
      <c r="F802" s="337" t="s">
        <v>771</v>
      </c>
      <c r="G802" s="337" t="s">
        <v>852</v>
      </c>
      <c r="H802" s="337" t="s">
        <v>853</v>
      </c>
      <c r="I802" s="337" t="s">
        <v>767</v>
      </c>
      <c r="J802" s="337" t="s">
        <v>765</v>
      </c>
      <c r="K802" s="337"/>
      <c r="L802" s="337"/>
      <c r="M802" s="337" t="s">
        <v>807</v>
      </c>
      <c r="N802" s="337" t="s">
        <v>760</v>
      </c>
      <c r="O802" s="337" t="e">
        <v>#N/A</v>
      </c>
      <c r="P802" s="337"/>
      <c r="Q802" s="337" t="s">
        <v>851</v>
      </c>
      <c r="R802" s="343">
        <v>0</v>
      </c>
    </row>
    <row r="803" spans="1:18" x14ac:dyDescent="0.2">
      <c r="A803" s="342" t="s">
        <v>734</v>
      </c>
      <c r="B803" s="337" t="s">
        <v>789</v>
      </c>
      <c r="C803" s="337" t="s">
        <v>796</v>
      </c>
      <c r="D803" s="337" t="s">
        <v>739</v>
      </c>
      <c r="E803" s="337" t="s">
        <v>790</v>
      </c>
      <c r="F803" s="337" t="s">
        <v>771</v>
      </c>
      <c r="G803" s="337" t="s">
        <v>852</v>
      </c>
      <c r="H803" s="337" t="s">
        <v>853</v>
      </c>
      <c r="I803" s="337" t="s">
        <v>767</v>
      </c>
      <c r="J803" s="337" t="s">
        <v>765</v>
      </c>
      <c r="K803" s="337"/>
      <c r="L803" s="337"/>
      <c r="M803" s="337" t="s">
        <v>807</v>
      </c>
      <c r="N803" s="337" t="s">
        <v>760</v>
      </c>
      <c r="O803" s="337" t="e">
        <v>#N/A</v>
      </c>
      <c r="P803" s="337"/>
      <c r="Q803" s="337" t="s">
        <v>855</v>
      </c>
      <c r="R803" s="343">
        <v>-1987.5</v>
      </c>
    </row>
    <row r="804" spans="1:18" x14ac:dyDescent="0.2">
      <c r="A804" s="342" t="s">
        <v>735</v>
      </c>
      <c r="B804" s="337" t="s">
        <v>789</v>
      </c>
      <c r="C804" s="337" t="s">
        <v>796</v>
      </c>
      <c r="D804" s="337" t="s">
        <v>739</v>
      </c>
      <c r="E804" s="337" t="s">
        <v>790</v>
      </c>
      <c r="F804" s="337" t="s">
        <v>771</v>
      </c>
      <c r="G804" s="337" t="s">
        <v>852</v>
      </c>
      <c r="H804" s="337" t="s">
        <v>853</v>
      </c>
      <c r="I804" s="337" t="s">
        <v>767</v>
      </c>
      <c r="J804" s="337" t="s">
        <v>765</v>
      </c>
      <c r="K804" s="337"/>
      <c r="L804" s="337"/>
      <c r="M804" s="337" t="s">
        <v>807</v>
      </c>
      <c r="N804" s="337" t="s">
        <v>760</v>
      </c>
      <c r="O804" s="337" t="e">
        <v>#N/A</v>
      </c>
      <c r="P804" s="337"/>
      <c r="Q804" s="337" t="s">
        <v>855</v>
      </c>
      <c r="R804" s="343">
        <v>0</v>
      </c>
    </row>
    <row r="805" spans="1:18" x14ac:dyDescent="0.2">
      <c r="A805" s="342" t="s">
        <v>736</v>
      </c>
      <c r="B805" s="337" t="s">
        <v>789</v>
      </c>
      <c r="C805" s="337" t="s">
        <v>796</v>
      </c>
      <c r="D805" s="337" t="s">
        <v>739</v>
      </c>
      <c r="E805" s="337" t="s">
        <v>790</v>
      </c>
      <c r="F805" s="337" t="s">
        <v>771</v>
      </c>
      <c r="G805" s="337" t="s">
        <v>852</v>
      </c>
      <c r="H805" s="337" t="s">
        <v>853</v>
      </c>
      <c r="I805" s="337" t="s">
        <v>767</v>
      </c>
      <c r="J805" s="337" t="s">
        <v>765</v>
      </c>
      <c r="K805" s="337"/>
      <c r="L805" s="337"/>
      <c r="M805" s="337" t="s">
        <v>807</v>
      </c>
      <c r="N805" s="337" t="s">
        <v>760</v>
      </c>
      <c r="O805" s="337" t="e">
        <v>#N/A</v>
      </c>
      <c r="P805" s="337"/>
      <c r="Q805" s="337" t="s">
        <v>855</v>
      </c>
      <c r="R805" s="343">
        <v>-1989.64</v>
      </c>
    </row>
    <row r="806" spans="1:18" x14ac:dyDescent="0.2">
      <c r="A806" s="342" t="s">
        <v>737</v>
      </c>
      <c r="B806" s="337" t="s">
        <v>789</v>
      </c>
      <c r="C806" s="337" t="s">
        <v>796</v>
      </c>
      <c r="D806" s="337" t="s">
        <v>739</v>
      </c>
      <c r="E806" s="337" t="s">
        <v>790</v>
      </c>
      <c r="F806" s="337" t="s">
        <v>771</v>
      </c>
      <c r="G806" s="337" t="s">
        <v>852</v>
      </c>
      <c r="H806" s="337" t="s">
        <v>853</v>
      </c>
      <c r="I806" s="337" t="s">
        <v>767</v>
      </c>
      <c r="J806" s="337" t="s">
        <v>765</v>
      </c>
      <c r="K806" s="337"/>
      <c r="L806" s="337"/>
      <c r="M806" s="337" t="s">
        <v>807</v>
      </c>
      <c r="N806" s="337" t="s">
        <v>760</v>
      </c>
      <c r="O806" s="337" t="e">
        <v>#N/A</v>
      </c>
      <c r="P806" s="337"/>
      <c r="Q806" s="337" t="s">
        <v>855</v>
      </c>
      <c r="R806" s="343">
        <v>-1004.1</v>
      </c>
    </row>
    <row r="807" spans="1:18" x14ac:dyDescent="0.2">
      <c r="A807" s="342" t="s">
        <v>738</v>
      </c>
      <c r="B807" s="337" t="s">
        <v>789</v>
      </c>
      <c r="C807" s="337" t="s">
        <v>796</v>
      </c>
      <c r="D807" s="337" t="s">
        <v>739</v>
      </c>
      <c r="E807" s="337" t="s">
        <v>790</v>
      </c>
      <c r="F807" s="337" t="s">
        <v>771</v>
      </c>
      <c r="G807" s="337" t="s">
        <v>852</v>
      </c>
      <c r="H807" s="337" t="s">
        <v>853</v>
      </c>
      <c r="I807" s="337" t="s">
        <v>767</v>
      </c>
      <c r="J807" s="337" t="s">
        <v>765</v>
      </c>
      <c r="K807" s="337"/>
      <c r="L807" s="337"/>
      <c r="M807" s="337" t="s">
        <v>807</v>
      </c>
      <c r="N807" s="337" t="s">
        <v>760</v>
      </c>
      <c r="O807" s="337" t="e">
        <v>#N/A</v>
      </c>
      <c r="P807" s="337"/>
      <c r="Q807" s="337" t="s">
        <v>855</v>
      </c>
      <c r="R807" s="343">
        <v>-1004.1</v>
      </c>
    </row>
    <row r="808" spans="1:18" x14ac:dyDescent="0.2">
      <c r="A808" s="342" t="s">
        <v>727</v>
      </c>
      <c r="B808" s="337" t="s">
        <v>789</v>
      </c>
      <c r="C808" s="337" t="s">
        <v>796</v>
      </c>
      <c r="D808" s="337" t="s">
        <v>739</v>
      </c>
      <c r="E808" s="337" t="s">
        <v>790</v>
      </c>
      <c r="F808" s="337" t="s">
        <v>771</v>
      </c>
      <c r="G808" s="337" t="s">
        <v>852</v>
      </c>
      <c r="H808" s="337" t="s">
        <v>853</v>
      </c>
      <c r="I808" s="337" t="s">
        <v>767</v>
      </c>
      <c r="J808" s="337" t="s">
        <v>765</v>
      </c>
      <c r="K808" s="337"/>
      <c r="L808" s="337"/>
      <c r="M808" s="337" t="s">
        <v>807</v>
      </c>
      <c r="N808" s="337" t="s">
        <v>760</v>
      </c>
      <c r="O808" s="337" t="e">
        <v>#N/A</v>
      </c>
      <c r="P808" s="337"/>
      <c r="Q808" s="337" t="s">
        <v>855</v>
      </c>
      <c r="R808" s="343">
        <v>-1004.1</v>
      </c>
    </row>
    <row r="809" spans="1:18" x14ac:dyDescent="0.2">
      <c r="A809" s="342" t="s">
        <v>735</v>
      </c>
      <c r="B809" s="337" t="s">
        <v>789</v>
      </c>
      <c r="C809" s="337" t="s">
        <v>796</v>
      </c>
      <c r="D809" s="337" t="s">
        <v>739</v>
      </c>
      <c r="E809" s="337" t="s">
        <v>790</v>
      </c>
      <c r="F809" s="337" t="s">
        <v>771</v>
      </c>
      <c r="G809" s="337" t="s">
        <v>852</v>
      </c>
      <c r="H809" s="337" t="s">
        <v>853</v>
      </c>
      <c r="I809" s="337" t="s">
        <v>767</v>
      </c>
      <c r="J809" s="337" t="s">
        <v>765</v>
      </c>
      <c r="K809" s="337"/>
      <c r="L809" s="337"/>
      <c r="M809" s="337" t="s">
        <v>808</v>
      </c>
      <c r="N809" s="337" t="s">
        <v>809</v>
      </c>
      <c r="O809" s="337" t="e">
        <v>#N/A</v>
      </c>
      <c r="P809" s="337"/>
      <c r="Q809" s="337" t="s">
        <v>840</v>
      </c>
      <c r="R809" s="343">
        <v>-61816.58</v>
      </c>
    </row>
    <row r="810" spans="1:18" x14ac:dyDescent="0.2">
      <c r="A810" s="342" t="s">
        <v>726</v>
      </c>
      <c r="B810" s="337" t="s">
        <v>789</v>
      </c>
      <c r="C810" s="337" t="s">
        <v>796</v>
      </c>
      <c r="D810" s="337" t="s">
        <v>739</v>
      </c>
      <c r="E810" s="337" t="s">
        <v>790</v>
      </c>
      <c r="F810" s="337" t="s">
        <v>771</v>
      </c>
      <c r="G810" s="337" t="s">
        <v>852</v>
      </c>
      <c r="H810" s="337" t="s">
        <v>853</v>
      </c>
      <c r="I810" s="337" t="s">
        <v>767</v>
      </c>
      <c r="J810" s="337" t="s">
        <v>765</v>
      </c>
      <c r="K810" s="337"/>
      <c r="L810" s="337"/>
      <c r="M810" s="337" t="s">
        <v>810</v>
      </c>
      <c r="N810" s="337" t="s">
        <v>811</v>
      </c>
      <c r="O810" s="337" t="e">
        <v>#N/A</v>
      </c>
      <c r="P810" s="337"/>
      <c r="Q810" s="337" t="s">
        <v>846</v>
      </c>
      <c r="R810" s="343">
        <v>1769.82</v>
      </c>
    </row>
    <row r="811" spans="1:18" x14ac:dyDescent="0.2">
      <c r="A811" s="342" t="s">
        <v>733</v>
      </c>
      <c r="B811" s="337" t="s">
        <v>789</v>
      </c>
      <c r="C811" s="337" t="s">
        <v>796</v>
      </c>
      <c r="D811" s="337" t="s">
        <v>739</v>
      </c>
      <c r="E811" s="337" t="s">
        <v>790</v>
      </c>
      <c r="F811" s="337" t="s">
        <v>771</v>
      </c>
      <c r="G811" s="337" t="s">
        <v>852</v>
      </c>
      <c r="H811" s="337" t="s">
        <v>853</v>
      </c>
      <c r="I811" s="337" t="s">
        <v>767</v>
      </c>
      <c r="J811" s="337" t="s">
        <v>765</v>
      </c>
      <c r="K811" s="337"/>
      <c r="L811" s="337"/>
      <c r="M811" s="337" t="s">
        <v>810</v>
      </c>
      <c r="N811" s="337" t="s">
        <v>811</v>
      </c>
      <c r="O811" s="337" t="e">
        <v>#N/A</v>
      </c>
      <c r="P811" s="337"/>
      <c r="Q811" s="337" t="s">
        <v>846</v>
      </c>
      <c r="R811" s="343">
        <v>-1769.82</v>
      </c>
    </row>
    <row r="812" spans="1:18" x14ac:dyDescent="0.2">
      <c r="A812" s="342" t="s">
        <v>728</v>
      </c>
      <c r="B812" s="337" t="s">
        <v>789</v>
      </c>
      <c r="C812" s="337" t="s">
        <v>796</v>
      </c>
      <c r="D812" s="337" t="s">
        <v>739</v>
      </c>
      <c r="E812" s="337" t="s">
        <v>790</v>
      </c>
      <c r="F812" s="337" t="s">
        <v>771</v>
      </c>
      <c r="G812" s="337" t="s">
        <v>852</v>
      </c>
      <c r="H812" s="337" t="s">
        <v>853</v>
      </c>
      <c r="I812" s="337" t="s">
        <v>767</v>
      </c>
      <c r="J812" s="337" t="s">
        <v>765</v>
      </c>
      <c r="K812" s="337"/>
      <c r="L812" s="337"/>
      <c r="M812" s="337" t="s">
        <v>812</v>
      </c>
      <c r="N812" s="337" t="s">
        <v>759</v>
      </c>
      <c r="O812" s="337" t="e">
        <v>#N/A</v>
      </c>
      <c r="P812" s="337"/>
      <c r="Q812" s="337" t="s">
        <v>838</v>
      </c>
      <c r="R812" s="343">
        <v>-77422.100000000006</v>
      </c>
    </row>
    <row r="813" spans="1:18" x14ac:dyDescent="0.2">
      <c r="A813" s="342" t="s">
        <v>730</v>
      </c>
      <c r="B813" s="337" t="s">
        <v>789</v>
      </c>
      <c r="C813" s="337" t="s">
        <v>796</v>
      </c>
      <c r="D813" s="337" t="s">
        <v>739</v>
      </c>
      <c r="E813" s="337" t="s">
        <v>790</v>
      </c>
      <c r="F813" s="337" t="s">
        <v>771</v>
      </c>
      <c r="G813" s="337" t="s">
        <v>852</v>
      </c>
      <c r="H813" s="337" t="s">
        <v>853</v>
      </c>
      <c r="I813" s="337" t="s">
        <v>767</v>
      </c>
      <c r="J813" s="337" t="s">
        <v>765</v>
      </c>
      <c r="K813" s="337"/>
      <c r="L813" s="337"/>
      <c r="M813" s="337" t="s">
        <v>812</v>
      </c>
      <c r="N813" s="337" t="s">
        <v>759</v>
      </c>
      <c r="O813" s="337" t="e">
        <v>#N/A</v>
      </c>
      <c r="P813" s="337"/>
      <c r="Q813" s="337" t="s">
        <v>838</v>
      </c>
      <c r="R813" s="343">
        <v>-24949.99</v>
      </c>
    </row>
    <row r="814" spans="1:18" x14ac:dyDescent="0.2">
      <c r="A814" s="342" t="s">
        <v>731</v>
      </c>
      <c r="B814" s="337" t="s">
        <v>789</v>
      </c>
      <c r="C814" s="337" t="s">
        <v>796</v>
      </c>
      <c r="D814" s="337" t="s">
        <v>739</v>
      </c>
      <c r="E814" s="337" t="s">
        <v>790</v>
      </c>
      <c r="F814" s="337" t="s">
        <v>771</v>
      </c>
      <c r="G814" s="337" t="s">
        <v>852</v>
      </c>
      <c r="H814" s="337" t="s">
        <v>853</v>
      </c>
      <c r="I814" s="337" t="s">
        <v>767</v>
      </c>
      <c r="J814" s="337" t="s">
        <v>765</v>
      </c>
      <c r="K814" s="337"/>
      <c r="L814" s="337"/>
      <c r="M814" s="337" t="s">
        <v>812</v>
      </c>
      <c r="N814" s="337" t="s">
        <v>759</v>
      </c>
      <c r="O814" s="337" t="e">
        <v>#N/A</v>
      </c>
      <c r="P814" s="337"/>
      <c r="Q814" s="337" t="s">
        <v>838</v>
      </c>
      <c r="R814" s="343">
        <v>-44928.800000000003</v>
      </c>
    </row>
    <row r="815" spans="1:18" x14ac:dyDescent="0.2">
      <c r="A815" s="342" t="s">
        <v>732</v>
      </c>
      <c r="B815" s="337" t="s">
        <v>789</v>
      </c>
      <c r="C815" s="337" t="s">
        <v>796</v>
      </c>
      <c r="D815" s="337" t="s">
        <v>739</v>
      </c>
      <c r="E815" s="337" t="s">
        <v>790</v>
      </c>
      <c r="F815" s="337" t="s">
        <v>771</v>
      </c>
      <c r="G815" s="337" t="s">
        <v>852</v>
      </c>
      <c r="H815" s="337" t="s">
        <v>853</v>
      </c>
      <c r="I815" s="337" t="s">
        <v>767</v>
      </c>
      <c r="J815" s="337" t="s">
        <v>765</v>
      </c>
      <c r="K815" s="337"/>
      <c r="L815" s="337"/>
      <c r="M815" s="337" t="s">
        <v>812</v>
      </c>
      <c r="N815" s="337" t="s">
        <v>759</v>
      </c>
      <c r="O815" s="337" t="e">
        <v>#N/A</v>
      </c>
      <c r="P815" s="337"/>
      <c r="Q815" s="337" t="s">
        <v>838</v>
      </c>
      <c r="R815" s="343">
        <v>-84145.32</v>
      </c>
    </row>
    <row r="816" spans="1:18" x14ac:dyDescent="0.2">
      <c r="A816" s="342" t="s">
        <v>726</v>
      </c>
      <c r="B816" s="337" t="s">
        <v>789</v>
      </c>
      <c r="C816" s="337" t="s">
        <v>796</v>
      </c>
      <c r="D816" s="337" t="s">
        <v>739</v>
      </c>
      <c r="E816" s="337" t="s">
        <v>790</v>
      </c>
      <c r="F816" s="337" t="s">
        <v>771</v>
      </c>
      <c r="G816" s="337" t="s">
        <v>852</v>
      </c>
      <c r="H816" s="337" t="s">
        <v>853</v>
      </c>
      <c r="I816" s="337" t="s">
        <v>767</v>
      </c>
      <c r="J816" s="337" t="s">
        <v>765</v>
      </c>
      <c r="K816" s="337"/>
      <c r="L816" s="337"/>
      <c r="M816" s="337" t="s">
        <v>812</v>
      </c>
      <c r="N816" s="337" t="s">
        <v>759</v>
      </c>
      <c r="O816" s="337" t="e">
        <v>#N/A</v>
      </c>
      <c r="P816" s="337"/>
      <c r="Q816" s="337" t="s">
        <v>838</v>
      </c>
      <c r="R816" s="343">
        <v>-32290.35</v>
      </c>
    </row>
    <row r="817" spans="1:18" x14ac:dyDescent="0.2">
      <c r="A817" s="342" t="s">
        <v>733</v>
      </c>
      <c r="B817" s="337" t="s">
        <v>789</v>
      </c>
      <c r="C817" s="337" t="s">
        <v>796</v>
      </c>
      <c r="D817" s="337" t="s">
        <v>739</v>
      </c>
      <c r="E817" s="337" t="s">
        <v>790</v>
      </c>
      <c r="F817" s="337" t="s">
        <v>771</v>
      </c>
      <c r="G817" s="337" t="s">
        <v>852</v>
      </c>
      <c r="H817" s="337" t="s">
        <v>853</v>
      </c>
      <c r="I817" s="337" t="s">
        <v>767</v>
      </c>
      <c r="J817" s="337" t="s">
        <v>765</v>
      </c>
      <c r="K817" s="337"/>
      <c r="L817" s="337"/>
      <c r="M817" s="337" t="s">
        <v>812</v>
      </c>
      <c r="N817" s="337" t="s">
        <v>759</v>
      </c>
      <c r="O817" s="337" t="e">
        <v>#N/A</v>
      </c>
      <c r="P817" s="337"/>
      <c r="Q817" s="337" t="s">
        <v>838</v>
      </c>
      <c r="R817" s="343">
        <v>-10.17</v>
      </c>
    </row>
    <row r="818" spans="1:18" x14ac:dyDescent="0.2">
      <c r="A818" s="342" t="s">
        <v>734</v>
      </c>
      <c r="B818" s="337" t="s">
        <v>789</v>
      </c>
      <c r="C818" s="337" t="s">
        <v>796</v>
      </c>
      <c r="D818" s="337" t="s">
        <v>739</v>
      </c>
      <c r="E818" s="337" t="s">
        <v>790</v>
      </c>
      <c r="F818" s="337" t="s">
        <v>771</v>
      </c>
      <c r="G818" s="337" t="s">
        <v>852</v>
      </c>
      <c r="H818" s="337" t="s">
        <v>853</v>
      </c>
      <c r="I818" s="337" t="s">
        <v>767</v>
      </c>
      <c r="J818" s="337" t="s">
        <v>765</v>
      </c>
      <c r="K818" s="337"/>
      <c r="L818" s="337"/>
      <c r="M818" s="337" t="s">
        <v>812</v>
      </c>
      <c r="N818" s="337" t="s">
        <v>759</v>
      </c>
      <c r="O818" s="337" t="e">
        <v>#N/A</v>
      </c>
      <c r="P818" s="337"/>
      <c r="Q818" s="337" t="s">
        <v>838</v>
      </c>
      <c r="R818" s="343">
        <v>-16734.2</v>
      </c>
    </row>
    <row r="819" spans="1:18" x14ac:dyDescent="0.2">
      <c r="A819" s="342" t="s">
        <v>735</v>
      </c>
      <c r="B819" s="337" t="s">
        <v>789</v>
      </c>
      <c r="C819" s="337" t="s">
        <v>796</v>
      </c>
      <c r="D819" s="337" t="s">
        <v>739</v>
      </c>
      <c r="E819" s="337" t="s">
        <v>790</v>
      </c>
      <c r="F819" s="337" t="s">
        <v>771</v>
      </c>
      <c r="G819" s="337" t="s">
        <v>852</v>
      </c>
      <c r="H819" s="337" t="s">
        <v>853</v>
      </c>
      <c r="I819" s="337" t="s">
        <v>767</v>
      </c>
      <c r="J819" s="337" t="s">
        <v>765</v>
      </c>
      <c r="K819" s="337"/>
      <c r="L819" s="337"/>
      <c r="M819" s="337" t="s">
        <v>812</v>
      </c>
      <c r="N819" s="337" t="s">
        <v>759</v>
      </c>
      <c r="O819" s="337" t="e">
        <v>#N/A</v>
      </c>
      <c r="P819" s="337"/>
      <c r="Q819" s="337" t="s">
        <v>838</v>
      </c>
      <c r="R819" s="343">
        <v>-165942</v>
      </c>
    </row>
    <row r="820" spans="1:18" x14ac:dyDescent="0.2">
      <c r="A820" s="342" t="s">
        <v>736</v>
      </c>
      <c r="B820" s="337" t="s">
        <v>789</v>
      </c>
      <c r="C820" s="337" t="s">
        <v>796</v>
      </c>
      <c r="D820" s="337" t="s">
        <v>739</v>
      </c>
      <c r="E820" s="337" t="s">
        <v>790</v>
      </c>
      <c r="F820" s="337" t="s">
        <v>771</v>
      </c>
      <c r="G820" s="337" t="s">
        <v>852</v>
      </c>
      <c r="H820" s="337" t="s">
        <v>853</v>
      </c>
      <c r="I820" s="337" t="s">
        <v>767</v>
      </c>
      <c r="J820" s="337" t="s">
        <v>765</v>
      </c>
      <c r="K820" s="337"/>
      <c r="L820" s="337"/>
      <c r="M820" s="337" t="s">
        <v>812</v>
      </c>
      <c r="N820" s="337" t="s">
        <v>759</v>
      </c>
      <c r="O820" s="337" t="e">
        <v>#N/A</v>
      </c>
      <c r="P820" s="337"/>
      <c r="Q820" s="337" t="s">
        <v>838</v>
      </c>
      <c r="R820" s="343">
        <v>-102808.3</v>
      </c>
    </row>
    <row r="821" spans="1:18" x14ac:dyDescent="0.2">
      <c r="A821" s="342" t="s">
        <v>737</v>
      </c>
      <c r="B821" s="337" t="s">
        <v>789</v>
      </c>
      <c r="C821" s="337" t="s">
        <v>796</v>
      </c>
      <c r="D821" s="337" t="s">
        <v>739</v>
      </c>
      <c r="E821" s="337" t="s">
        <v>790</v>
      </c>
      <c r="F821" s="337" t="s">
        <v>771</v>
      </c>
      <c r="G821" s="337" t="s">
        <v>852</v>
      </c>
      <c r="H821" s="337" t="s">
        <v>853</v>
      </c>
      <c r="I821" s="337" t="s">
        <v>767</v>
      </c>
      <c r="J821" s="337" t="s">
        <v>765</v>
      </c>
      <c r="K821" s="337"/>
      <c r="L821" s="337"/>
      <c r="M821" s="337" t="s">
        <v>812</v>
      </c>
      <c r="N821" s="337" t="s">
        <v>759</v>
      </c>
      <c r="O821" s="337" t="e">
        <v>#N/A</v>
      </c>
      <c r="P821" s="337"/>
      <c r="Q821" s="337" t="s">
        <v>838</v>
      </c>
      <c r="R821" s="343">
        <v>-25516.400000000001</v>
      </c>
    </row>
    <row r="822" spans="1:18" x14ac:dyDescent="0.2">
      <c r="A822" s="342" t="s">
        <v>738</v>
      </c>
      <c r="B822" s="337" t="s">
        <v>789</v>
      </c>
      <c r="C822" s="337" t="s">
        <v>796</v>
      </c>
      <c r="D822" s="337" t="s">
        <v>739</v>
      </c>
      <c r="E822" s="337" t="s">
        <v>790</v>
      </c>
      <c r="F822" s="337" t="s">
        <v>771</v>
      </c>
      <c r="G822" s="337" t="s">
        <v>852</v>
      </c>
      <c r="H822" s="337" t="s">
        <v>853</v>
      </c>
      <c r="I822" s="337" t="s">
        <v>767</v>
      </c>
      <c r="J822" s="337" t="s">
        <v>765</v>
      </c>
      <c r="K822" s="337"/>
      <c r="L822" s="337"/>
      <c r="M822" s="337" t="s">
        <v>812</v>
      </c>
      <c r="N822" s="337" t="s">
        <v>759</v>
      </c>
      <c r="O822" s="337" t="e">
        <v>#N/A</v>
      </c>
      <c r="P822" s="337"/>
      <c r="Q822" s="337" t="s">
        <v>838</v>
      </c>
      <c r="R822" s="343">
        <v>-44227.4</v>
      </c>
    </row>
    <row r="823" spans="1:18" x14ac:dyDescent="0.2">
      <c r="A823" s="342" t="s">
        <v>727</v>
      </c>
      <c r="B823" s="337" t="s">
        <v>789</v>
      </c>
      <c r="C823" s="337" t="s">
        <v>796</v>
      </c>
      <c r="D823" s="337" t="s">
        <v>739</v>
      </c>
      <c r="E823" s="337" t="s">
        <v>790</v>
      </c>
      <c r="F823" s="337" t="s">
        <v>771</v>
      </c>
      <c r="G823" s="337" t="s">
        <v>852</v>
      </c>
      <c r="H823" s="337" t="s">
        <v>853</v>
      </c>
      <c r="I823" s="337" t="s">
        <v>767</v>
      </c>
      <c r="J823" s="337" t="s">
        <v>765</v>
      </c>
      <c r="K823" s="337"/>
      <c r="L823" s="337"/>
      <c r="M823" s="337" t="s">
        <v>812</v>
      </c>
      <c r="N823" s="337" t="s">
        <v>759</v>
      </c>
      <c r="O823" s="337" t="e">
        <v>#N/A</v>
      </c>
      <c r="P823" s="337"/>
      <c r="Q823" s="337" t="s">
        <v>838</v>
      </c>
      <c r="R823" s="343">
        <v>-19402.599999999999</v>
      </c>
    </row>
    <row r="824" spans="1:18" x14ac:dyDescent="0.2">
      <c r="A824" s="342" t="s">
        <v>735</v>
      </c>
      <c r="B824" s="337" t="s">
        <v>789</v>
      </c>
      <c r="C824" s="337" t="s">
        <v>796</v>
      </c>
      <c r="D824" s="337" t="s">
        <v>739</v>
      </c>
      <c r="E824" s="337" t="s">
        <v>790</v>
      </c>
      <c r="F824" s="337" t="s">
        <v>771</v>
      </c>
      <c r="G824" s="337" t="s">
        <v>852</v>
      </c>
      <c r="H824" s="337" t="s">
        <v>853</v>
      </c>
      <c r="I824" s="337" t="s">
        <v>767</v>
      </c>
      <c r="J824" s="337" t="s">
        <v>765</v>
      </c>
      <c r="K824" s="337"/>
      <c r="L824" s="337"/>
      <c r="M824" s="337" t="s">
        <v>813</v>
      </c>
      <c r="N824" s="337" t="s">
        <v>814</v>
      </c>
      <c r="O824" s="337" t="e">
        <v>#N/A</v>
      </c>
      <c r="P824" s="337"/>
      <c r="Q824" s="337" t="s">
        <v>840</v>
      </c>
      <c r="R824" s="343">
        <v>-9524.07</v>
      </c>
    </row>
    <row r="825" spans="1:18" x14ac:dyDescent="0.2">
      <c r="A825" s="342" t="s">
        <v>728</v>
      </c>
      <c r="B825" s="337" t="s">
        <v>789</v>
      </c>
      <c r="C825" s="337" t="s">
        <v>796</v>
      </c>
      <c r="D825" s="337" t="s">
        <v>739</v>
      </c>
      <c r="E825" s="337" t="s">
        <v>790</v>
      </c>
      <c r="F825" s="337" t="s">
        <v>771</v>
      </c>
      <c r="G825" s="337" t="s">
        <v>852</v>
      </c>
      <c r="H825" s="337" t="s">
        <v>853</v>
      </c>
      <c r="I825" s="337" t="s">
        <v>767</v>
      </c>
      <c r="J825" s="337" t="s">
        <v>765</v>
      </c>
      <c r="K825" s="337"/>
      <c r="L825" s="337"/>
      <c r="M825" s="337" t="s">
        <v>815</v>
      </c>
      <c r="N825" s="337" t="s">
        <v>762</v>
      </c>
      <c r="O825" s="337" t="e">
        <v>#N/A</v>
      </c>
      <c r="P825" s="337"/>
      <c r="Q825" s="337" t="s">
        <v>843</v>
      </c>
      <c r="R825" s="343">
        <v>0</v>
      </c>
    </row>
    <row r="826" spans="1:18" x14ac:dyDescent="0.2">
      <c r="A826" s="342" t="s">
        <v>728</v>
      </c>
      <c r="B826" s="337" t="s">
        <v>789</v>
      </c>
      <c r="C826" s="337" t="s">
        <v>796</v>
      </c>
      <c r="D826" s="337" t="s">
        <v>739</v>
      </c>
      <c r="E826" s="337" t="s">
        <v>790</v>
      </c>
      <c r="F826" s="337" t="s">
        <v>771</v>
      </c>
      <c r="G826" s="337" t="s">
        <v>852</v>
      </c>
      <c r="H826" s="337" t="s">
        <v>853</v>
      </c>
      <c r="I826" s="337" t="s">
        <v>767</v>
      </c>
      <c r="J826" s="337" t="s">
        <v>765</v>
      </c>
      <c r="K826" s="337"/>
      <c r="L826" s="337"/>
      <c r="M826" s="337" t="s">
        <v>815</v>
      </c>
      <c r="N826" s="337" t="s">
        <v>762</v>
      </c>
      <c r="O826" s="337" t="e">
        <v>#N/A</v>
      </c>
      <c r="P826" s="337"/>
      <c r="Q826" s="337" t="s">
        <v>839</v>
      </c>
      <c r="R826" s="343">
        <v>-1074.74</v>
      </c>
    </row>
    <row r="827" spans="1:18" x14ac:dyDescent="0.2">
      <c r="A827" s="342" t="s">
        <v>730</v>
      </c>
      <c r="B827" s="337" t="s">
        <v>789</v>
      </c>
      <c r="C827" s="337" t="s">
        <v>796</v>
      </c>
      <c r="D827" s="337" t="s">
        <v>739</v>
      </c>
      <c r="E827" s="337" t="s">
        <v>790</v>
      </c>
      <c r="F827" s="337" t="s">
        <v>771</v>
      </c>
      <c r="G827" s="337" t="s">
        <v>852</v>
      </c>
      <c r="H827" s="337" t="s">
        <v>853</v>
      </c>
      <c r="I827" s="337" t="s">
        <v>767</v>
      </c>
      <c r="J827" s="337" t="s">
        <v>765</v>
      </c>
      <c r="K827" s="337"/>
      <c r="L827" s="337"/>
      <c r="M827" s="337" t="s">
        <v>815</v>
      </c>
      <c r="N827" s="337" t="s">
        <v>762</v>
      </c>
      <c r="O827" s="337" t="e">
        <v>#N/A</v>
      </c>
      <c r="P827" s="337"/>
      <c r="Q827" s="337" t="s">
        <v>839</v>
      </c>
      <c r="R827" s="343">
        <v>-3935.01</v>
      </c>
    </row>
    <row r="828" spans="1:18" x14ac:dyDescent="0.2">
      <c r="A828" s="342" t="s">
        <v>731</v>
      </c>
      <c r="B828" s="337" t="s">
        <v>789</v>
      </c>
      <c r="C828" s="337" t="s">
        <v>796</v>
      </c>
      <c r="D828" s="337" t="s">
        <v>739</v>
      </c>
      <c r="E828" s="337" t="s">
        <v>790</v>
      </c>
      <c r="F828" s="337" t="s">
        <v>771</v>
      </c>
      <c r="G828" s="337" t="s">
        <v>852</v>
      </c>
      <c r="H828" s="337" t="s">
        <v>853</v>
      </c>
      <c r="I828" s="337" t="s">
        <v>767</v>
      </c>
      <c r="J828" s="337" t="s">
        <v>765</v>
      </c>
      <c r="K828" s="337"/>
      <c r="L828" s="337"/>
      <c r="M828" s="337" t="s">
        <v>815</v>
      </c>
      <c r="N828" s="337" t="s">
        <v>762</v>
      </c>
      <c r="O828" s="337" t="e">
        <v>#N/A</v>
      </c>
      <c r="P828" s="337"/>
      <c r="Q828" s="337" t="s">
        <v>839</v>
      </c>
      <c r="R828" s="343">
        <v>3203.29</v>
      </c>
    </row>
    <row r="829" spans="1:18" x14ac:dyDescent="0.2">
      <c r="A829" s="342" t="s">
        <v>732</v>
      </c>
      <c r="B829" s="337" t="s">
        <v>789</v>
      </c>
      <c r="C829" s="337" t="s">
        <v>796</v>
      </c>
      <c r="D829" s="337" t="s">
        <v>739</v>
      </c>
      <c r="E829" s="337" t="s">
        <v>790</v>
      </c>
      <c r="F829" s="337" t="s">
        <v>771</v>
      </c>
      <c r="G829" s="337" t="s">
        <v>852</v>
      </c>
      <c r="H829" s="337" t="s">
        <v>853</v>
      </c>
      <c r="I829" s="337" t="s">
        <v>767</v>
      </c>
      <c r="J829" s="337" t="s">
        <v>765</v>
      </c>
      <c r="K829" s="337"/>
      <c r="L829" s="337"/>
      <c r="M829" s="337" t="s">
        <v>815</v>
      </c>
      <c r="N829" s="337" t="s">
        <v>762</v>
      </c>
      <c r="O829" s="337" t="e">
        <v>#N/A</v>
      </c>
      <c r="P829" s="337"/>
      <c r="Q829" s="337" t="s">
        <v>839</v>
      </c>
      <c r="R829" s="343">
        <v>-15303.9</v>
      </c>
    </row>
    <row r="830" spans="1:18" x14ac:dyDescent="0.2">
      <c r="A830" s="342" t="s">
        <v>726</v>
      </c>
      <c r="B830" s="337" t="s">
        <v>789</v>
      </c>
      <c r="C830" s="337" t="s">
        <v>796</v>
      </c>
      <c r="D830" s="337" t="s">
        <v>739</v>
      </c>
      <c r="E830" s="337" t="s">
        <v>790</v>
      </c>
      <c r="F830" s="337" t="s">
        <v>771</v>
      </c>
      <c r="G830" s="337" t="s">
        <v>852</v>
      </c>
      <c r="H830" s="337" t="s">
        <v>853</v>
      </c>
      <c r="I830" s="337" t="s">
        <v>767</v>
      </c>
      <c r="J830" s="337" t="s">
        <v>765</v>
      </c>
      <c r="K830" s="337"/>
      <c r="L830" s="337"/>
      <c r="M830" s="337" t="s">
        <v>815</v>
      </c>
      <c r="N830" s="337" t="s">
        <v>762</v>
      </c>
      <c r="O830" s="337" t="e">
        <v>#N/A</v>
      </c>
      <c r="P830" s="337"/>
      <c r="Q830" s="337" t="s">
        <v>839</v>
      </c>
      <c r="R830" s="343">
        <v>-7129.22</v>
      </c>
    </row>
    <row r="831" spans="1:18" x14ac:dyDescent="0.2">
      <c r="A831" s="342" t="s">
        <v>733</v>
      </c>
      <c r="B831" s="337" t="s">
        <v>789</v>
      </c>
      <c r="C831" s="337" t="s">
        <v>796</v>
      </c>
      <c r="D831" s="337" t="s">
        <v>739</v>
      </c>
      <c r="E831" s="337" t="s">
        <v>790</v>
      </c>
      <c r="F831" s="337" t="s">
        <v>771</v>
      </c>
      <c r="G831" s="337" t="s">
        <v>852</v>
      </c>
      <c r="H831" s="337" t="s">
        <v>853</v>
      </c>
      <c r="I831" s="337" t="s">
        <v>767</v>
      </c>
      <c r="J831" s="337" t="s">
        <v>765</v>
      </c>
      <c r="K831" s="337"/>
      <c r="L831" s="337"/>
      <c r="M831" s="337" t="s">
        <v>815</v>
      </c>
      <c r="N831" s="337" t="s">
        <v>762</v>
      </c>
      <c r="O831" s="337" t="e">
        <v>#N/A</v>
      </c>
      <c r="P831" s="337"/>
      <c r="Q831" s="337" t="s">
        <v>839</v>
      </c>
      <c r="R831" s="343">
        <v>-17846.669999999998</v>
      </c>
    </row>
    <row r="832" spans="1:18" x14ac:dyDescent="0.2">
      <c r="A832" s="342" t="s">
        <v>734</v>
      </c>
      <c r="B832" s="337" t="s">
        <v>789</v>
      </c>
      <c r="C832" s="337" t="s">
        <v>796</v>
      </c>
      <c r="D832" s="337" t="s">
        <v>739</v>
      </c>
      <c r="E832" s="337" t="s">
        <v>790</v>
      </c>
      <c r="F832" s="337" t="s">
        <v>771</v>
      </c>
      <c r="G832" s="337" t="s">
        <v>852</v>
      </c>
      <c r="H832" s="337" t="s">
        <v>853</v>
      </c>
      <c r="I832" s="337" t="s">
        <v>767</v>
      </c>
      <c r="J832" s="337" t="s">
        <v>765</v>
      </c>
      <c r="K832" s="337"/>
      <c r="L832" s="337"/>
      <c r="M832" s="337" t="s">
        <v>815</v>
      </c>
      <c r="N832" s="337" t="s">
        <v>762</v>
      </c>
      <c r="O832" s="337" t="e">
        <v>#N/A</v>
      </c>
      <c r="P832" s="337"/>
      <c r="Q832" s="337" t="s">
        <v>839</v>
      </c>
      <c r="R832" s="343">
        <v>-7581.92</v>
      </c>
    </row>
    <row r="833" spans="1:18" x14ac:dyDescent="0.2">
      <c r="A833" s="342" t="s">
        <v>735</v>
      </c>
      <c r="B833" s="337" t="s">
        <v>789</v>
      </c>
      <c r="C833" s="337" t="s">
        <v>796</v>
      </c>
      <c r="D833" s="337" t="s">
        <v>739</v>
      </c>
      <c r="E833" s="337" t="s">
        <v>790</v>
      </c>
      <c r="F833" s="337" t="s">
        <v>771</v>
      </c>
      <c r="G833" s="337" t="s">
        <v>852</v>
      </c>
      <c r="H833" s="337" t="s">
        <v>853</v>
      </c>
      <c r="I833" s="337" t="s">
        <v>767</v>
      </c>
      <c r="J833" s="337" t="s">
        <v>765</v>
      </c>
      <c r="K833" s="337"/>
      <c r="L833" s="337"/>
      <c r="M833" s="337" t="s">
        <v>815</v>
      </c>
      <c r="N833" s="337" t="s">
        <v>762</v>
      </c>
      <c r="O833" s="337" t="e">
        <v>#N/A</v>
      </c>
      <c r="P833" s="337"/>
      <c r="Q833" s="337" t="s">
        <v>839</v>
      </c>
      <c r="R833" s="343">
        <v>-4475</v>
      </c>
    </row>
    <row r="834" spans="1:18" x14ac:dyDescent="0.2">
      <c r="A834" s="342" t="s">
        <v>736</v>
      </c>
      <c r="B834" s="337" t="s">
        <v>789</v>
      </c>
      <c r="C834" s="337" t="s">
        <v>796</v>
      </c>
      <c r="D834" s="337" t="s">
        <v>739</v>
      </c>
      <c r="E834" s="337" t="s">
        <v>790</v>
      </c>
      <c r="F834" s="337" t="s">
        <v>771</v>
      </c>
      <c r="G834" s="337" t="s">
        <v>852</v>
      </c>
      <c r="H834" s="337" t="s">
        <v>853</v>
      </c>
      <c r="I834" s="337" t="s">
        <v>767</v>
      </c>
      <c r="J834" s="337" t="s">
        <v>765</v>
      </c>
      <c r="K834" s="337"/>
      <c r="L834" s="337"/>
      <c r="M834" s="337" t="s">
        <v>815</v>
      </c>
      <c r="N834" s="337" t="s">
        <v>762</v>
      </c>
      <c r="O834" s="337" t="e">
        <v>#N/A</v>
      </c>
      <c r="P834" s="337"/>
      <c r="Q834" s="337" t="s">
        <v>839</v>
      </c>
      <c r="R834" s="343">
        <v>-1202.2</v>
      </c>
    </row>
    <row r="835" spans="1:18" x14ac:dyDescent="0.2">
      <c r="A835" s="342" t="s">
        <v>737</v>
      </c>
      <c r="B835" s="337" t="s">
        <v>789</v>
      </c>
      <c r="C835" s="337" t="s">
        <v>796</v>
      </c>
      <c r="D835" s="337" t="s">
        <v>739</v>
      </c>
      <c r="E835" s="337" t="s">
        <v>790</v>
      </c>
      <c r="F835" s="337" t="s">
        <v>771</v>
      </c>
      <c r="G835" s="337" t="s">
        <v>852</v>
      </c>
      <c r="H835" s="337" t="s">
        <v>853</v>
      </c>
      <c r="I835" s="337" t="s">
        <v>767</v>
      </c>
      <c r="J835" s="337" t="s">
        <v>765</v>
      </c>
      <c r="K835" s="337"/>
      <c r="L835" s="337"/>
      <c r="M835" s="337" t="s">
        <v>815</v>
      </c>
      <c r="N835" s="337" t="s">
        <v>762</v>
      </c>
      <c r="O835" s="337" t="e">
        <v>#N/A</v>
      </c>
      <c r="P835" s="337"/>
      <c r="Q835" s="337" t="s">
        <v>839</v>
      </c>
      <c r="R835" s="343">
        <v>-194.76</v>
      </c>
    </row>
    <row r="836" spans="1:18" x14ac:dyDescent="0.2">
      <c r="A836" s="342" t="s">
        <v>738</v>
      </c>
      <c r="B836" s="337" t="s">
        <v>789</v>
      </c>
      <c r="C836" s="337" t="s">
        <v>796</v>
      </c>
      <c r="D836" s="337" t="s">
        <v>739</v>
      </c>
      <c r="E836" s="337" t="s">
        <v>790</v>
      </c>
      <c r="F836" s="337" t="s">
        <v>771</v>
      </c>
      <c r="G836" s="337" t="s">
        <v>852</v>
      </c>
      <c r="H836" s="337" t="s">
        <v>853</v>
      </c>
      <c r="I836" s="337" t="s">
        <v>767</v>
      </c>
      <c r="J836" s="337" t="s">
        <v>765</v>
      </c>
      <c r="K836" s="337"/>
      <c r="L836" s="337"/>
      <c r="M836" s="337" t="s">
        <v>815</v>
      </c>
      <c r="N836" s="337" t="s">
        <v>762</v>
      </c>
      <c r="O836" s="337" t="e">
        <v>#N/A</v>
      </c>
      <c r="P836" s="337"/>
      <c r="Q836" s="337" t="s">
        <v>839</v>
      </c>
      <c r="R836" s="343">
        <v>-13.14</v>
      </c>
    </row>
    <row r="837" spans="1:18" x14ac:dyDescent="0.2">
      <c r="A837" s="342" t="s">
        <v>727</v>
      </c>
      <c r="B837" s="337" t="s">
        <v>789</v>
      </c>
      <c r="C837" s="337" t="s">
        <v>796</v>
      </c>
      <c r="D837" s="337" t="s">
        <v>739</v>
      </c>
      <c r="E837" s="337" t="s">
        <v>790</v>
      </c>
      <c r="F837" s="337" t="s">
        <v>771</v>
      </c>
      <c r="G837" s="337" t="s">
        <v>852</v>
      </c>
      <c r="H837" s="337" t="s">
        <v>853</v>
      </c>
      <c r="I837" s="337" t="s">
        <v>767</v>
      </c>
      <c r="J837" s="337" t="s">
        <v>765</v>
      </c>
      <c r="K837" s="337"/>
      <c r="L837" s="337"/>
      <c r="M837" s="337" t="s">
        <v>815</v>
      </c>
      <c r="N837" s="337" t="s">
        <v>762</v>
      </c>
      <c r="O837" s="337" t="e">
        <v>#N/A</v>
      </c>
      <c r="P837" s="337"/>
      <c r="Q837" s="337" t="s">
        <v>839</v>
      </c>
      <c r="R837" s="343">
        <v>-932.02</v>
      </c>
    </row>
    <row r="838" spans="1:18" x14ac:dyDescent="0.2">
      <c r="A838" s="342" t="s">
        <v>728</v>
      </c>
      <c r="B838" s="337" t="s">
        <v>789</v>
      </c>
      <c r="C838" s="337" t="s">
        <v>796</v>
      </c>
      <c r="D838" s="337" t="s">
        <v>739</v>
      </c>
      <c r="E838" s="337" t="s">
        <v>790</v>
      </c>
      <c r="F838" s="337" t="s">
        <v>771</v>
      </c>
      <c r="G838" s="337" t="s">
        <v>852</v>
      </c>
      <c r="H838" s="337" t="s">
        <v>853</v>
      </c>
      <c r="I838" s="337" t="s">
        <v>767</v>
      </c>
      <c r="J838" s="337" t="s">
        <v>765</v>
      </c>
      <c r="K838" s="337"/>
      <c r="L838" s="337"/>
      <c r="M838" s="337" t="s">
        <v>815</v>
      </c>
      <c r="N838" s="337" t="s">
        <v>762</v>
      </c>
      <c r="O838" s="337" t="e">
        <v>#N/A</v>
      </c>
      <c r="P838" s="337"/>
      <c r="Q838" s="337" t="s">
        <v>840</v>
      </c>
      <c r="R838" s="343">
        <v>-5031.8</v>
      </c>
    </row>
    <row r="839" spans="1:18" x14ac:dyDescent="0.2">
      <c r="A839" s="342" t="s">
        <v>730</v>
      </c>
      <c r="B839" s="337" t="s">
        <v>789</v>
      </c>
      <c r="C839" s="337" t="s">
        <v>796</v>
      </c>
      <c r="D839" s="337" t="s">
        <v>739</v>
      </c>
      <c r="E839" s="337" t="s">
        <v>790</v>
      </c>
      <c r="F839" s="337" t="s">
        <v>771</v>
      </c>
      <c r="G839" s="337" t="s">
        <v>852</v>
      </c>
      <c r="H839" s="337" t="s">
        <v>853</v>
      </c>
      <c r="I839" s="337" t="s">
        <v>767</v>
      </c>
      <c r="J839" s="337" t="s">
        <v>765</v>
      </c>
      <c r="K839" s="337"/>
      <c r="L839" s="337"/>
      <c r="M839" s="337" t="s">
        <v>815</v>
      </c>
      <c r="N839" s="337" t="s">
        <v>762</v>
      </c>
      <c r="O839" s="337" t="e">
        <v>#N/A</v>
      </c>
      <c r="P839" s="337"/>
      <c r="Q839" s="337" t="s">
        <v>840</v>
      </c>
      <c r="R839" s="343">
        <v>-19296.13</v>
      </c>
    </row>
    <row r="840" spans="1:18" x14ac:dyDescent="0.2">
      <c r="A840" s="342" t="s">
        <v>731</v>
      </c>
      <c r="B840" s="337" t="s">
        <v>789</v>
      </c>
      <c r="C840" s="337" t="s">
        <v>796</v>
      </c>
      <c r="D840" s="337" t="s">
        <v>739</v>
      </c>
      <c r="E840" s="337" t="s">
        <v>790</v>
      </c>
      <c r="F840" s="337" t="s">
        <v>771</v>
      </c>
      <c r="G840" s="337" t="s">
        <v>852</v>
      </c>
      <c r="H840" s="337" t="s">
        <v>853</v>
      </c>
      <c r="I840" s="337" t="s">
        <v>767</v>
      </c>
      <c r="J840" s="337" t="s">
        <v>765</v>
      </c>
      <c r="K840" s="337"/>
      <c r="L840" s="337"/>
      <c r="M840" s="337" t="s">
        <v>815</v>
      </c>
      <c r="N840" s="337" t="s">
        <v>762</v>
      </c>
      <c r="O840" s="337" t="e">
        <v>#N/A</v>
      </c>
      <c r="P840" s="337"/>
      <c r="Q840" s="337" t="s">
        <v>840</v>
      </c>
      <c r="R840" s="343">
        <v>-21765.23</v>
      </c>
    </row>
    <row r="841" spans="1:18" x14ac:dyDescent="0.2">
      <c r="A841" s="342" t="s">
        <v>732</v>
      </c>
      <c r="B841" s="337" t="s">
        <v>789</v>
      </c>
      <c r="C841" s="337" t="s">
        <v>796</v>
      </c>
      <c r="D841" s="337" t="s">
        <v>739</v>
      </c>
      <c r="E841" s="337" t="s">
        <v>790</v>
      </c>
      <c r="F841" s="337" t="s">
        <v>771</v>
      </c>
      <c r="G841" s="337" t="s">
        <v>852</v>
      </c>
      <c r="H841" s="337" t="s">
        <v>853</v>
      </c>
      <c r="I841" s="337" t="s">
        <v>767</v>
      </c>
      <c r="J841" s="337" t="s">
        <v>765</v>
      </c>
      <c r="K841" s="337"/>
      <c r="L841" s="337"/>
      <c r="M841" s="337" t="s">
        <v>815</v>
      </c>
      <c r="N841" s="337" t="s">
        <v>762</v>
      </c>
      <c r="O841" s="337" t="e">
        <v>#N/A</v>
      </c>
      <c r="P841" s="337"/>
      <c r="Q841" s="337" t="s">
        <v>840</v>
      </c>
      <c r="R841" s="343">
        <v>-21812.28</v>
      </c>
    </row>
    <row r="842" spans="1:18" x14ac:dyDescent="0.2">
      <c r="A842" s="342" t="s">
        <v>726</v>
      </c>
      <c r="B842" s="337" t="s">
        <v>789</v>
      </c>
      <c r="C842" s="337" t="s">
        <v>796</v>
      </c>
      <c r="D842" s="337" t="s">
        <v>739</v>
      </c>
      <c r="E842" s="337" t="s">
        <v>790</v>
      </c>
      <c r="F842" s="337" t="s">
        <v>771</v>
      </c>
      <c r="G842" s="337" t="s">
        <v>852</v>
      </c>
      <c r="H842" s="337" t="s">
        <v>853</v>
      </c>
      <c r="I842" s="337" t="s">
        <v>767</v>
      </c>
      <c r="J842" s="337" t="s">
        <v>765</v>
      </c>
      <c r="K842" s="337"/>
      <c r="L842" s="337"/>
      <c r="M842" s="337" t="s">
        <v>815</v>
      </c>
      <c r="N842" s="337" t="s">
        <v>762</v>
      </c>
      <c r="O842" s="337" t="e">
        <v>#N/A</v>
      </c>
      <c r="P842" s="337"/>
      <c r="Q842" s="337" t="s">
        <v>840</v>
      </c>
      <c r="R842" s="343">
        <v>-4274.08</v>
      </c>
    </row>
    <row r="843" spans="1:18" x14ac:dyDescent="0.2">
      <c r="A843" s="342" t="s">
        <v>733</v>
      </c>
      <c r="B843" s="337" t="s">
        <v>789</v>
      </c>
      <c r="C843" s="337" t="s">
        <v>796</v>
      </c>
      <c r="D843" s="337" t="s">
        <v>739</v>
      </c>
      <c r="E843" s="337" t="s">
        <v>790</v>
      </c>
      <c r="F843" s="337" t="s">
        <v>771</v>
      </c>
      <c r="G843" s="337" t="s">
        <v>852</v>
      </c>
      <c r="H843" s="337" t="s">
        <v>853</v>
      </c>
      <c r="I843" s="337" t="s">
        <v>767</v>
      </c>
      <c r="J843" s="337" t="s">
        <v>765</v>
      </c>
      <c r="K843" s="337"/>
      <c r="L843" s="337"/>
      <c r="M843" s="337" t="s">
        <v>815</v>
      </c>
      <c r="N843" s="337" t="s">
        <v>762</v>
      </c>
      <c r="O843" s="337" t="e">
        <v>#N/A</v>
      </c>
      <c r="P843" s="337"/>
      <c r="Q843" s="337" t="s">
        <v>840</v>
      </c>
      <c r="R843" s="343">
        <v>-36593.22</v>
      </c>
    </row>
    <row r="844" spans="1:18" x14ac:dyDescent="0.2">
      <c r="A844" s="342" t="s">
        <v>734</v>
      </c>
      <c r="B844" s="337" t="s">
        <v>789</v>
      </c>
      <c r="C844" s="337" t="s">
        <v>796</v>
      </c>
      <c r="D844" s="337" t="s">
        <v>739</v>
      </c>
      <c r="E844" s="337" t="s">
        <v>790</v>
      </c>
      <c r="F844" s="337" t="s">
        <v>771</v>
      </c>
      <c r="G844" s="337" t="s">
        <v>852</v>
      </c>
      <c r="H844" s="337" t="s">
        <v>853</v>
      </c>
      <c r="I844" s="337" t="s">
        <v>767</v>
      </c>
      <c r="J844" s="337" t="s">
        <v>765</v>
      </c>
      <c r="K844" s="337"/>
      <c r="L844" s="337"/>
      <c r="M844" s="337" t="s">
        <v>815</v>
      </c>
      <c r="N844" s="337" t="s">
        <v>762</v>
      </c>
      <c r="O844" s="337" t="e">
        <v>#N/A</v>
      </c>
      <c r="P844" s="337"/>
      <c r="Q844" s="337" t="s">
        <v>840</v>
      </c>
      <c r="R844" s="343">
        <v>0</v>
      </c>
    </row>
    <row r="845" spans="1:18" x14ac:dyDescent="0.2">
      <c r="A845" s="342" t="s">
        <v>735</v>
      </c>
      <c r="B845" s="337" t="s">
        <v>789</v>
      </c>
      <c r="C845" s="337" t="s">
        <v>796</v>
      </c>
      <c r="D845" s="337" t="s">
        <v>739</v>
      </c>
      <c r="E845" s="337" t="s">
        <v>790</v>
      </c>
      <c r="F845" s="337" t="s">
        <v>771</v>
      </c>
      <c r="G845" s="337" t="s">
        <v>852</v>
      </c>
      <c r="H845" s="337" t="s">
        <v>853</v>
      </c>
      <c r="I845" s="337" t="s">
        <v>767</v>
      </c>
      <c r="J845" s="337" t="s">
        <v>765</v>
      </c>
      <c r="K845" s="337"/>
      <c r="L845" s="337"/>
      <c r="M845" s="337" t="s">
        <v>815</v>
      </c>
      <c r="N845" s="337" t="s">
        <v>762</v>
      </c>
      <c r="O845" s="337" t="e">
        <v>#N/A</v>
      </c>
      <c r="P845" s="337"/>
      <c r="Q845" s="337" t="s">
        <v>840</v>
      </c>
      <c r="R845" s="343">
        <v>-9524.07</v>
      </c>
    </row>
    <row r="846" spans="1:18" x14ac:dyDescent="0.2">
      <c r="A846" s="342" t="s">
        <v>736</v>
      </c>
      <c r="B846" s="337" t="s">
        <v>789</v>
      </c>
      <c r="C846" s="337" t="s">
        <v>796</v>
      </c>
      <c r="D846" s="337" t="s">
        <v>739</v>
      </c>
      <c r="E846" s="337" t="s">
        <v>790</v>
      </c>
      <c r="F846" s="337" t="s">
        <v>771</v>
      </c>
      <c r="G846" s="337" t="s">
        <v>852</v>
      </c>
      <c r="H846" s="337" t="s">
        <v>853</v>
      </c>
      <c r="I846" s="337" t="s">
        <v>767</v>
      </c>
      <c r="J846" s="337" t="s">
        <v>765</v>
      </c>
      <c r="K846" s="337"/>
      <c r="L846" s="337"/>
      <c r="M846" s="337" t="s">
        <v>815</v>
      </c>
      <c r="N846" s="337" t="s">
        <v>762</v>
      </c>
      <c r="O846" s="337" t="e">
        <v>#N/A</v>
      </c>
      <c r="P846" s="337"/>
      <c r="Q846" s="337" t="s">
        <v>840</v>
      </c>
      <c r="R846" s="343">
        <v>-149.84</v>
      </c>
    </row>
    <row r="847" spans="1:18" x14ac:dyDescent="0.2">
      <c r="A847" s="342" t="s">
        <v>737</v>
      </c>
      <c r="B847" s="337" t="s">
        <v>789</v>
      </c>
      <c r="C847" s="337" t="s">
        <v>796</v>
      </c>
      <c r="D847" s="337" t="s">
        <v>739</v>
      </c>
      <c r="E847" s="337" t="s">
        <v>790</v>
      </c>
      <c r="F847" s="337" t="s">
        <v>771</v>
      </c>
      <c r="G847" s="337" t="s">
        <v>852</v>
      </c>
      <c r="H847" s="337" t="s">
        <v>853</v>
      </c>
      <c r="I847" s="337" t="s">
        <v>767</v>
      </c>
      <c r="J847" s="337" t="s">
        <v>765</v>
      </c>
      <c r="K847" s="337"/>
      <c r="L847" s="337"/>
      <c r="M847" s="337" t="s">
        <v>815</v>
      </c>
      <c r="N847" s="337" t="s">
        <v>762</v>
      </c>
      <c r="O847" s="337" t="e">
        <v>#N/A</v>
      </c>
      <c r="P847" s="337"/>
      <c r="Q847" s="337" t="s">
        <v>840</v>
      </c>
      <c r="R847" s="343">
        <v>-37099.03</v>
      </c>
    </row>
    <row r="848" spans="1:18" x14ac:dyDescent="0.2">
      <c r="A848" s="342" t="s">
        <v>738</v>
      </c>
      <c r="B848" s="337" t="s">
        <v>789</v>
      </c>
      <c r="C848" s="337" t="s">
        <v>796</v>
      </c>
      <c r="D848" s="337" t="s">
        <v>739</v>
      </c>
      <c r="E848" s="337" t="s">
        <v>790</v>
      </c>
      <c r="F848" s="337" t="s">
        <v>771</v>
      </c>
      <c r="G848" s="337" t="s">
        <v>852</v>
      </c>
      <c r="H848" s="337" t="s">
        <v>853</v>
      </c>
      <c r="I848" s="337" t="s">
        <v>767</v>
      </c>
      <c r="J848" s="337" t="s">
        <v>765</v>
      </c>
      <c r="K848" s="337"/>
      <c r="L848" s="337"/>
      <c r="M848" s="337" t="s">
        <v>815</v>
      </c>
      <c r="N848" s="337" t="s">
        <v>762</v>
      </c>
      <c r="O848" s="337" t="e">
        <v>#N/A</v>
      </c>
      <c r="P848" s="337"/>
      <c r="Q848" s="337" t="s">
        <v>840</v>
      </c>
      <c r="R848" s="343">
        <v>-4884.8500000000004</v>
      </c>
    </row>
    <row r="849" spans="1:18" x14ac:dyDescent="0.2">
      <c r="A849" s="342" t="s">
        <v>727</v>
      </c>
      <c r="B849" s="337" t="s">
        <v>789</v>
      </c>
      <c r="C849" s="337" t="s">
        <v>796</v>
      </c>
      <c r="D849" s="337" t="s">
        <v>739</v>
      </c>
      <c r="E849" s="337" t="s">
        <v>790</v>
      </c>
      <c r="F849" s="337" t="s">
        <v>771</v>
      </c>
      <c r="G849" s="337" t="s">
        <v>852</v>
      </c>
      <c r="H849" s="337" t="s">
        <v>853</v>
      </c>
      <c r="I849" s="337" t="s">
        <v>767</v>
      </c>
      <c r="J849" s="337" t="s">
        <v>765</v>
      </c>
      <c r="K849" s="337"/>
      <c r="L849" s="337"/>
      <c r="M849" s="337" t="s">
        <v>815</v>
      </c>
      <c r="N849" s="337" t="s">
        <v>762</v>
      </c>
      <c r="O849" s="337" t="e">
        <v>#N/A</v>
      </c>
      <c r="P849" s="337"/>
      <c r="Q849" s="337" t="s">
        <v>840</v>
      </c>
      <c r="R849" s="343">
        <v>4426.1099999999997</v>
      </c>
    </row>
    <row r="850" spans="1:18" x14ac:dyDescent="0.2">
      <c r="A850" s="342" t="s">
        <v>728</v>
      </c>
      <c r="B850" s="337" t="s">
        <v>789</v>
      </c>
      <c r="C850" s="337" t="s">
        <v>796</v>
      </c>
      <c r="D850" s="337" t="s">
        <v>739</v>
      </c>
      <c r="E850" s="337" t="s">
        <v>790</v>
      </c>
      <c r="F850" s="337" t="s">
        <v>771</v>
      </c>
      <c r="G850" s="337" t="s">
        <v>852</v>
      </c>
      <c r="H850" s="337" t="s">
        <v>853</v>
      </c>
      <c r="I850" s="337" t="s">
        <v>767</v>
      </c>
      <c r="J850" s="337" t="s">
        <v>765</v>
      </c>
      <c r="K850" s="337"/>
      <c r="L850" s="337"/>
      <c r="M850" s="337" t="s">
        <v>815</v>
      </c>
      <c r="N850" s="337" t="s">
        <v>762</v>
      </c>
      <c r="O850" s="337" t="e">
        <v>#N/A</v>
      </c>
      <c r="P850" s="337"/>
      <c r="Q850" s="337" t="s">
        <v>841</v>
      </c>
      <c r="R850" s="343">
        <v>-2230.08</v>
      </c>
    </row>
    <row r="851" spans="1:18" x14ac:dyDescent="0.2">
      <c r="A851" s="342" t="s">
        <v>730</v>
      </c>
      <c r="B851" s="337" t="s">
        <v>789</v>
      </c>
      <c r="C851" s="337" t="s">
        <v>796</v>
      </c>
      <c r="D851" s="337" t="s">
        <v>739</v>
      </c>
      <c r="E851" s="337" t="s">
        <v>790</v>
      </c>
      <c r="F851" s="337" t="s">
        <v>771</v>
      </c>
      <c r="G851" s="337" t="s">
        <v>852</v>
      </c>
      <c r="H851" s="337" t="s">
        <v>853</v>
      </c>
      <c r="I851" s="337" t="s">
        <v>767</v>
      </c>
      <c r="J851" s="337" t="s">
        <v>765</v>
      </c>
      <c r="K851" s="337"/>
      <c r="L851" s="337"/>
      <c r="M851" s="337" t="s">
        <v>815</v>
      </c>
      <c r="N851" s="337" t="s">
        <v>762</v>
      </c>
      <c r="O851" s="337" t="e">
        <v>#N/A</v>
      </c>
      <c r="P851" s="337"/>
      <c r="Q851" s="337" t="s">
        <v>841</v>
      </c>
      <c r="R851" s="343">
        <v>-6466.3</v>
      </c>
    </row>
    <row r="852" spans="1:18" x14ac:dyDescent="0.2">
      <c r="A852" s="342" t="s">
        <v>731</v>
      </c>
      <c r="B852" s="337" t="s">
        <v>789</v>
      </c>
      <c r="C852" s="337" t="s">
        <v>796</v>
      </c>
      <c r="D852" s="337" t="s">
        <v>739</v>
      </c>
      <c r="E852" s="337" t="s">
        <v>790</v>
      </c>
      <c r="F852" s="337" t="s">
        <v>771</v>
      </c>
      <c r="G852" s="337" t="s">
        <v>852</v>
      </c>
      <c r="H852" s="337" t="s">
        <v>853</v>
      </c>
      <c r="I852" s="337" t="s">
        <v>767</v>
      </c>
      <c r="J852" s="337" t="s">
        <v>765</v>
      </c>
      <c r="K852" s="337"/>
      <c r="L852" s="337"/>
      <c r="M852" s="337" t="s">
        <v>815</v>
      </c>
      <c r="N852" s="337" t="s">
        <v>762</v>
      </c>
      <c r="O852" s="337" t="e">
        <v>#N/A</v>
      </c>
      <c r="P852" s="337"/>
      <c r="Q852" s="337" t="s">
        <v>841</v>
      </c>
      <c r="R852" s="343">
        <v>-8999.1</v>
      </c>
    </row>
    <row r="853" spans="1:18" x14ac:dyDescent="0.2">
      <c r="A853" s="342" t="s">
        <v>732</v>
      </c>
      <c r="B853" s="337" t="s">
        <v>789</v>
      </c>
      <c r="C853" s="337" t="s">
        <v>796</v>
      </c>
      <c r="D853" s="337" t="s">
        <v>739</v>
      </c>
      <c r="E853" s="337" t="s">
        <v>790</v>
      </c>
      <c r="F853" s="337" t="s">
        <v>771</v>
      </c>
      <c r="G853" s="337" t="s">
        <v>852</v>
      </c>
      <c r="H853" s="337" t="s">
        <v>853</v>
      </c>
      <c r="I853" s="337" t="s">
        <v>767</v>
      </c>
      <c r="J853" s="337" t="s">
        <v>765</v>
      </c>
      <c r="K853" s="337"/>
      <c r="L853" s="337"/>
      <c r="M853" s="337" t="s">
        <v>815</v>
      </c>
      <c r="N853" s="337" t="s">
        <v>762</v>
      </c>
      <c r="O853" s="337" t="e">
        <v>#N/A</v>
      </c>
      <c r="P853" s="337"/>
      <c r="Q853" s="337" t="s">
        <v>841</v>
      </c>
      <c r="R853" s="343">
        <v>-3504.92</v>
      </c>
    </row>
    <row r="854" spans="1:18" x14ac:dyDescent="0.2">
      <c r="A854" s="342" t="s">
        <v>726</v>
      </c>
      <c r="B854" s="337" t="s">
        <v>789</v>
      </c>
      <c r="C854" s="337" t="s">
        <v>796</v>
      </c>
      <c r="D854" s="337" t="s">
        <v>739</v>
      </c>
      <c r="E854" s="337" t="s">
        <v>790</v>
      </c>
      <c r="F854" s="337" t="s">
        <v>771</v>
      </c>
      <c r="G854" s="337" t="s">
        <v>852</v>
      </c>
      <c r="H854" s="337" t="s">
        <v>853</v>
      </c>
      <c r="I854" s="337" t="s">
        <v>767</v>
      </c>
      <c r="J854" s="337" t="s">
        <v>765</v>
      </c>
      <c r="K854" s="337"/>
      <c r="L854" s="337"/>
      <c r="M854" s="337" t="s">
        <v>815</v>
      </c>
      <c r="N854" s="337" t="s">
        <v>762</v>
      </c>
      <c r="O854" s="337" t="e">
        <v>#N/A</v>
      </c>
      <c r="P854" s="337"/>
      <c r="Q854" s="337" t="s">
        <v>841</v>
      </c>
      <c r="R854" s="343">
        <v>-8288.1200000000008</v>
      </c>
    </row>
    <row r="855" spans="1:18" x14ac:dyDescent="0.2">
      <c r="A855" s="342" t="s">
        <v>733</v>
      </c>
      <c r="B855" s="337" t="s">
        <v>789</v>
      </c>
      <c r="C855" s="337" t="s">
        <v>796</v>
      </c>
      <c r="D855" s="337" t="s">
        <v>739</v>
      </c>
      <c r="E855" s="337" t="s">
        <v>790</v>
      </c>
      <c r="F855" s="337" t="s">
        <v>771</v>
      </c>
      <c r="G855" s="337" t="s">
        <v>852</v>
      </c>
      <c r="H855" s="337" t="s">
        <v>853</v>
      </c>
      <c r="I855" s="337" t="s">
        <v>767</v>
      </c>
      <c r="J855" s="337" t="s">
        <v>765</v>
      </c>
      <c r="K855" s="337"/>
      <c r="L855" s="337"/>
      <c r="M855" s="337" t="s">
        <v>815</v>
      </c>
      <c r="N855" s="337" t="s">
        <v>762</v>
      </c>
      <c r="O855" s="337" t="e">
        <v>#N/A</v>
      </c>
      <c r="P855" s="337"/>
      <c r="Q855" s="337" t="s">
        <v>841</v>
      </c>
      <c r="R855" s="343">
        <v>-26104.31</v>
      </c>
    </row>
    <row r="856" spans="1:18" x14ac:dyDescent="0.2">
      <c r="A856" s="342" t="s">
        <v>734</v>
      </c>
      <c r="B856" s="337" t="s">
        <v>789</v>
      </c>
      <c r="C856" s="337" t="s">
        <v>796</v>
      </c>
      <c r="D856" s="337" t="s">
        <v>739</v>
      </c>
      <c r="E856" s="337" t="s">
        <v>790</v>
      </c>
      <c r="F856" s="337" t="s">
        <v>771</v>
      </c>
      <c r="G856" s="337" t="s">
        <v>852</v>
      </c>
      <c r="H856" s="337" t="s">
        <v>853</v>
      </c>
      <c r="I856" s="337" t="s">
        <v>767</v>
      </c>
      <c r="J856" s="337" t="s">
        <v>765</v>
      </c>
      <c r="K856" s="337"/>
      <c r="L856" s="337"/>
      <c r="M856" s="337" t="s">
        <v>815</v>
      </c>
      <c r="N856" s="337" t="s">
        <v>762</v>
      </c>
      <c r="O856" s="337" t="e">
        <v>#N/A</v>
      </c>
      <c r="P856" s="337"/>
      <c r="Q856" s="337" t="s">
        <v>841</v>
      </c>
      <c r="R856" s="343">
        <v>-844.17</v>
      </c>
    </row>
    <row r="857" spans="1:18" x14ac:dyDescent="0.2">
      <c r="A857" s="342" t="s">
        <v>735</v>
      </c>
      <c r="B857" s="337" t="s">
        <v>789</v>
      </c>
      <c r="C857" s="337" t="s">
        <v>796</v>
      </c>
      <c r="D857" s="337" t="s">
        <v>739</v>
      </c>
      <c r="E857" s="337" t="s">
        <v>790</v>
      </c>
      <c r="F857" s="337" t="s">
        <v>771</v>
      </c>
      <c r="G857" s="337" t="s">
        <v>852</v>
      </c>
      <c r="H857" s="337" t="s">
        <v>853</v>
      </c>
      <c r="I857" s="337" t="s">
        <v>767</v>
      </c>
      <c r="J857" s="337" t="s">
        <v>765</v>
      </c>
      <c r="K857" s="337"/>
      <c r="L857" s="337"/>
      <c r="M857" s="337" t="s">
        <v>815</v>
      </c>
      <c r="N857" s="337" t="s">
        <v>762</v>
      </c>
      <c r="O857" s="337" t="e">
        <v>#N/A</v>
      </c>
      <c r="P857" s="337"/>
      <c r="Q857" s="337" t="s">
        <v>841</v>
      </c>
      <c r="R857" s="343">
        <v>-8308.73</v>
      </c>
    </row>
    <row r="858" spans="1:18" x14ac:dyDescent="0.2">
      <c r="A858" s="342" t="s">
        <v>736</v>
      </c>
      <c r="B858" s="337" t="s">
        <v>789</v>
      </c>
      <c r="C858" s="337" t="s">
        <v>796</v>
      </c>
      <c r="D858" s="337" t="s">
        <v>739</v>
      </c>
      <c r="E858" s="337" t="s">
        <v>790</v>
      </c>
      <c r="F858" s="337" t="s">
        <v>771</v>
      </c>
      <c r="G858" s="337" t="s">
        <v>852</v>
      </c>
      <c r="H858" s="337" t="s">
        <v>853</v>
      </c>
      <c r="I858" s="337" t="s">
        <v>767</v>
      </c>
      <c r="J858" s="337" t="s">
        <v>765</v>
      </c>
      <c r="K858" s="337"/>
      <c r="L858" s="337"/>
      <c r="M858" s="337" t="s">
        <v>815</v>
      </c>
      <c r="N858" s="337" t="s">
        <v>762</v>
      </c>
      <c r="O858" s="337" t="e">
        <v>#N/A</v>
      </c>
      <c r="P858" s="337"/>
      <c r="Q858" s="337" t="s">
        <v>841</v>
      </c>
      <c r="R858" s="343">
        <v>-1978.49</v>
      </c>
    </row>
    <row r="859" spans="1:18" x14ac:dyDescent="0.2">
      <c r="A859" s="342" t="s">
        <v>737</v>
      </c>
      <c r="B859" s="337" t="s">
        <v>789</v>
      </c>
      <c r="C859" s="337" t="s">
        <v>796</v>
      </c>
      <c r="D859" s="337" t="s">
        <v>739</v>
      </c>
      <c r="E859" s="337" t="s">
        <v>790</v>
      </c>
      <c r="F859" s="337" t="s">
        <v>771</v>
      </c>
      <c r="G859" s="337" t="s">
        <v>852</v>
      </c>
      <c r="H859" s="337" t="s">
        <v>853</v>
      </c>
      <c r="I859" s="337" t="s">
        <v>767</v>
      </c>
      <c r="J859" s="337" t="s">
        <v>765</v>
      </c>
      <c r="K859" s="337"/>
      <c r="L859" s="337"/>
      <c r="M859" s="337" t="s">
        <v>815</v>
      </c>
      <c r="N859" s="337" t="s">
        <v>762</v>
      </c>
      <c r="O859" s="337" t="e">
        <v>#N/A</v>
      </c>
      <c r="P859" s="337"/>
      <c r="Q859" s="337" t="s">
        <v>841</v>
      </c>
      <c r="R859" s="343">
        <v>-2181.31</v>
      </c>
    </row>
    <row r="860" spans="1:18" x14ac:dyDescent="0.2">
      <c r="A860" s="342" t="s">
        <v>738</v>
      </c>
      <c r="B860" s="337" t="s">
        <v>789</v>
      </c>
      <c r="C860" s="337" t="s">
        <v>796</v>
      </c>
      <c r="D860" s="337" t="s">
        <v>739</v>
      </c>
      <c r="E860" s="337" t="s">
        <v>790</v>
      </c>
      <c r="F860" s="337" t="s">
        <v>771</v>
      </c>
      <c r="G860" s="337" t="s">
        <v>852</v>
      </c>
      <c r="H860" s="337" t="s">
        <v>853</v>
      </c>
      <c r="I860" s="337" t="s">
        <v>767</v>
      </c>
      <c r="J860" s="337" t="s">
        <v>765</v>
      </c>
      <c r="K860" s="337"/>
      <c r="L860" s="337"/>
      <c r="M860" s="337" t="s">
        <v>815</v>
      </c>
      <c r="N860" s="337" t="s">
        <v>762</v>
      </c>
      <c r="O860" s="337" t="e">
        <v>#N/A</v>
      </c>
      <c r="P860" s="337"/>
      <c r="Q860" s="337" t="s">
        <v>841</v>
      </c>
      <c r="R860" s="343">
        <v>-319.76</v>
      </c>
    </row>
    <row r="861" spans="1:18" x14ac:dyDescent="0.2">
      <c r="A861" s="342" t="s">
        <v>727</v>
      </c>
      <c r="B861" s="337" t="s">
        <v>789</v>
      </c>
      <c r="C861" s="337" t="s">
        <v>796</v>
      </c>
      <c r="D861" s="337" t="s">
        <v>739</v>
      </c>
      <c r="E861" s="337" t="s">
        <v>790</v>
      </c>
      <c r="F861" s="337" t="s">
        <v>771</v>
      </c>
      <c r="G861" s="337" t="s">
        <v>852</v>
      </c>
      <c r="H861" s="337" t="s">
        <v>853</v>
      </c>
      <c r="I861" s="337" t="s">
        <v>767</v>
      </c>
      <c r="J861" s="337" t="s">
        <v>765</v>
      </c>
      <c r="K861" s="337"/>
      <c r="L861" s="337"/>
      <c r="M861" s="337" t="s">
        <v>815</v>
      </c>
      <c r="N861" s="337" t="s">
        <v>762</v>
      </c>
      <c r="O861" s="337" t="e">
        <v>#N/A</v>
      </c>
      <c r="P861" s="337"/>
      <c r="Q861" s="337" t="s">
        <v>841</v>
      </c>
      <c r="R861" s="343">
        <v>-658.51</v>
      </c>
    </row>
    <row r="862" spans="1:18" x14ac:dyDescent="0.2">
      <c r="A862" s="342" t="s">
        <v>728</v>
      </c>
      <c r="B862" s="337" t="s">
        <v>789</v>
      </c>
      <c r="C862" s="337" t="s">
        <v>796</v>
      </c>
      <c r="D862" s="337" t="s">
        <v>739</v>
      </c>
      <c r="E862" s="337" t="s">
        <v>790</v>
      </c>
      <c r="F862" s="337" t="s">
        <v>771</v>
      </c>
      <c r="G862" s="337" t="s">
        <v>852</v>
      </c>
      <c r="H862" s="337" t="s">
        <v>853</v>
      </c>
      <c r="I862" s="337" t="s">
        <v>767</v>
      </c>
      <c r="J862" s="337" t="s">
        <v>765</v>
      </c>
      <c r="K862" s="337"/>
      <c r="L862" s="337"/>
      <c r="M862" s="337" t="s">
        <v>815</v>
      </c>
      <c r="N862" s="337" t="s">
        <v>762</v>
      </c>
      <c r="O862" s="337" t="e">
        <v>#N/A</v>
      </c>
      <c r="P862" s="337"/>
      <c r="Q862" s="337" t="s">
        <v>856</v>
      </c>
      <c r="R862" s="343">
        <v>-24349.9</v>
      </c>
    </row>
    <row r="863" spans="1:18" x14ac:dyDescent="0.2">
      <c r="A863" s="342" t="s">
        <v>730</v>
      </c>
      <c r="B863" s="337" t="s">
        <v>789</v>
      </c>
      <c r="C863" s="337" t="s">
        <v>796</v>
      </c>
      <c r="D863" s="337" t="s">
        <v>739</v>
      </c>
      <c r="E863" s="337" t="s">
        <v>790</v>
      </c>
      <c r="F863" s="337" t="s">
        <v>771</v>
      </c>
      <c r="G863" s="337" t="s">
        <v>852</v>
      </c>
      <c r="H863" s="337" t="s">
        <v>853</v>
      </c>
      <c r="I863" s="337" t="s">
        <v>767</v>
      </c>
      <c r="J863" s="337" t="s">
        <v>765</v>
      </c>
      <c r="K863" s="337"/>
      <c r="L863" s="337"/>
      <c r="M863" s="337" t="s">
        <v>815</v>
      </c>
      <c r="N863" s="337" t="s">
        <v>762</v>
      </c>
      <c r="O863" s="337" t="e">
        <v>#N/A</v>
      </c>
      <c r="P863" s="337"/>
      <c r="Q863" s="337" t="s">
        <v>856</v>
      </c>
      <c r="R863" s="343">
        <v>-17831.939999999999</v>
      </c>
    </row>
    <row r="864" spans="1:18" x14ac:dyDescent="0.2">
      <c r="A864" s="342" t="s">
        <v>731</v>
      </c>
      <c r="B864" s="337" t="s">
        <v>789</v>
      </c>
      <c r="C864" s="337" t="s">
        <v>796</v>
      </c>
      <c r="D864" s="337" t="s">
        <v>739</v>
      </c>
      <c r="E864" s="337" t="s">
        <v>790</v>
      </c>
      <c r="F864" s="337" t="s">
        <v>771</v>
      </c>
      <c r="G864" s="337" t="s">
        <v>852</v>
      </c>
      <c r="H864" s="337" t="s">
        <v>853</v>
      </c>
      <c r="I864" s="337" t="s">
        <v>767</v>
      </c>
      <c r="J864" s="337" t="s">
        <v>765</v>
      </c>
      <c r="K864" s="337"/>
      <c r="L864" s="337"/>
      <c r="M864" s="337" t="s">
        <v>815</v>
      </c>
      <c r="N864" s="337" t="s">
        <v>762</v>
      </c>
      <c r="O864" s="337" t="e">
        <v>#N/A</v>
      </c>
      <c r="P864" s="337"/>
      <c r="Q864" s="337" t="s">
        <v>856</v>
      </c>
      <c r="R864" s="343">
        <v>-26739.48</v>
      </c>
    </row>
    <row r="865" spans="1:18" x14ac:dyDescent="0.2">
      <c r="A865" s="342" t="s">
        <v>732</v>
      </c>
      <c r="B865" s="337" t="s">
        <v>789</v>
      </c>
      <c r="C865" s="337" t="s">
        <v>796</v>
      </c>
      <c r="D865" s="337" t="s">
        <v>739</v>
      </c>
      <c r="E865" s="337" t="s">
        <v>790</v>
      </c>
      <c r="F865" s="337" t="s">
        <v>771</v>
      </c>
      <c r="G865" s="337" t="s">
        <v>852</v>
      </c>
      <c r="H865" s="337" t="s">
        <v>853</v>
      </c>
      <c r="I865" s="337" t="s">
        <v>767</v>
      </c>
      <c r="J865" s="337" t="s">
        <v>765</v>
      </c>
      <c r="K865" s="337"/>
      <c r="L865" s="337"/>
      <c r="M865" s="337" t="s">
        <v>815</v>
      </c>
      <c r="N865" s="337" t="s">
        <v>762</v>
      </c>
      <c r="O865" s="337" t="e">
        <v>#N/A</v>
      </c>
      <c r="P865" s="337"/>
      <c r="Q865" s="337" t="s">
        <v>856</v>
      </c>
      <c r="R865" s="343">
        <v>-43714.23</v>
      </c>
    </row>
    <row r="866" spans="1:18" x14ac:dyDescent="0.2">
      <c r="A866" s="342" t="s">
        <v>726</v>
      </c>
      <c r="B866" s="337" t="s">
        <v>789</v>
      </c>
      <c r="C866" s="337" t="s">
        <v>796</v>
      </c>
      <c r="D866" s="337" t="s">
        <v>739</v>
      </c>
      <c r="E866" s="337" t="s">
        <v>790</v>
      </c>
      <c r="F866" s="337" t="s">
        <v>771</v>
      </c>
      <c r="G866" s="337" t="s">
        <v>852</v>
      </c>
      <c r="H866" s="337" t="s">
        <v>853</v>
      </c>
      <c r="I866" s="337" t="s">
        <v>767</v>
      </c>
      <c r="J866" s="337" t="s">
        <v>765</v>
      </c>
      <c r="K866" s="337"/>
      <c r="L866" s="337"/>
      <c r="M866" s="337" t="s">
        <v>815</v>
      </c>
      <c r="N866" s="337" t="s">
        <v>762</v>
      </c>
      <c r="O866" s="337" t="e">
        <v>#N/A</v>
      </c>
      <c r="P866" s="337"/>
      <c r="Q866" s="337" t="s">
        <v>856</v>
      </c>
      <c r="R866" s="343">
        <v>-50239.69</v>
      </c>
    </row>
    <row r="867" spans="1:18" x14ac:dyDescent="0.2">
      <c r="A867" s="342" t="s">
        <v>733</v>
      </c>
      <c r="B867" s="337" t="s">
        <v>789</v>
      </c>
      <c r="C867" s="337" t="s">
        <v>796</v>
      </c>
      <c r="D867" s="337" t="s">
        <v>739</v>
      </c>
      <c r="E867" s="337" t="s">
        <v>790</v>
      </c>
      <c r="F867" s="337" t="s">
        <v>771</v>
      </c>
      <c r="G867" s="337" t="s">
        <v>852</v>
      </c>
      <c r="H867" s="337" t="s">
        <v>853</v>
      </c>
      <c r="I867" s="337" t="s">
        <v>767</v>
      </c>
      <c r="J867" s="337" t="s">
        <v>765</v>
      </c>
      <c r="K867" s="337"/>
      <c r="L867" s="337"/>
      <c r="M867" s="337" t="s">
        <v>815</v>
      </c>
      <c r="N867" s="337" t="s">
        <v>762</v>
      </c>
      <c r="O867" s="337" t="e">
        <v>#N/A</v>
      </c>
      <c r="P867" s="337"/>
      <c r="Q867" s="337" t="s">
        <v>856</v>
      </c>
      <c r="R867" s="343">
        <v>-47461.279999999999</v>
      </c>
    </row>
    <row r="868" spans="1:18" x14ac:dyDescent="0.2">
      <c r="A868" s="342" t="s">
        <v>734</v>
      </c>
      <c r="B868" s="337" t="s">
        <v>789</v>
      </c>
      <c r="C868" s="337" t="s">
        <v>796</v>
      </c>
      <c r="D868" s="337" t="s">
        <v>739</v>
      </c>
      <c r="E868" s="337" t="s">
        <v>790</v>
      </c>
      <c r="F868" s="337" t="s">
        <v>771</v>
      </c>
      <c r="G868" s="337" t="s">
        <v>852</v>
      </c>
      <c r="H868" s="337" t="s">
        <v>853</v>
      </c>
      <c r="I868" s="337" t="s">
        <v>767</v>
      </c>
      <c r="J868" s="337" t="s">
        <v>765</v>
      </c>
      <c r="K868" s="337"/>
      <c r="L868" s="337"/>
      <c r="M868" s="337" t="s">
        <v>815</v>
      </c>
      <c r="N868" s="337" t="s">
        <v>762</v>
      </c>
      <c r="O868" s="337" t="e">
        <v>#N/A</v>
      </c>
      <c r="P868" s="337"/>
      <c r="Q868" s="337" t="s">
        <v>856</v>
      </c>
      <c r="R868" s="343">
        <v>-55058.2</v>
      </c>
    </row>
    <row r="869" spans="1:18" x14ac:dyDescent="0.2">
      <c r="A869" s="342" t="s">
        <v>735</v>
      </c>
      <c r="B869" s="337" t="s">
        <v>789</v>
      </c>
      <c r="C869" s="337" t="s">
        <v>796</v>
      </c>
      <c r="D869" s="337" t="s">
        <v>739</v>
      </c>
      <c r="E869" s="337" t="s">
        <v>790</v>
      </c>
      <c r="F869" s="337" t="s">
        <v>771</v>
      </c>
      <c r="G869" s="337" t="s">
        <v>852</v>
      </c>
      <c r="H869" s="337" t="s">
        <v>853</v>
      </c>
      <c r="I869" s="337" t="s">
        <v>767</v>
      </c>
      <c r="J869" s="337" t="s">
        <v>765</v>
      </c>
      <c r="K869" s="337"/>
      <c r="L869" s="337"/>
      <c r="M869" s="337" t="s">
        <v>815</v>
      </c>
      <c r="N869" s="337" t="s">
        <v>762</v>
      </c>
      <c r="O869" s="337" t="e">
        <v>#N/A</v>
      </c>
      <c r="P869" s="337"/>
      <c r="Q869" s="337" t="s">
        <v>856</v>
      </c>
      <c r="R869" s="343">
        <v>-34951.96</v>
      </c>
    </row>
    <row r="870" spans="1:18" x14ac:dyDescent="0.2">
      <c r="A870" s="342" t="s">
        <v>736</v>
      </c>
      <c r="B870" s="337" t="s">
        <v>789</v>
      </c>
      <c r="C870" s="337" t="s">
        <v>796</v>
      </c>
      <c r="D870" s="337" t="s">
        <v>739</v>
      </c>
      <c r="E870" s="337" t="s">
        <v>790</v>
      </c>
      <c r="F870" s="337" t="s">
        <v>771</v>
      </c>
      <c r="G870" s="337" t="s">
        <v>852</v>
      </c>
      <c r="H870" s="337" t="s">
        <v>853</v>
      </c>
      <c r="I870" s="337" t="s">
        <v>767</v>
      </c>
      <c r="J870" s="337" t="s">
        <v>765</v>
      </c>
      <c r="K870" s="337"/>
      <c r="L870" s="337"/>
      <c r="M870" s="337" t="s">
        <v>815</v>
      </c>
      <c r="N870" s="337" t="s">
        <v>762</v>
      </c>
      <c r="O870" s="337" t="e">
        <v>#N/A</v>
      </c>
      <c r="P870" s="337"/>
      <c r="Q870" s="337" t="s">
        <v>856</v>
      </c>
      <c r="R870" s="343">
        <v>-47472.57</v>
      </c>
    </row>
    <row r="871" spans="1:18" x14ac:dyDescent="0.2">
      <c r="A871" s="342" t="s">
        <v>737</v>
      </c>
      <c r="B871" s="337" t="s">
        <v>789</v>
      </c>
      <c r="C871" s="337" t="s">
        <v>796</v>
      </c>
      <c r="D871" s="337" t="s">
        <v>739</v>
      </c>
      <c r="E871" s="337" t="s">
        <v>790</v>
      </c>
      <c r="F871" s="337" t="s">
        <v>771</v>
      </c>
      <c r="G871" s="337" t="s">
        <v>852</v>
      </c>
      <c r="H871" s="337" t="s">
        <v>853</v>
      </c>
      <c r="I871" s="337" t="s">
        <v>767</v>
      </c>
      <c r="J871" s="337" t="s">
        <v>765</v>
      </c>
      <c r="K871" s="337"/>
      <c r="L871" s="337"/>
      <c r="M871" s="337" t="s">
        <v>815</v>
      </c>
      <c r="N871" s="337" t="s">
        <v>762</v>
      </c>
      <c r="O871" s="337" t="e">
        <v>#N/A</v>
      </c>
      <c r="P871" s="337"/>
      <c r="Q871" s="337" t="s">
        <v>856</v>
      </c>
      <c r="R871" s="343">
        <v>-22166.68</v>
      </c>
    </row>
    <row r="872" spans="1:18" x14ac:dyDescent="0.2">
      <c r="A872" s="342" t="s">
        <v>738</v>
      </c>
      <c r="B872" s="337" t="s">
        <v>789</v>
      </c>
      <c r="C872" s="337" t="s">
        <v>796</v>
      </c>
      <c r="D872" s="337" t="s">
        <v>739</v>
      </c>
      <c r="E872" s="337" t="s">
        <v>790</v>
      </c>
      <c r="F872" s="337" t="s">
        <v>771</v>
      </c>
      <c r="G872" s="337" t="s">
        <v>852</v>
      </c>
      <c r="H872" s="337" t="s">
        <v>853</v>
      </c>
      <c r="I872" s="337" t="s">
        <v>767</v>
      </c>
      <c r="J872" s="337" t="s">
        <v>765</v>
      </c>
      <c r="K872" s="337"/>
      <c r="L872" s="337"/>
      <c r="M872" s="337" t="s">
        <v>815</v>
      </c>
      <c r="N872" s="337" t="s">
        <v>762</v>
      </c>
      <c r="O872" s="337" t="e">
        <v>#N/A</v>
      </c>
      <c r="P872" s="337"/>
      <c r="Q872" s="337" t="s">
        <v>856</v>
      </c>
      <c r="R872" s="343">
        <v>-18907.7</v>
      </c>
    </row>
    <row r="873" spans="1:18" x14ac:dyDescent="0.2">
      <c r="A873" s="342" t="s">
        <v>727</v>
      </c>
      <c r="B873" s="337" t="s">
        <v>789</v>
      </c>
      <c r="C873" s="337" t="s">
        <v>796</v>
      </c>
      <c r="D873" s="337" t="s">
        <v>739</v>
      </c>
      <c r="E873" s="337" t="s">
        <v>790</v>
      </c>
      <c r="F873" s="337" t="s">
        <v>771</v>
      </c>
      <c r="G873" s="337" t="s">
        <v>852</v>
      </c>
      <c r="H873" s="337" t="s">
        <v>853</v>
      </c>
      <c r="I873" s="337" t="s">
        <v>767</v>
      </c>
      <c r="J873" s="337" t="s">
        <v>765</v>
      </c>
      <c r="K873" s="337"/>
      <c r="L873" s="337"/>
      <c r="M873" s="337" t="s">
        <v>815</v>
      </c>
      <c r="N873" s="337" t="s">
        <v>762</v>
      </c>
      <c r="O873" s="337" t="e">
        <v>#N/A</v>
      </c>
      <c r="P873" s="337"/>
      <c r="Q873" s="337" t="s">
        <v>856</v>
      </c>
      <c r="R873" s="343">
        <v>-16179.98</v>
      </c>
    </row>
    <row r="874" spans="1:18" x14ac:dyDescent="0.2">
      <c r="A874" s="342" t="s">
        <v>731</v>
      </c>
      <c r="B874" s="337" t="s">
        <v>789</v>
      </c>
      <c r="C874" s="337" t="s">
        <v>796</v>
      </c>
      <c r="D874" s="337" t="s">
        <v>739</v>
      </c>
      <c r="E874" s="337" t="s">
        <v>790</v>
      </c>
      <c r="F874" s="337" t="s">
        <v>771</v>
      </c>
      <c r="G874" s="337" t="s">
        <v>852</v>
      </c>
      <c r="H874" s="337" t="s">
        <v>853</v>
      </c>
      <c r="I874" s="337" t="s">
        <v>767</v>
      </c>
      <c r="J874" s="337" t="s">
        <v>765</v>
      </c>
      <c r="K874" s="337"/>
      <c r="L874" s="337"/>
      <c r="M874" s="337" t="s">
        <v>815</v>
      </c>
      <c r="N874" s="337" t="s">
        <v>762</v>
      </c>
      <c r="O874" s="337" t="e">
        <v>#N/A</v>
      </c>
      <c r="P874" s="337"/>
      <c r="Q874" s="337" t="s">
        <v>845</v>
      </c>
      <c r="R874" s="343">
        <v>-11592.32</v>
      </c>
    </row>
    <row r="875" spans="1:18" x14ac:dyDescent="0.2">
      <c r="A875" s="342" t="s">
        <v>732</v>
      </c>
      <c r="B875" s="337" t="s">
        <v>789</v>
      </c>
      <c r="C875" s="337" t="s">
        <v>796</v>
      </c>
      <c r="D875" s="337" t="s">
        <v>739</v>
      </c>
      <c r="E875" s="337" t="s">
        <v>790</v>
      </c>
      <c r="F875" s="337" t="s">
        <v>771</v>
      </c>
      <c r="G875" s="337" t="s">
        <v>852</v>
      </c>
      <c r="H875" s="337" t="s">
        <v>853</v>
      </c>
      <c r="I875" s="337" t="s">
        <v>767</v>
      </c>
      <c r="J875" s="337" t="s">
        <v>765</v>
      </c>
      <c r="K875" s="337"/>
      <c r="L875" s="337"/>
      <c r="M875" s="337" t="s">
        <v>815</v>
      </c>
      <c r="N875" s="337" t="s">
        <v>762</v>
      </c>
      <c r="O875" s="337" t="e">
        <v>#N/A</v>
      </c>
      <c r="P875" s="337"/>
      <c r="Q875" s="337" t="s">
        <v>845</v>
      </c>
      <c r="R875" s="343">
        <v>-11247.12</v>
      </c>
    </row>
    <row r="876" spans="1:18" x14ac:dyDescent="0.2">
      <c r="A876" s="342" t="s">
        <v>726</v>
      </c>
      <c r="B876" s="337" t="s">
        <v>789</v>
      </c>
      <c r="C876" s="337" t="s">
        <v>796</v>
      </c>
      <c r="D876" s="337" t="s">
        <v>739</v>
      </c>
      <c r="E876" s="337" t="s">
        <v>790</v>
      </c>
      <c r="F876" s="337" t="s">
        <v>771</v>
      </c>
      <c r="G876" s="337" t="s">
        <v>852</v>
      </c>
      <c r="H876" s="337" t="s">
        <v>853</v>
      </c>
      <c r="I876" s="337" t="s">
        <v>767</v>
      </c>
      <c r="J876" s="337" t="s">
        <v>765</v>
      </c>
      <c r="K876" s="337"/>
      <c r="L876" s="337"/>
      <c r="M876" s="337" t="s">
        <v>815</v>
      </c>
      <c r="N876" s="337" t="s">
        <v>762</v>
      </c>
      <c r="O876" s="337" t="e">
        <v>#N/A</v>
      </c>
      <c r="P876" s="337"/>
      <c r="Q876" s="337" t="s">
        <v>845</v>
      </c>
      <c r="R876" s="343">
        <v>-248.57</v>
      </c>
    </row>
    <row r="877" spans="1:18" x14ac:dyDescent="0.2">
      <c r="A877" s="342" t="s">
        <v>733</v>
      </c>
      <c r="B877" s="337" t="s">
        <v>789</v>
      </c>
      <c r="C877" s="337" t="s">
        <v>796</v>
      </c>
      <c r="D877" s="337" t="s">
        <v>739</v>
      </c>
      <c r="E877" s="337" t="s">
        <v>790</v>
      </c>
      <c r="F877" s="337" t="s">
        <v>771</v>
      </c>
      <c r="G877" s="337" t="s">
        <v>852</v>
      </c>
      <c r="H877" s="337" t="s">
        <v>853</v>
      </c>
      <c r="I877" s="337" t="s">
        <v>767</v>
      </c>
      <c r="J877" s="337" t="s">
        <v>765</v>
      </c>
      <c r="K877" s="337"/>
      <c r="L877" s="337"/>
      <c r="M877" s="337" t="s">
        <v>815</v>
      </c>
      <c r="N877" s="337" t="s">
        <v>762</v>
      </c>
      <c r="O877" s="337" t="e">
        <v>#N/A</v>
      </c>
      <c r="P877" s="337"/>
      <c r="Q877" s="337" t="s">
        <v>845</v>
      </c>
      <c r="R877" s="343">
        <v>-155819.76</v>
      </c>
    </row>
    <row r="878" spans="1:18" x14ac:dyDescent="0.2">
      <c r="A878" s="342" t="s">
        <v>734</v>
      </c>
      <c r="B878" s="337" t="s">
        <v>789</v>
      </c>
      <c r="C878" s="337" t="s">
        <v>796</v>
      </c>
      <c r="D878" s="337" t="s">
        <v>739</v>
      </c>
      <c r="E878" s="337" t="s">
        <v>790</v>
      </c>
      <c r="F878" s="337" t="s">
        <v>771</v>
      </c>
      <c r="G878" s="337" t="s">
        <v>852</v>
      </c>
      <c r="H878" s="337" t="s">
        <v>853</v>
      </c>
      <c r="I878" s="337" t="s">
        <v>767</v>
      </c>
      <c r="J878" s="337" t="s">
        <v>765</v>
      </c>
      <c r="K878" s="337"/>
      <c r="L878" s="337"/>
      <c r="M878" s="337" t="s">
        <v>815</v>
      </c>
      <c r="N878" s="337" t="s">
        <v>762</v>
      </c>
      <c r="O878" s="337" t="e">
        <v>#N/A</v>
      </c>
      <c r="P878" s="337"/>
      <c r="Q878" s="337" t="s">
        <v>845</v>
      </c>
      <c r="R878" s="343">
        <v>-96744.62</v>
      </c>
    </row>
    <row r="879" spans="1:18" x14ac:dyDescent="0.2">
      <c r="A879" s="342" t="s">
        <v>735</v>
      </c>
      <c r="B879" s="337" t="s">
        <v>789</v>
      </c>
      <c r="C879" s="337" t="s">
        <v>796</v>
      </c>
      <c r="D879" s="337" t="s">
        <v>739</v>
      </c>
      <c r="E879" s="337" t="s">
        <v>790</v>
      </c>
      <c r="F879" s="337" t="s">
        <v>771</v>
      </c>
      <c r="G879" s="337" t="s">
        <v>852</v>
      </c>
      <c r="H879" s="337" t="s">
        <v>853</v>
      </c>
      <c r="I879" s="337" t="s">
        <v>767</v>
      </c>
      <c r="J879" s="337" t="s">
        <v>765</v>
      </c>
      <c r="K879" s="337"/>
      <c r="L879" s="337"/>
      <c r="M879" s="337" t="s">
        <v>815</v>
      </c>
      <c r="N879" s="337" t="s">
        <v>762</v>
      </c>
      <c r="O879" s="337" t="e">
        <v>#N/A</v>
      </c>
      <c r="P879" s="337"/>
      <c r="Q879" s="337" t="s">
        <v>845</v>
      </c>
      <c r="R879" s="343">
        <v>-116803.8</v>
      </c>
    </row>
    <row r="880" spans="1:18" x14ac:dyDescent="0.2">
      <c r="A880" s="342" t="s">
        <v>736</v>
      </c>
      <c r="B880" s="337" t="s">
        <v>789</v>
      </c>
      <c r="C880" s="337" t="s">
        <v>796</v>
      </c>
      <c r="D880" s="337" t="s">
        <v>739</v>
      </c>
      <c r="E880" s="337" t="s">
        <v>790</v>
      </c>
      <c r="F880" s="337" t="s">
        <v>771</v>
      </c>
      <c r="G880" s="337" t="s">
        <v>852</v>
      </c>
      <c r="H880" s="337" t="s">
        <v>853</v>
      </c>
      <c r="I880" s="337" t="s">
        <v>767</v>
      </c>
      <c r="J880" s="337" t="s">
        <v>765</v>
      </c>
      <c r="K880" s="337"/>
      <c r="L880" s="337"/>
      <c r="M880" s="337" t="s">
        <v>815</v>
      </c>
      <c r="N880" s="337" t="s">
        <v>762</v>
      </c>
      <c r="O880" s="337" t="e">
        <v>#N/A</v>
      </c>
      <c r="P880" s="337"/>
      <c r="Q880" s="337" t="s">
        <v>845</v>
      </c>
      <c r="R880" s="343">
        <v>-137020.81</v>
      </c>
    </row>
    <row r="881" spans="1:18" x14ac:dyDescent="0.2">
      <c r="A881" s="342" t="s">
        <v>737</v>
      </c>
      <c r="B881" s="337" t="s">
        <v>789</v>
      </c>
      <c r="C881" s="337" t="s">
        <v>796</v>
      </c>
      <c r="D881" s="337" t="s">
        <v>739</v>
      </c>
      <c r="E881" s="337" t="s">
        <v>790</v>
      </c>
      <c r="F881" s="337" t="s">
        <v>771</v>
      </c>
      <c r="G881" s="337" t="s">
        <v>852</v>
      </c>
      <c r="H881" s="337" t="s">
        <v>853</v>
      </c>
      <c r="I881" s="337" t="s">
        <v>767</v>
      </c>
      <c r="J881" s="337" t="s">
        <v>765</v>
      </c>
      <c r="K881" s="337"/>
      <c r="L881" s="337"/>
      <c r="M881" s="337" t="s">
        <v>815</v>
      </c>
      <c r="N881" s="337" t="s">
        <v>762</v>
      </c>
      <c r="O881" s="337" t="e">
        <v>#N/A</v>
      </c>
      <c r="P881" s="337"/>
      <c r="Q881" s="337" t="s">
        <v>845</v>
      </c>
      <c r="R881" s="343">
        <v>-118479.72</v>
      </c>
    </row>
    <row r="882" spans="1:18" x14ac:dyDescent="0.2">
      <c r="A882" s="342" t="s">
        <v>738</v>
      </c>
      <c r="B882" s="337" t="s">
        <v>789</v>
      </c>
      <c r="C882" s="337" t="s">
        <v>796</v>
      </c>
      <c r="D882" s="337" t="s">
        <v>739</v>
      </c>
      <c r="E882" s="337" t="s">
        <v>790</v>
      </c>
      <c r="F882" s="337" t="s">
        <v>771</v>
      </c>
      <c r="G882" s="337" t="s">
        <v>852</v>
      </c>
      <c r="H882" s="337" t="s">
        <v>853</v>
      </c>
      <c r="I882" s="337" t="s">
        <v>767</v>
      </c>
      <c r="J882" s="337" t="s">
        <v>765</v>
      </c>
      <c r="K882" s="337"/>
      <c r="L882" s="337"/>
      <c r="M882" s="337" t="s">
        <v>815</v>
      </c>
      <c r="N882" s="337" t="s">
        <v>762</v>
      </c>
      <c r="O882" s="337" t="e">
        <v>#N/A</v>
      </c>
      <c r="P882" s="337"/>
      <c r="Q882" s="337" t="s">
        <v>845</v>
      </c>
      <c r="R882" s="343">
        <v>0</v>
      </c>
    </row>
    <row r="883" spans="1:18" x14ac:dyDescent="0.2">
      <c r="A883" s="342" t="s">
        <v>727</v>
      </c>
      <c r="B883" s="337" t="s">
        <v>789</v>
      </c>
      <c r="C883" s="337" t="s">
        <v>796</v>
      </c>
      <c r="D883" s="337" t="s">
        <v>739</v>
      </c>
      <c r="E883" s="337" t="s">
        <v>790</v>
      </c>
      <c r="F883" s="337" t="s">
        <v>771</v>
      </c>
      <c r="G883" s="337" t="s">
        <v>852</v>
      </c>
      <c r="H883" s="337" t="s">
        <v>853</v>
      </c>
      <c r="I883" s="337" t="s">
        <v>767</v>
      </c>
      <c r="J883" s="337" t="s">
        <v>765</v>
      </c>
      <c r="K883" s="337"/>
      <c r="L883" s="337"/>
      <c r="M883" s="337" t="s">
        <v>815</v>
      </c>
      <c r="N883" s="337" t="s">
        <v>762</v>
      </c>
      <c r="O883" s="337" t="e">
        <v>#N/A</v>
      </c>
      <c r="P883" s="337"/>
      <c r="Q883" s="337" t="s">
        <v>845</v>
      </c>
      <c r="R883" s="343">
        <v>-23703.23</v>
      </c>
    </row>
    <row r="884" spans="1:18" x14ac:dyDescent="0.2">
      <c r="A884" s="342" t="s">
        <v>728</v>
      </c>
      <c r="B884" s="337" t="s">
        <v>789</v>
      </c>
      <c r="C884" s="337" t="s">
        <v>796</v>
      </c>
      <c r="D884" s="337" t="s">
        <v>739</v>
      </c>
      <c r="E884" s="337" t="s">
        <v>790</v>
      </c>
      <c r="F884" s="337" t="s">
        <v>771</v>
      </c>
      <c r="G884" s="337" t="s">
        <v>852</v>
      </c>
      <c r="H884" s="337" t="s">
        <v>853</v>
      </c>
      <c r="I884" s="337" t="s">
        <v>767</v>
      </c>
      <c r="J884" s="337" t="s">
        <v>765</v>
      </c>
      <c r="K884" s="337"/>
      <c r="L884" s="337"/>
      <c r="M884" s="337" t="s">
        <v>815</v>
      </c>
      <c r="N884" s="337" t="s">
        <v>762</v>
      </c>
      <c r="O884" s="337" t="e">
        <v>#N/A</v>
      </c>
      <c r="P884" s="337"/>
      <c r="Q884" s="337" t="s">
        <v>842</v>
      </c>
      <c r="R884" s="343">
        <v>0</v>
      </c>
    </row>
    <row r="885" spans="1:18" x14ac:dyDescent="0.2">
      <c r="A885" s="342" t="s">
        <v>730</v>
      </c>
      <c r="B885" s="337" t="s">
        <v>789</v>
      </c>
      <c r="C885" s="337" t="s">
        <v>796</v>
      </c>
      <c r="D885" s="337" t="s">
        <v>739</v>
      </c>
      <c r="E885" s="337" t="s">
        <v>790</v>
      </c>
      <c r="F885" s="337" t="s">
        <v>771</v>
      </c>
      <c r="G885" s="337" t="s">
        <v>852</v>
      </c>
      <c r="H885" s="337" t="s">
        <v>853</v>
      </c>
      <c r="I885" s="337" t="s">
        <v>767</v>
      </c>
      <c r="J885" s="337" t="s">
        <v>765</v>
      </c>
      <c r="K885" s="337"/>
      <c r="L885" s="337"/>
      <c r="M885" s="337" t="s">
        <v>815</v>
      </c>
      <c r="N885" s="337" t="s">
        <v>762</v>
      </c>
      <c r="O885" s="337" t="e">
        <v>#N/A</v>
      </c>
      <c r="P885" s="337"/>
      <c r="Q885" s="337" t="s">
        <v>842</v>
      </c>
      <c r="R885" s="343">
        <v>-29400.43</v>
      </c>
    </row>
    <row r="886" spans="1:18" x14ac:dyDescent="0.2">
      <c r="A886" s="342" t="s">
        <v>731</v>
      </c>
      <c r="B886" s="337" t="s">
        <v>789</v>
      </c>
      <c r="C886" s="337" t="s">
        <v>796</v>
      </c>
      <c r="D886" s="337" t="s">
        <v>739</v>
      </c>
      <c r="E886" s="337" t="s">
        <v>790</v>
      </c>
      <c r="F886" s="337" t="s">
        <v>771</v>
      </c>
      <c r="G886" s="337" t="s">
        <v>852</v>
      </c>
      <c r="H886" s="337" t="s">
        <v>853</v>
      </c>
      <c r="I886" s="337" t="s">
        <v>767</v>
      </c>
      <c r="J886" s="337" t="s">
        <v>765</v>
      </c>
      <c r="K886" s="337"/>
      <c r="L886" s="337"/>
      <c r="M886" s="337" t="s">
        <v>815</v>
      </c>
      <c r="N886" s="337" t="s">
        <v>762</v>
      </c>
      <c r="O886" s="337" t="e">
        <v>#N/A</v>
      </c>
      <c r="P886" s="337"/>
      <c r="Q886" s="337" t="s">
        <v>842</v>
      </c>
      <c r="R886" s="343">
        <v>0</v>
      </c>
    </row>
    <row r="887" spans="1:18" x14ac:dyDescent="0.2">
      <c r="A887" s="342" t="s">
        <v>732</v>
      </c>
      <c r="B887" s="337" t="s">
        <v>789</v>
      </c>
      <c r="C887" s="337" t="s">
        <v>796</v>
      </c>
      <c r="D887" s="337" t="s">
        <v>739</v>
      </c>
      <c r="E887" s="337" t="s">
        <v>790</v>
      </c>
      <c r="F887" s="337" t="s">
        <v>771</v>
      </c>
      <c r="G887" s="337" t="s">
        <v>852</v>
      </c>
      <c r="H887" s="337" t="s">
        <v>853</v>
      </c>
      <c r="I887" s="337" t="s">
        <v>767</v>
      </c>
      <c r="J887" s="337" t="s">
        <v>765</v>
      </c>
      <c r="K887" s="337"/>
      <c r="L887" s="337"/>
      <c r="M887" s="337" t="s">
        <v>815</v>
      </c>
      <c r="N887" s="337" t="s">
        <v>762</v>
      </c>
      <c r="O887" s="337" t="e">
        <v>#N/A</v>
      </c>
      <c r="P887" s="337"/>
      <c r="Q887" s="337" t="s">
        <v>842</v>
      </c>
      <c r="R887" s="343">
        <v>-50925.13</v>
      </c>
    </row>
    <row r="888" spans="1:18" x14ac:dyDescent="0.2">
      <c r="A888" s="342" t="s">
        <v>726</v>
      </c>
      <c r="B888" s="337" t="s">
        <v>789</v>
      </c>
      <c r="C888" s="337" t="s">
        <v>796</v>
      </c>
      <c r="D888" s="337" t="s">
        <v>739</v>
      </c>
      <c r="E888" s="337" t="s">
        <v>790</v>
      </c>
      <c r="F888" s="337" t="s">
        <v>771</v>
      </c>
      <c r="G888" s="337" t="s">
        <v>852</v>
      </c>
      <c r="H888" s="337" t="s">
        <v>853</v>
      </c>
      <c r="I888" s="337" t="s">
        <v>767</v>
      </c>
      <c r="J888" s="337" t="s">
        <v>765</v>
      </c>
      <c r="K888" s="337"/>
      <c r="L888" s="337"/>
      <c r="M888" s="337" t="s">
        <v>815</v>
      </c>
      <c r="N888" s="337" t="s">
        <v>762</v>
      </c>
      <c r="O888" s="337" t="e">
        <v>#N/A</v>
      </c>
      <c r="P888" s="337"/>
      <c r="Q888" s="337" t="s">
        <v>842</v>
      </c>
      <c r="R888" s="343">
        <v>-27357.98</v>
      </c>
    </row>
    <row r="889" spans="1:18" x14ac:dyDescent="0.2">
      <c r="A889" s="342" t="s">
        <v>733</v>
      </c>
      <c r="B889" s="337" t="s">
        <v>789</v>
      </c>
      <c r="C889" s="337" t="s">
        <v>796</v>
      </c>
      <c r="D889" s="337" t="s">
        <v>739</v>
      </c>
      <c r="E889" s="337" t="s">
        <v>790</v>
      </c>
      <c r="F889" s="337" t="s">
        <v>771</v>
      </c>
      <c r="G889" s="337" t="s">
        <v>852</v>
      </c>
      <c r="H889" s="337" t="s">
        <v>853</v>
      </c>
      <c r="I889" s="337" t="s">
        <v>767</v>
      </c>
      <c r="J889" s="337" t="s">
        <v>765</v>
      </c>
      <c r="K889" s="337"/>
      <c r="L889" s="337"/>
      <c r="M889" s="337" t="s">
        <v>815</v>
      </c>
      <c r="N889" s="337" t="s">
        <v>762</v>
      </c>
      <c r="O889" s="337" t="e">
        <v>#N/A</v>
      </c>
      <c r="P889" s="337"/>
      <c r="Q889" s="337" t="s">
        <v>842</v>
      </c>
      <c r="R889" s="343">
        <v>-8275.2000000000007</v>
      </c>
    </row>
    <row r="890" spans="1:18" x14ac:dyDescent="0.2">
      <c r="A890" s="342" t="s">
        <v>734</v>
      </c>
      <c r="B890" s="337" t="s">
        <v>789</v>
      </c>
      <c r="C890" s="337" t="s">
        <v>796</v>
      </c>
      <c r="D890" s="337" t="s">
        <v>739</v>
      </c>
      <c r="E890" s="337" t="s">
        <v>790</v>
      </c>
      <c r="F890" s="337" t="s">
        <v>771</v>
      </c>
      <c r="G890" s="337" t="s">
        <v>852</v>
      </c>
      <c r="H890" s="337" t="s">
        <v>853</v>
      </c>
      <c r="I890" s="337" t="s">
        <v>767</v>
      </c>
      <c r="J890" s="337" t="s">
        <v>765</v>
      </c>
      <c r="K890" s="337"/>
      <c r="L890" s="337"/>
      <c r="M890" s="337" t="s">
        <v>815</v>
      </c>
      <c r="N890" s="337" t="s">
        <v>762</v>
      </c>
      <c r="O890" s="337" t="e">
        <v>#N/A</v>
      </c>
      <c r="P890" s="337"/>
      <c r="Q890" s="337" t="s">
        <v>842</v>
      </c>
      <c r="R890" s="343">
        <v>0</v>
      </c>
    </row>
    <row r="891" spans="1:18" x14ac:dyDescent="0.2">
      <c r="A891" s="342" t="s">
        <v>735</v>
      </c>
      <c r="B891" s="337" t="s">
        <v>789</v>
      </c>
      <c r="C891" s="337" t="s">
        <v>796</v>
      </c>
      <c r="D891" s="337" t="s">
        <v>739</v>
      </c>
      <c r="E891" s="337" t="s">
        <v>790</v>
      </c>
      <c r="F891" s="337" t="s">
        <v>771</v>
      </c>
      <c r="G891" s="337" t="s">
        <v>852</v>
      </c>
      <c r="H891" s="337" t="s">
        <v>853</v>
      </c>
      <c r="I891" s="337" t="s">
        <v>767</v>
      </c>
      <c r="J891" s="337" t="s">
        <v>765</v>
      </c>
      <c r="K891" s="337"/>
      <c r="L891" s="337"/>
      <c r="M891" s="337" t="s">
        <v>815</v>
      </c>
      <c r="N891" s="337" t="s">
        <v>762</v>
      </c>
      <c r="O891" s="337" t="e">
        <v>#N/A</v>
      </c>
      <c r="P891" s="337"/>
      <c r="Q891" s="337" t="s">
        <v>842</v>
      </c>
      <c r="R891" s="343">
        <v>-12430.69</v>
      </c>
    </row>
    <row r="892" spans="1:18" x14ac:dyDescent="0.2">
      <c r="A892" s="342" t="s">
        <v>736</v>
      </c>
      <c r="B892" s="337" t="s">
        <v>789</v>
      </c>
      <c r="C892" s="337" t="s">
        <v>796</v>
      </c>
      <c r="D892" s="337" t="s">
        <v>739</v>
      </c>
      <c r="E892" s="337" t="s">
        <v>790</v>
      </c>
      <c r="F892" s="337" t="s">
        <v>771</v>
      </c>
      <c r="G892" s="337" t="s">
        <v>852</v>
      </c>
      <c r="H892" s="337" t="s">
        <v>853</v>
      </c>
      <c r="I892" s="337" t="s">
        <v>767</v>
      </c>
      <c r="J892" s="337" t="s">
        <v>765</v>
      </c>
      <c r="K892" s="337"/>
      <c r="L892" s="337"/>
      <c r="M892" s="337" t="s">
        <v>815</v>
      </c>
      <c r="N892" s="337" t="s">
        <v>762</v>
      </c>
      <c r="O892" s="337" t="e">
        <v>#N/A</v>
      </c>
      <c r="P892" s="337"/>
      <c r="Q892" s="337" t="s">
        <v>842</v>
      </c>
      <c r="R892" s="343">
        <v>0</v>
      </c>
    </row>
    <row r="893" spans="1:18" x14ac:dyDescent="0.2">
      <c r="A893" s="342" t="s">
        <v>737</v>
      </c>
      <c r="B893" s="337" t="s">
        <v>789</v>
      </c>
      <c r="C893" s="337" t="s">
        <v>796</v>
      </c>
      <c r="D893" s="337" t="s">
        <v>739</v>
      </c>
      <c r="E893" s="337" t="s">
        <v>790</v>
      </c>
      <c r="F893" s="337" t="s">
        <v>771</v>
      </c>
      <c r="G893" s="337" t="s">
        <v>852</v>
      </c>
      <c r="H893" s="337" t="s">
        <v>853</v>
      </c>
      <c r="I893" s="337" t="s">
        <v>767</v>
      </c>
      <c r="J893" s="337" t="s">
        <v>765</v>
      </c>
      <c r="K893" s="337"/>
      <c r="L893" s="337"/>
      <c r="M893" s="337" t="s">
        <v>815</v>
      </c>
      <c r="N893" s="337" t="s">
        <v>762</v>
      </c>
      <c r="O893" s="337" t="e">
        <v>#N/A</v>
      </c>
      <c r="P893" s="337"/>
      <c r="Q893" s="337" t="s">
        <v>842</v>
      </c>
      <c r="R893" s="343">
        <v>-34476.949999999997</v>
      </c>
    </row>
    <row r="894" spans="1:18" x14ac:dyDescent="0.2">
      <c r="A894" s="342" t="s">
        <v>738</v>
      </c>
      <c r="B894" s="337" t="s">
        <v>789</v>
      </c>
      <c r="C894" s="337" t="s">
        <v>796</v>
      </c>
      <c r="D894" s="337" t="s">
        <v>739</v>
      </c>
      <c r="E894" s="337" t="s">
        <v>790</v>
      </c>
      <c r="F894" s="337" t="s">
        <v>771</v>
      </c>
      <c r="G894" s="337" t="s">
        <v>852</v>
      </c>
      <c r="H894" s="337" t="s">
        <v>853</v>
      </c>
      <c r="I894" s="337" t="s">
        <v>767</v>
      </c>
      <c r="J894" s="337" t="s">
        <v>765</v>
      </c>
      <c r="K894" s="337"/>
      <c r="L894" s="337"/>
      <c r="M894" s="337" t="s">
        <v>815</v>
      </c>
      <c r="N894" s="337" t="s">
        <v>762</v>
      </c>
      <c r="O894" s="337" t="e">
        <v>#N/A</v>
      </c>
      <c r="P894" s="337"/>
      <c r="Q894" s="337" t="s">
        <v>842</v>
      </c>
      <c r="R894" s="343">
        <v>0</v>
      </c>
    </row>
    <row r="895" spans="1:18" x14ac:dyDescent="0.2">
      <c r="A895" s="342" t="s">
        <v>727</v>
      </c>
      <c r="B895" s="337" t="s">
        <v>789</v>
      </c>
      <c r="C895" s="337" t="s">
        <v>796</v>
      </c>
      <c r="D895" s="337" t="s">
        <v>739</v>
      </c>
      <c r="E895" s="337" t="s">
        <v>790</v>
      </c>
      <c r="F895" s="337" t="s">
        <v>771</v>
      </c>
      <c r="G895" s="337" t="s">
        <v>852</v>
      </c>
      <c r="H895" s="337" t="s">
        <v>853</v>
      </c>
      <c r="I895" s="337" t="s">
        <v>767</v>
      </c>
      <c r="J895" s="337" t="s">
        <v>765</v>
      </c>
      <c r="K895" s="337"/>
      <c r="L895" s="337"/>
      <c r="M895" s="337" t="s">
        <v>815</v>
      </c>
      <c r="N895" s="337" t="s">
        <v>762</v>
      </c>
      <c r="O895" s="337" t="e">
        <v>#N/A</v>
      </c>
      <c r="P895" s="337"/>
      <c r="Q895" s="337" t="s">
        <v>842</v>
      </c>
      <c r="R895" s="343">
        <v>-11446.11</v>
      </c>
    </row>
    <row r="896" spans="1:18" x14ac:dyDescent="0.2">
      <c r="A896" s="342" t="s">
        <v>730</v>
      </c>
      <c r="B896" s="337" t="s">
        <v>789</v>
      </c>
      <c r="C896" s="337" t="s">
        <v>796</v>
      </c>
      <c r="D896" s="337" t="s">
        <v>739</v>
      </c>
      <c r="E896" s="337" t="s">
        <v>790</v>
      </c>
      <c r="F896" s="337" t="s">
        <v>771</v>
      </c>
      <c r="G896" s="337" t="s">
        <v>852</v>
      </c>
      <c r="H896" s="337" t="s">
        <v>853</v>
      </c>
      <c r="I896" s="337" t="s">
        <v>767</v>
      </c>
      <c r="J896" s="337" t="s">
        <v>765</v>
      </c>
      <c r="K896" s="337"/>
      <c r="L896" s="337"/>
      <c r="M896" s="337" t="s">
        <v>815</v>
      </c>
      <c r="N896" s="337" t="s">
        <v>762</v>
      </c>
      <c r="O896" s="337" t="e">
        <v>#N/A</v>
      </c>
      <c r="P896" s="337"/>
      <c r="Q896" s="337" t="s">
        <v>859</v>
      </c>
      <c r="R896" s="343">
        <v>-8176.89</v>
      </c>
    </row>
    <row r="897" spans="1:18" x14ac:dyDescent="0.2">
      <c r="A897" s="342" t="s">
        <v>731</v>
      </c>
      <c r="B897" s="337" t="s">
        <v>789</v>
      </c>
      <c r="C897" s="337" t="s">
        <v>796</v>
      </c>
      <c r="D897" s="337" t="s">
        <v>739</v>
      </c>
      <c r="E897" s="337" t="s">
        <v>790</v>
      </c>
      <c r="F897" s="337" t="s">
        <v>771</v>
      </c>
      <c r="G897" s="337" t="s">
        <v>852</v>
      </c>
      <c r="H897" s="337" t="s">
        <v>853</v>
      </c>
      <c r="I897" s="337" t="s">
        <v>767</v>
      </c>
      <c r="J897" s="337" t="s">
        <v>765</v>
      </c>
      <c r="K897" s="337"/>
      <c r="L897" s="337"/>
      <c r="M897" s="337" t="s">
        <v>815</v>
      </c>
      <c r="N897" s="337" t="s">
        <v>762</v>
      </c>
      <c r="O897" s="337" t="e">
        <v>#N/A</v>
      </c>
      <c r="P897" s="337"/>
      <c r="Q897" s="337" t="s">
        <v>859</v>
      </c>
      <c r="R897" s="343">
        <v>0</v>
      </c>
    </row>
    <row r="898" spans="1:18" x14ac:dyDescent="0.2">
      <c r="A898" s="342" t="s">
        <v>732</v>
      </c>
      <c r="B898" s="337" t="s">
        <v>789</v>
      </c>
      <c r="C898" s="337" t="s">
        <v>796</v>
      </c>
      <c r="D898" s="337" t="s">
        <v>739</v>
      </c>
      <c r="E898" s="337" t="s">
        <v>790</v>
      </c>
      <c r="F898" s="337" t="s">
        <v>771</v>
      </c>
      <c r="G898" s="337" t="s">
        <v>852</v>
      </c>
      <c r="H898" s="337" t="s">
        <v>853</v>
      </c>
      <c r="I898" s="337" t="s">
        <v>767</v>
      </c>
      <c r="J898" s="337" t="s">
        <v>765</v>
      </c>
      <c r="K898" s="337"/>
      <c r="L898" s="337"/>
      <c r="M898" s="337" t="s">
        <v>815</v>
      </c>
      <c r="N898" s="337" t="s">
        <v>762</v>
      </c>
      <c r="O898" s="337" t="e">
        <v>#N/A</v>
      </c>
      <c r="P898" s="337"/>
      <c r="Q898" s="337" t="s">
        <v>859</v>
      </c>
      <c r="R898" s="343">
        <v>2149.39</v>
      </c>
    </row>
    <row r="899" spans="1:18" x14ac:dyDescent="0.2">
      <c r="A899" s="342" t="s">
        <v>726</v>
      </c>
      <c r="B899" s="337" t="s">
        <v>789</v>
      </c>
      <c r="C899" s="337" t="s">
        <v>796</v>
      </c>
      <c r="D899" s="337" t="s">
        <v>739</v>
      </c>
      <c r="E899" s="337" t="s">
        <v>790</v>
      </c>
      <c r="F899" s="337" t="s">
        <v>771</v>
      </c>
      <c r="G899" s="337" t="s">
        <v>852</v>
      </c>
      <c r="H899" s="337" t="s">
        <v>853</v>
      </c>
      <c r="I899" s="337" t="s">
        <v>767</v>
      </c>
      <c r="J899" s="337" t="s">
        <v>765</v>
      </c>
      <c r="K899" s="337"/>
      <c r="L899" s="337"/>
      <c r="M899" s="337" t="s">
        <v>815</v>
      </c>
      <c r="N899" s="337" t="s">
        <v>762</v>
      </c>
      <c r="O899" s="337" t="e">
        <v>#N/A</v>
      </c>
      <c r="P899" s="337"/>
      <c r="Q899" s="337" t="s">
        <v>859</v>
      </c>
      <c r="R899" s="343">
        <v>0</v>
      </c>
    </row>
    <row r="900" spans="1:18" x14ac:dyDescent="0.2">
      <c r="A900" s="342" t="s">
        <v>731</v>
      </c>
      <c r="B900" s="337" t="s">
        <v>789</v>
      </c>
      <c r="C900" s="337" t="s">
        <v>796</v>
      </c>
      <c r="D900" s="337" t="s">
        <v>739</v>
      </c>
      <c r="E900" s="337" t="s">
        <v>790</v>
      </c>
      <c r="F900" s="337" t="s">
        <v>771</v>
      </c>
      <c r="G900" s="337" t="s">
        <v>852</v>
      </c>
      <c r="H900" s="337" t="s">
        <v>853</v>
      </c>
      <c r="I900" s="337" t="s">
        <v>767</v>
      </c>
      <c r="J900" s="337" t="s">
        <v>765</v>
      </c>
      <c r="K900" s="337"/>
      <c r="L900" s="337"/>
      <c r="M900" s="337" t="s">
        <v>815</v>
      </c>
      <c r="N900" s="337" t="s">
        <v>762</v>
      </c>
      <c r="O900" s="337" t="e">
        <v>#N/A</v>
      </c>
      <c r="P900" s="337"/>
      <c r="Q900" s="337" t="s">
        <v>851</v>
      </c>
      <c r="R900" s="343">
        <v>-7488.1</v>
      </c>
    </row>
    <row r="901" spans="1:18" x14ac:dyDescent="0.2">
      <c r="A901" s="342" t="s">
        <v>732</v>
      </c>
      <c r="B901" s="337" t="s">
        <v>789</v>
      </c>
      <c r="C901" s="337" t="s">
        <v>796</v>
      </c>
      <c r="D901" s="337" t="s">
        <v>739</v>
      </c>
      <c r="E901" s="337" t="s">
        <v>790</v>
      </c>
      <c r="F901" s="337" t="s">
        <v>771</v>
      </c>
      <c r="G901" s="337" t="s">
        <v>852</v>
      </c>
      <c r="H901" s="337" t="s">
        <v>853</v>
      </c>
      <c r="I901" s="337" t="s">
        <v>767</v>
      </c>
      <c r="J901" s="337" t="s">
        <v>765</v>
      </c>
      <c r="K901" s="337"/>
      <c r="L901" s="337"/>
      <c r="M901" s="337" t="s">
        <v>815</v>
      </c>
      <c r="N901" s="337" t="s">
        <v>762</v>
      </c>
      <c r="O901" s="337" t="e">
        <v>#N/A</v>
      </c>
      <c r="P901" s="337"/>
      <c r="Q901" s="337" t="s">
        <v>851</v>
      </c>
      <c r="R901" s="343">
        <v>0</v>
      </c>
    </row>
    <row r="902" spans="1:18" x14ac:dyDescent="0.2">
      <c r="A902" s="342" t="s">
        <v>733</v>
      </c>
      <c r="B902" s="337" t="s">
        <v>789</v>
      </c>
      <c r="C902" s="337" t="s">
        <v>796</v>
      </c>
      <c r="D902" s="337" t="s">
        <v>739</v>
      </c>
      <c r="E902" s="337" t="s">
        <v>790</v>
      </c>
      <c r="F902" s="337" t="s">
        <v>771</v>
      </c>
      <c r="G902" s="337" t="s">
        <v>852</v>
      </c>
      <c r="H902" s="337" t="s">
        <v>853</v>
      </c>
      <c r="I902" s="337" t="s">
        <v>767</v>
      </c>
      <c r="J902" s="337" t="s">
        <v>765</v>
      </c>
      <c r="K902" s="337"/>
      <c r="L902" s="337"/>
      <c r="M902" s="337" t="s">
        <v>815</v>
      </c>
      <c r="N902" s="337" t="s">
        <v>762</v>
      </c>
      <c r="O902" s="337" t="e">
        <v>#N/A</v>
      </c>
      <c r="P902" s="337"/>
      <c r="Q902" s="337" t="s">
        <v>855</v>
      </c>
      <c r="R902" s="343">
        <v>-136371.29999999999</v>
      </c>
    </row>
    <row r="903" spans="1:18" x14ac:dyDescent="0.2">
      <c r="A903" s="342" t="s">
        <v>734</v>
      </c>
      <c r="B903" s="337" t="s">
        <v>789</v>
      </c>
      <c r="C903" s="337" t="s">
        <v>796</v>
      </c>
      <c r="D903" s="337" t="s">
        <v>739</v>
      </c>
      <c r="E903" s="337" t="s">
        <v>790</v>
      </c>
      <c r="F903" s="337" t="s">
        <v>771</v>
      </c>
      <c r="G903" s="337" t="s">
        <v>852</v>
      </c>
      <c r="H903" s="337" t="s">
        <v>853</v>
      </c>
      <c r="I903" s="337" t="s">
        <v>767</v>
      </c>
      <c r="J903" s="337" t="s">
        <v>765</v>
      </c>
      <c r="K903" s="337"/>
      <c r="L903" s="337"/>
      <c r="M903" s="337" t="s">
        <v>815</v>
      </c>
      <c r="N903" s="337" t="s">
        <v>762</v>
      </c>
      <c r="O903" s="337" t="e">
        <v>#N/A</v>
      </c>
      <c r="P903" s="337"/>
      <c r="Q903" s="337" t="s">
        <v>855</v>
      </c>
      <c r="R903" s="343">
        <v>136371.29999999999</v>
      </c>
    </row>
    <row r="904" spans="1:18" x14ac:dyDescent="0.2">
      <c r="A904" s="342" t="s">
        <v>728</v>
      </c>
      <c r="B904" s="337" t="s">
        <v>789</v>
      </c>
      <c r="C904" s="337" t="s">
        <v>796</v>
      </c>
      <c r="D904" s="337" t="s">
        <v>739</v>
      </c>
      <c r="E904" s="337" t="s">
        <v>790</v>
      </c>
      <c r="F904" s="337" t="s">
        <v>771</v>
      </c>
      <c r="G904" s="337" t="s">
        <v>852</v>
      </c>
      <c r="H904" s="337" t="s">
        <v>853</v>
      </c>
      <c r="I904" s="337" t="s">
        <v>767</v>
      </c>
      <c r="J904" s="337" t="s">
        <v>765</v>
      </c>
      <c r="K904" s="337"/>
      <c r="L904" s="337"/>
      <c r="M904" s="337" t="s">
        <v>816</v>
      </c>
      <c r="N904" s="337" t="s">
        <v>817</v>
      </c>
      <c r="O904" s="337" t="e">
        <v>#N/A</v>
      </c>
      <c r="P904" s="337"/>
      <c r="Q904" s="337" t="s">
        <v>835</v>
      </c>
      <c r="R904" s="343">
        <v>-16287.32</v>
      </c>
    </row>
    <row r="905" spans="1:18" x14ac:dyDescent="0.2">
      <c r="A905" s="342" t="s">
        <v>730</v>
      </c>
      <c r="B905" s="337" t="s">
        <v>789</v>
      </c>
      <c r="C905" s="337" t="s">
        <v>796</v>
      </c>
      <c r="D905" s="337" t="s">
        <v>739</v>
      </c>
      <c r="E905" s="337" t="s">
        <v>790</v>
      </c>
      <c r="F905" s="337" t="s">
        <v>771</v>
      </c>
      <c r="G905" s="337" t="s">
        <v>852</v>
      </c>
      <c r="H905" s="337" t="s">
        <v>853</v>
      </c>
      <c r="I905" s="337" t="s">
        <v>767</v>
      </c>
      <c r="J905" s="337" t="s">
        <v>765</v>
      </c>
      <c r="K905" s="337"/>
      <c r="L905" s="337"/>
      <c r="M905" s="337" t="s">
        <v>816</v>
      </c>
      <c r="N905" s="337" t="s">
        <v>817</v>
      </c>
      <c r="O905" s="337" t="e">
        <v>#N/A</v>
      </c>
      <c r="P905" s="337"/>
      <c r="Q905" s="337" t="s">
        <v>835</v>
      </c>
      <c r="R905" s="343">
        <v>-719848.66</v>
      </c>
    </row>
    <row r="906" spans="1:18" x14ac:dyDescent="0.2">
      <c r="A906" s="342" t="s">
        <v>731</v>
      </c>
      <c r="B906" s="337" t="s">
        <v>789</v>
      </c>
      <c r="C906" s="337" t="s">
        <v>796</v>
      </c>
      <c r="D906" s="337" t="s">
        <v>739</v>
      </c>
      <c r="E906" s="337" t="s">
        <v>790</v>
      </c>
      <c r="F906" s="337" t="s">
        <v>771</v>
      </c>
      <c r="G906" s="337" t="s">
        <v>852</v>
      </c>
      <c r="H906" s="337" t="s">
        <v>853</v>
      </c>
      <c r="I906" s="337" t="s">
        <v>767</v>
      </c>
      <c r="J906" s="337" t="s">
        <v>765</v>
      </c>
      <c r="K906" s="337"/>
      <c r="L906" s="337"/>
      <c r="M906" s="337" t="s">
        <v>816</v>
      </c>
      <c r="N906" s="337" t="s">
        <v>817</v>
      </c>
      <c r="O906" s="337" t="e">
        <v>#N/A</v>
      </c>
      <c r="P906" s="337"/>
      <c r="Q906" s="337" t="s">
        <v>835</v>
      </c>
      <c r="R906" s="343">
        <v>-535867.49</v>
      </c>
    </row>
    <row r="907" spans="1:18" x14ac:dyDescent="0.2">
      <c r="A907" s="342" t="s">
        <v>732</v>
      </c>
      <c r="B907" s="337" t="s">
        <v>789</v>
      </c>
      <c r="C907" s="337" t="s">
        <v>796</v>
      </c>
      <c r="D907" s="337" t="s">
        <v>739</v>
      </c>
      <c r="E907" s="337" t="s">
        <v>790</v>
      </c>
      <c r="F907" s="337" t="s">
        <v>771</v>
      </c>
      <c r="G907" s="337" t="s">
        <v>852</v>
      </c>
      <c r="H907" s="337" t="s">
        <v>853</v>
      </c>
      <c r="I907" s="337" t="s">
        <v>767</v>
      </c>
      <c r="J907" s="337" t="s">
        <v>765</v>
      </c>
      <c r="K907" s="337"/>
      <c r="L907" s="337"/>
      <c r="M907" s="337" t="s">
        <v>816</v>
      </c>
      <c r="N907" s="337" t="s">
        <v>817</v>
      </c>
      <c r="O907" s="337" t="e">
        <v>#N/A</v>
      </c>
      <c r="P907" s="337"/>
      <c r="Q907" s="337" t="s">
        <v>835</v>
      </c>
      <c r="R907" s="343">
        <v>-19059.27</v>
      </c>
    </row>
    <row r="908" spans="1:18" x14ac:dyDescent="0.2">
      <c r="A908" s="342" t="s">
        <v>726</v>
      </c>
      <c r="B908" s="337" t="s">
        <v>789</v>
      </c>
      <c r="C908" s="337" t="s">
        <v>796</v>
      </c>
      <c r="D908" s="337" t="s">
        <v>739</v>
      </c>
      <c r="E908" s="337" t="s">
        <v>790</v>
      </c>
      <c r="F908" s="337" t="s">
        <v>771</v>
      </c>
      <c r="G908" s="337" t="s">
        <v>852</v>
      </c>
      <c r="H908" s="337" t="s">
        <v>853</v>
      </c>
      <c r="I908" s="337" t="s">
        <v>767</v>
      </c>
      <c r="J908" s="337" t="s">
        <v>765</v>
      </c>
      <c r="K908" s="337"/>
      <c r="L908" s="337"/>
      <c r="M908" s="337" t="s">
        <v>816</v>
      </c>
      <c r="N908" s="337" t="s">
        <v>817</v>
      </c>
      <c r="O908" s="337" t="e">
        <v>#N/A</v>
      </c>
      <c r="P908" s="337"/>
      <c r="Q908" s="337" t="s">
        <v>835</v>
      </c>
      <c r="R908" s="343">
        <v>-537025.9</v>
      </c>
    </row>
    <row r="909" spans="1:18" x14ac:dyDescent="0.2">
      <c r="A909" s="342" t="s">
        <v>733</v>
      </c>
      <c r="B909" s="337" t="s">
        <v>789</v>
      </c>
      <c r="C909" s="337" t="s">
        <v>796</v>
      </c>
      <c r="D909" s="337" t="s">
        <v>739</v>
      </c>
      <c r="E909" s="337" t="s">
        <v>790</v>
      </c>
      <c r="F909" s="337" t="s">
        <v>771</v>
      </c>
      <c r="G909" s="337" t="s">
        <v>852</v>
      </c>
      <c r="H909" s="337" t="s">
        <v>853</v>
      </c>
      <c r="I909" s="337" t="s">
        <v>767</v>
      </c>
      <c r="J909" s="337" t="s">
        <v>765</v>
      </c>
      <c r="K909" s="337"/>
      <c r="L909" s="337"/>
      <c r="M909" s="337" t="s">
        <v>816</v>
      </c>
      <c r="N909" s="337" t="s">
        <v>817</v>
      </c>
      <c r="O909" s="337" t="e">
        <v>#N/A</v>
      </c>
      <c r="P909" s="337"/>
      <c r="Q909" s="337" t="s">
        <v>835</v>
      </c>
      <c r="R909" s="343">
        <v>-17900.86</v>
      </c>
    </row>
    <row r="910" spans="1:18" x14ac:dyDescent="0.2">
      <c r="A910" s="342" t="s">
        <v>734</v>
      </c>
      <c r="B910" s="337" t="s">
        <v>789</v>
      </c>
      <c r="C910" s="337" t="s">
        <v>796</v>
      </c>
      <c r="D910" s="337" t="s">
        <v>739</v>
      </c>
      <c r="E910" s="337" t="s">
        <v>790</v>
      </c>
      <c r="F910" s="337" t="s">
        <v>771</v>
      </c>
      <c r="G910" s="337" t="s">
        <v>852</v>
      </c>
      <c r="H910" s="337" t="s">
        <v>853</v>
      </c>
      <c r="I910" s="337" t="s">
        <v>767</v>
      </c>
      <c r="J910" s="337" t="s">
        <v>765</v>
      </c>
      <c r="K910" s="337"/>
      <c r="L910" s="337"/>
      <c r="M910" s="337" t="s">
        <v>816</v>
      </c>
      <c r="N910" s="337" t="s">
        <v>817</v>
      </c>
      <c r="O910" s="337" t="e">
        <v>#N/A</v>
      </c>
      <c r="P910" s="337"/>
      <c r="Q910" s="337" t="s">
        <v>835</v>
      </c>
      <c r="R910" s="343">
        <v>-1197.02</v>
      </c>
    </row>
    <row r="911" spans="1:18" x14ac:dyDescent="0.2">
      <c r="A911" s="342" t="s">
        <v>735</v>
      </c>
      <c r="B911" s="337" t="s">
        <v>789</v>
      </c>
      <c r="C911" s="337" t="s">
        <v>796</v>
      </c>
      <c r="D911" s="337" t="s">
        <v>739</v>
      </c>
      <c r="E911" s="337" t="s">
        <v>790</v>
      </c>
      <c r="F911" s="337" t="s">
        <v>771</v>
      </c>
      <c r="G911" s="337" t="s">
        <v>852</v>
      </c>
      <c r="H911" s="337" t="s">
        <v>853</v>
      </c>
      <c r="I911" s="337" t="s">
        <v>767</v>
      </c>
      <c r="J911" s="337" t="s">
        <v>765</v>
      </c>
      <c r="K911" s="337"/>
      <c r="L911" s="337"/>
      <c r="M911" s="337" t="s">
        <v>816</v>
      </c>
      <c r="N911" s="337" t="s">
        <v>817</v>
      </c>
      <c r="O911" s="337" t="e">
        <v>#N/A</v>
      </c>
      <c r="P911" s="337"/>
      <c r="Q911" s="337" t="s">
        <v>835</v>
      </c>
      <c r="R911" s="343">
        <v>53818.43</v>
      </c>
    </row>
    <row r="912" spans="1:18" x14ac:dyDescent="0.2">
      <c r="A912" s="342" t="s">
        <v>736</v>
      </c>
      <c r="B912" s="337" t="s">
        <v>789</v>
      </c>
      <c r="C912" s="337" t="s">
        <v>796</v>
      </c>
      <c r="D912" s="337" t="s">
        <v>739</v>
      </c>
      <c r="E912" s="337" t="s">
        <v>790</v>
      </c>
      <c r="F912" s="337" t="s">
        <v>771</v>
      </c>
      <c r="G912" s="337" t="s">
        <v>852</v>
      </c>
      <c r="H912" s="337" t="s">
        <v>853</v>
      </c>
      <c r="I912" s="337" t="s">
        <v>767</v>
      </c>
      <c r="J912" s="337" t="s">
        <v>765</v>
      </c>
      <c r="K912" s="337"/>
      <c r="L912" s="337"/>
      <c r="M912" s="337" t="s">
        <v>816</v>
      </c>
      <c r="N912" s="337" t="s">
        <v>817</v>
      </c>
      <c r="O912" s="337" t="e">
        <v>#N/A</v>
      </c>
      <c r="P912" s="337"/>
      <c r="Q912" s="337" t="s">
        <v>835</v>
      </c>
      <c r="R912" s="343">
        <v>-53818.43</v>
      </c>
    </row>
    <row r="913" spans="1:18" x14ac:dyDescent="0.2">
      <c r="A913" s="342" t="s">
        <v>737</v>
      </c>
      <c r="B913" s="337" t="s">
        <v>789</v>
      </c>
      <c r="C913" s="337" t="s">
        <v>796</v>
      </c>
      <c r="D913" s="337" t="s">
        <v>739</v>
      </c>
      <c r="E913" s="337" t="s">
        <v>790</v>
      </c>
      <c r="F913" s="337" t="s">
        <v>771</v>
      </c>
      <c r="G913" s="337" t="s">
        <v>852</v>
      </c>
      <c r="H913" s="337" t="s">
        <v>853</v>
      </c>
      <c r="I913" s="337" t="s">
        <v>767</v>
      </c>
      <c r="J913" s="337" t="s">
        <v>765</v>
      </c>
      <c r="K913" s="337"/>
      <c r="L913" s="337"/>
      <c r="M913" s="337" t="s">
        <v>816</v>
      </c>
      <c r="N913" s="337" t="s">
        <v>817</v>
      </c>
      <c r="O913" s="337" t="e">
        <v>#N/A</v>
      </c>
      <c r="P913" s="337"/>
      <c r="Q913" s="337" t="s">
        <v>835</v>
      </c>
      <c r="R913" s="343">
        <v>352341.54</v>
      </c>
    </row>
    <row r="914" spans="1:18" x14ac:dyDescent="0.2">
      <c r="A914" s="342" t="s">
        <v>738</v>
      </c>
      <c r="B914" s="337" t="s">
        <v>789</v>
      </c>
      <c r="C914" s="337" t="s">
        <v>796</v>
      </c>
      <c r="D914" s="337" t="s">
        <v>739</v>
      </c>
      <c r="E914" s="337" t="s">
        <v>790</v>
      </c>
      <c r="F914" s="337" t="s">
        <v>771</v>
      </c>
      <c r="G914" s="337" t="s">
        <v>852</v>
      </c>
      <c r="H914" s="337" t="s">
        <v>853</v>
      </c>
      <c r="I914" s="337" t="s">
        <v>767</v>
      </c>
      <c r="J914" s="337" t="s">
        <v>765</v>
      </c>
      <c r="K914" s="337"/>
      <c r="L914" s="337"/>
      <c r="M914" s="337" t="s">
        <v>816</v>
      </c>
      <c r="N914" s="337" t="s">
        <v>817</v>
      </c>
      <c r="O914" s="337" t="e">
        <v>#N/A</v>
      </c>
      <c r="P914" s="337"/>
      <c r="Q914" s="337" t="s">
        <v>835</v>
      </c>
      <c r="R914" s="343">
        <v>-178731.29</v>
      </c>
    </row>
    <row r="915" spans="1:18" x14ac:dyDescent="0.2">
      <c r="A915" s="342" t="s">
        <v>727</v>
      </c>
      <c r="B915" s="337" t="s">
        <v>789</v>
      </c>
      <c r="C915" s="337" t="s">
        <v>796</v>
      </c>
      <c r="D915" s="337" t="s">
        <v>739</v>
      </c>
      <c r="E915" s="337" t="s">
        <v>790</v>
      </c>
      <c r="F915" s="337" t="s">
        <v>771</v>
      </c>
      <c r="G915" s="337" t="s">
        <v>852</v>
      </c>
      <c r="H915" s="337" t="s">
        <v>853</v>
      </c>
      <c r="I915" s="337" t="s">
        <v>767</v>
      </c>
      <c r="J915" s="337" t="s">
        <v>765</v>
      </c>
      <c r="K915" s="337"/>
      <c r="L915" s="337"/>
      <c r="M915" s="337" t="s">
        <v>816</v>
      </c>
      <c r="N915" s="337" t="s">
        <v>817</v>
      </c>
      <c r="O915" s="337" t="e">
        <v>#N/A</v>
      </c>
      <c r="P915" s="337"/>
      <c r="Q915" s="337" t="s">
        <v>835</v>
      </c>
      <c r="R915" s="343">
        <v>239736.17</v>
      </c>
    </row>
    <row r="916" spans="1:18" x14ac:dyDescent="0.2">
      <c r="A916" s="342" t="s">
        <v>733</v>
      </c>
      <c r="B916" s="337" t="s">
        <v>789</v>
      </c>
      <c r="C916" s="337" t="s">
        <v>796</v>
      </c>
      <c r="D916" s="337" t="s">
        <v>739</v>
      </c>
      <c r="E916" s="337" t="s">
        <v>790</v>
      </c>
      <c r="F916" s="337" t="s">
        <v>771</v>
      </c>
      <c r="G916" s="337" t="s">
        <v>852</v>
      </c>
      <c r="H916" s="337" t="s">
        <v>853</v>
      </c>
      <c r="I916" s="337" t="s">
        <v>767</v>
      </c>
      <c r="J916" s="337" t="s">
        <v>765</v>
      </c>
      <c r="K916" s="337"/>
      <c r="L916" s="337"/>
      <c r="M916" s="337" t="s">
        <v>818</v>
      </c>
      <c r="N916" s="337" t="s">
        <v>763</v>
      </c>
      <c r="O916" s="337" t="e">
        <v>#N/A</v>
      </c>
      <c r="P916" s="337"/>
      <c r="Q916" s="337" t="s">
        <v>839</v>
      </c>
      <c r="R916" s="343">
        <v>-5444.26</v>
      </c>
    </row>
    <row r="917" spans="1:18" x14ac:dyDescent="0.2">
      <c r="A917" s="342" t="s">
        <v>734</v>
      </c>
      <c r="B917" s="337" t="s">
        <v>789</v>
      </c>
      <c r="C917" s="337" t="s">
        <v>796</v>
      </c>
      <c r="D917" s="337" t="s">
        <v>739</v>
      </c>
      <c r="E917" s="337" t="s">
        <v>790</v>
      </c>
      <c r="F917" s="337" t="s">
        <v>771</v>
      </c>
      <c r="G917" s="337" t="s">
        <v>852</v>
      </c>
      <c r="H917" s="337" t="s">
        <v>853</v>
      </c>
      <c r="I917" s="337" t="s">
        <v>767</v>
      </c>
      <c r="J917" s="337" t="s">
        <v>765</v>
      </c>
      <c r="K917" s="337"/>
      <c r="L917" s="337"/>
      <c r="M917" s="337" t="s">
        <v>818</v>
      </c>
      <c r="N917" s="337" t="s">
        <v>763</v>
      </c>
      <c r="O917" s="337" t="e">
        <v>#N/A</v>
      </c>
      <c r="P917" s="337"/>
      <c r="Q917" s="337" t="s">
        <v>839</v>
      </c>
      <c r="R917" s="343">
        <v>5444.26</v>
      </c>
    </row>
    <row r="918" spans="1:18" x14ac:dyDescent="0.2">
      <c r="A918" s="342" t="s">
        <v>727</v>
      </c>
      <c r="B918" s="337" t="s">
        <v>789</v>
      </c>
      <c r="C918" s="337" t="s">
        <v>796</v>
      </c>
      <c r="D918" s="337" t="s">
        <v>739</v>
      </c>
      <c r="E918" s="337" t="s">
        <v>790</v>
      </c>
      <c r="F918" s="337" t="s">
        <v>771</v>
      </c>
      <c r="G918" s="337" t="s">
        <v>852</v>
      </c>
      <c r="H918" s="337" t="s">
        <v>853</v>
      </c>
      <c r="I918" s="337" t="s">
        <v>767</v>
      </c>
      <c r="J918" s="337" t="s">
        <v>765</v>
      </c>
      <c r="K918" s="337"/>
      <c r="L918" s="337"/>
      <c r="M918" s="337" t="s">
        <v>818</v>
      </c>
      <c r="N918" s="337" t="s">
        <v>763</v>
      </c>
      <c r="O918" s="337" t="e">
        <v>#N/A</v>
      </c>
      <c r="P918" s="337"/>
      <c r="Q918" s="337" t="s">
        <v>840</v>
      </c>
      <c r="R918" s="343">
        <v>234.77</v>
      </c>
    </row>
    <row r="919" spans="1:18" x14ac:dyDescent="0.2">
      <c r="A919" s="342" t="s">
        <v>728</v>
      </c>
      <c r="B919" s="337" t="s">
        <v>789</v>
      </c>
      <c r="C919" s="337" t="s">
        <v>796</v>
      </c>
      <c r="D919" s="337" t="s">
        <v>739</v>
      </c>
      <c r="E919" s="337" t="s">
        <v>790</v>
      </c>
      <c r="F919" s="337" t="s">
        <v>771</v>
      </c>
      <c r="G919" s="337" t="s">
        <v>852</v>
      </c>
      <c r="H919" s="337" t="s">
        <v>853</v>
      </c>
      <c r="I919" s="337" t="s">
        <v>767</v>
      </c>
      <c r="J919" s="337" t="s">
        <v>765</v>
      </c>
      <c r="K919" s="337"/>
      <c r="L919" s="337"/>
      <c r="M919" s="337" t="s">
        <v>818</v>
      </c>
      <c r="N919" s="337" t="s">
        <v>763</v>
      </c>
      <c r="O919" s="337" t="e">
        <v>#N/A</v>
      </c>
      <c r="P919" s="337"/>
      <c r="Q919" s="337" t="s">
        <v>856</v>
      </c>
      <c r="R919" s="343">
        <v>-4787.5600000000004</v>
      </c>
    </row>
    <row r="920" spans="1:18" x14ac:dyDescent="0.2">
      <c r="A920" s="342" t="s">
        <v>730</v>
      </c>
      <c r="B920" s="337" t="s">
        <v>789</v>
      </c>
      <c r="C920" s="337" t="s">
        <v>796</v>
      </c>
      <c r="D920" s="337" t="s">
        <v>739</v>
      </c>
      <c r="E920" s="337" t="s">
        <v>790</v>
      </c>
      <c r="F920" s="337" t="s">
        <v>771</v>
      </c>
      <c r="G920" s="337" t="s">
        <v>852</v>
      </c>
      <c r="H920" s="337" t="s">
        <v>853</v>
      </c>
      <c r="I920" s="337" t="s">
        <v>767</v>
      </c>
      <c r="J920" s="337" t="s">
        <v>765</v>
      </c>
      <c r="K920" s="337"/>
      <c r="L920" s="337"/>
      <c r="M920" s="337" t="s">
        <v>818</v>
      </c>
      <c r="N920" s="337" t="s">
        <v>763</v>
      </c>
      <c r="O920" s="337" t="e">
        <v>#N/A</v>
      </c>
      <c r="P920" s="337"/>
      <c r="Q920" s="337" t="s">
        <v>856</v>
      </c>
      <c r="R920" s="343">
        <v>1644.97</v>
      </c>
    </row>
    <row r="921" spans="1:18" x14ac:dyDescent="0.2">
      <c r="A921" s="342" t="s">
        <v>731</v>
      </c>
      <c r="B921" s="337" t="s">
        <v>789</v>
      </c>
      <c r="C921" s="337" t="s">
        <v>796</v>
      </c>
      <c r="D921" s="337" t="s">
        <v>739</v>
      </c>
      <c r="E921" s="337" t="s">
        <v>790</v>
      </c>
      <c r="F921" s="337" t="s">
        <v>771</v>
      </c>
      <c r="G921" s="337" t="s">
        <v>852</v>
      </c>
      <c r="H921" s="337" t="s">
        <v>853</v>
      </c>
      <c r="I921" s="337" t="s">
        <v>767</v>
      </c>
      <c r="J921" s="337" t="s">
        <v>765</v>
      </c>
      <c r="K921" s="337"/>
      <c r="L921" s="337"/>
      <c r="M921" s="337" t="s">
        <v>818</v>
      </c>
      <c r="N921" s="337" t="s">
        <v>763</v>
      </c>
      <c r="O921" s="337" t="e">
        <v>#N/A</v>
      </c>
      <c r="P921" s="337"/>
      <c r="Q921" s="337" t="s">
        <v>856</v>
      </c>
      <c r="R921" s="343">
        <v>3142.59</v>
      </c>
    </row>
    <row r="922" spans="1:18" x14ac:dyDescent="0.2">
      <c r="A922" s="342" t="s">
        <v>734</v>
      </c>
      <c r="B922" s="337" t="s">
        <v>789</v>
      </c>
      <c r="C922" s="337" t="s">
        <v>796</v>
      </c>
      <c r="D922" s="337" t="s">
        <v>739</v>
      </c>
      <c r="E922" s="337" t="s">
        <v>790</v>
      </c>
      <c r="F922" s="337" t="s">
        <v>771</v>
      </c>
      <c r="G922" s="337" t="s">
        <v>852</v>
      </c>
      <c r="H922" s="337" t="s">
        <v>853</v>
      </c>
      <c r="I922" s="337" t="s">
        <v>767</v>
      </c>
      <c r="J922" s="337" t="s">
        <v>765</v>
      </c>
      <c r="K922" s="337"/>
      <c r="L922" s="337"/>
      <c r="M922" s="337" t="s">
        <v>818</v>
      </c>
      <c r="N922" s="337" t="s">
        <v>763</v>
      </c>
      <c r="O922" s="337" t="e">
        <v>#N/A</v>
      </c>
      <c r="P922" s="337"/>
      <c r="Q922" s="337" t="s">
        <v>845</v>
      </c>
      <c r="R922" s="343">
        <v>-35828.01</v>
      </c>
    </row>
    <row r="923" spans="1:18" x14ac:dyDescent="0.2">
      <c r="A923" s="342" t="s">
        <v>735</v>
      </c>
      <c r="B923" s="337" t="s">
        <v>789</v>
      </c>
      <c r="C923" s="337" t="s">
        <v>796</v>
      </c>
      <c r="D923" s="337" t="s">
        <v>739</v>
      </c>
      <c r="E923" s="337" t="s">
        <v>790</v>
      </c>
      <c r="F923" s="337" t="s">
        <v>771</v>
      </c>
      <c r="G923" s="337" t="s">
        <v>852</v>
      </c>
      <c r="H923" s="337" t="s">
        <v>853</v>
      </c>
      <c r="I923" s="337" t="s">
        <v>767</v>
      </c>
      <c r="J923" s="337" t="s">
        <v>765</v>
      </c>
      <c r="K923" s="337"/>
      <c r="L923" s="337"/>
      <c r="M923" s="337" t="s">
        <v>818</v>
      </c>
      <c r="N923" s="337" t="s">
        <v>763</v>
      </c>
      <c r="O923" s="337" t="e">
        <v>#N/A</v>
      </c>
      <c r="P923" s="337"/>
      <c r="Q923" s="337" t="s">
        <v>845</v>
      </c>
      <c r="R923" s="343">
        <v>-1130.82</v>
      </c>
    </row>
    <row r="924" spans="1:18" x14ac:dyDescent="0.2">
      <c r="A924" s="342" t="s">
        <v>736</v>
      </c>
      <c r="B924" s="337" t="s">
        <v>789</v>
      </c>
      <c r="C924" s="337" t="s">
        <v>796</v>
      </c>
      <c r="D924" s="337" t="s">
        <v>739</v>
      </c>
      <c r="E924" s="337" t="s">
        <v>790</v>
      </c>
      <c r="F924" s="337" t="s">
        <v>771</v>
      </c>
      <c r="G924" s="337" t="s">
        <v>852</v>
      </c>
      <c r="H924" s="337" t="s">
        <v>853</v>
      </c>
      <c r="I924" s="337" t="s">
        <v>767</v>
      </c>
      <c r="J924" s="337" t="s">
        <v>765</v>
      </c>
      <c r="K924" s="337"/>
      <c r="L924" s="337"/>
      <c r="M924" s="337" t="s">
        <v>818</v>
      </c>
      <c r="N924" s="337" t="s">
        <v>763</v>
      </c>
      <c r="O924" s="337" t="e">
        <v>#N/A</v>
      </c>
      <c r="P924" s="337"/>
      <c r="Q924" s="337" t="s">
        <v>845</v>
      </c>
      <c r="R924" s="343">
        <v>-1634.03</v>
      </c>
    </row>
    <row r="925" spans="1:18" x14ac:dyDescent="0.2">
      <c r="A925" s="342" t="s">
        <v>737</v>
      </c>
      <c r="B925" s="337" t="s">
        <v>789</v>
      </c>
      <c r="C925" s="337" t="s">
        <v>796</v>
      </c>
      <c r="D925" s="337" t="s">
        <v>739</v>
      </c>
      <c r="E925" s="337" t="s">
        <v>790</v>
      </c>
      <c r="F925" s="337" t="s">
        <v>771</v>
      </c>
      <c r="G925" s="337" t="s">
        <v>852</v>
      </c>
      <c r="H925" s="337" t="s">
        <v>853</v>
      </c>
      <c r="I925" s="337" t="s">
        <v>767</v>
      </c>
      <c r="J925" s="337" t="s">
        <v>765</v>
      </c>
      <c r="K925" s="337"/>
      <c r="L925" s="337"/>
      <c r="M925" s="337" t="s">
        <v>818</v>
      </c>
      <c r="N925" s="337" t="s">
        <v>763</v>
      </c>
      <c r="O925" s="337" t="e">
        <v>#N/A</v>
      </c>
      <c r="P925" s="337"/>
      <c r="Q925" s="337" t="s">
        <v>845</v>
      </c>
      <c r="R925" s="343">
        <v>-37372.49</v>
      </c>
    </row>
    <row r="926" spans="1:18" x14ac:dyDescent="0.2">
      <c r="A926" s="342" t="s">
        <v>738</v>
      </c>
      <c r="B926" s="337" t="s">
        <v>789</v>
      </c>
      <c r="C926" s="337" t="s">
        <v>796</v>
      </c>
      <c r="D926" s="337" t="s">
        <v>739</v>
      </c>
      <c r="E926" s="337" t="s">
        <v>790</v>
      </c>
      <c r="F926" s="337" t="s">
        <v>771</v>
      </c>
      <c r="G926" s="337" t="s">
        <v>852</v>
      </c>
      <c r="H926" s="337" t="s">
        <v>853</v>
      </c>
      <c r="I926" s="337" t="s">
        <v>767</v>
      </c>
      <c r="J926" s="337" t="s">
        <v>765</v>
      </c>
      <c r="K926" s="337"/>
      <c r="L926" s="337"/>
      <c r="M926" s="337" t="s">
        <v>818</v>
      </c>
      <c r="N926" s="337" t="s">
        <v>763</v>
      </c>
      <c r="O926" s="337" t="e">
        <v>#N/A</v>
      </c>
      <c r="P926" s="337"/>
      <c r="Q926" s="337" t="s">
        <v>845</v>
      </c>
      <c r="R926" s="343">
        <v>6552.74</v>
      </c>
    </row>
    <row r="927" spans="1:18" x14ac:dyDescent="0.2">
      <c r="A927" s="342" t="s">
        <v>727</v>
      </c>
      <c r="B927" s="337" t="s">
        <v>789</v>
      </c>
      <c r="C927" s="337" t="s">
        <v>796</v>
      </c>
      <c r="D927" s="337" t="s">
        <v>739</v>
      </c>
      <c r="E927" s="337" t="s">
        <v>790</v>
      </c>
      <c r="F927" s="337" t="s">
        <v>771</v>
      </c>
      <c r="G927" s="337" t="s">
        <v>852</v>
      </c>
      <c r="H927" s="337" t="s">
        <v>853</v>
      </c>
      <c r="I927" s="337" t="s">
        <v>767</v>
      </c>
      <c r="J927" s="337" t="s">
        <v>765</v>
      </c>
      <c r="K927" s="337"/>
      <c r="L927" s="337"/>
      <c r="M927" s="337" t="s">
        <v>818</v>
      </c>
      <c r="N927" s="337" t="s">
        <v>763</v>
      </c>
      <c r="O927" s="337" t="e">
        <v>#N/A</v>
      </c>
      <c r="P927" s="337"/>
      <c r="Q927" s="337" t="s">
        <v>845</v>
      </c>
      <c r="R927" s="343">
        <v>3921.6</v>
      </c>
    </row>
    <row r="928" spans="1:18" x14ac:dyDescent="0.2">
      <c r="A928" s="342" t="s">
        <v>734</v>
      </c>
      <c r="B928" s="337" t="s">
        <v>789</v>
      </c>
      <c r="C928" s="337" t="s">
        <v>796</v>
      </c>
      <c r="D928" s="337" t="s">
        <v>739</v>
      </c>
      <c r="E928" s="337" t="s">
        <v>790</v>
      </c>
      <c r="F928" s="337" t="s">
        <v>771</v>
      </c>
      <c r="G928" s="337" t="s">
        <v>852</v>
      </c>
      <c r="H928" s="337" t="s">
        <v>853</v>
      </c>
      <c r="I928" s="337" t="s">
        <v>767</v>
      </c>
      <c r="J928" s="337" t="s">
        <v>765</v>
      </c>
      <c r="K928" s="337"/>
      <c r="L928" s="337"/>
      <c r="M928" s="337" t="s">
        <v>818</v>
      </c>
      <c r="N928" s="337" t="s">
        <v>763</v>
      </c>
      <c r="O928" s="337" t="e">
        <v>#N/A</v>
      </c>
      <c r="P928" s="337"/>
      <c r="Q928" s="337" t="s">
        <v>842</v>
      </c>
      <c r="R928" s="343">
        <v>-2617.94</v>
      </c>
    </row>
    <row r="929" spans="1:18" x14ac:dyDescent="0.2">
      <c r="A929" s="342" t="s">
        <v>735</v>
      </c>
      <c r="B929" s="337" t="s">
        <v>789</v>
      </c>
      <c r="C929" s="337" t="s">
        <v>796</v>
      </c>
      <c r="D929" s="337" t="s">
        <v>739</v>
      </c>
      <c r="E929" s="337" t="s">
        <v>790</v>
      </c>
      <c r="F929" s="337" t="s">
        <v>771</v>
      </c>
      <c r="G929" s="337" t="s">
        <v>852</v>
      </c>
      <c r="H929" s="337" t="s">
        <v>853</v>
      </c>
      <c r="I929" s="337" t="s">
        <v>767</v>
      </c>
      <c r="J929" s="337" t="s">
        <v>765</v>
      </c>
      <c r="K929" s="337"/>
      <c r="L929" s="337"/>
      <c r="M929" s="337" t="s">
        <v>818</v>
      </c>
      <c r="N929" s="337" t="s">
        <v>763</v>
      </c>
      <c r="O929" s="337" t="e">
        <v>#N/A</v>
      </c>
      <c r="P929" s="337"/>
      <c r="Q929" s="337" t="s">
        <v>842</v>
      </c>
      <c r="R929" s="343">
        <v>433.96</v>
      </c>
    </row>
    <row r="930" spans="1:18" x14ac:dyDescent="0.2">
      <c r="A930" s="342" t="s">
        <v>727</v>
      </c>
      <c r="B930" s="337" t="s">
        <v>789</v>
      </c>
      <c r="C930" s="337" t="s">
        <v>796</v>
      </c>
      <c r="D930" s="337" t="s">
        <v>739</v>
      </c>
      <c r="E930" s="337" t="s">
        <v>790</v>
      </c>
      <c r="F930" s="337" t="s">
        <v>771</v>
      </c>
      <c r="G930" s="337" t="s">
        <v>852</v>
      </c>
      <c r="H930" s="337" t="s">
        <v>853</v>
      </c>
      <c r="I930" s="337" t="s">
        <v>767</v>
      </c>
      <c r="J930" s="337" t="s">
        <v>765</v>
      </c>
      <c r="K930" s="337"/>
      <c r="L930" s="337"/>
      <c r="M930" s="337" t="s">
        <v>818</v>
      </c>
      <c r="N930" s="337" t="s">
        <v>763</v>
      </c>
      <c r="O930" s="337" t="e">
        <v>#N/A</v>
      </c>
      <c r="P930" s="337"/>
      <c r="Q930" s="337" t="s">
        <v>842</v>
      </c>
      <c r="R930" s="343">
        <v>-2327.0500000000002</v>
      </c>
    </row>
    <row r="931" spans="1:18" x14ac:dyDescent="0.2">
      <c r="A931" s="342" t="s">
        <v>731</v>
      </c>
      <c r="B931" s="337" t="s">
        <v>789</v>
      </c>
      <c r="C931" s="337" t="s">
        <v>796</v>
      </c>
      <c r="D931" s="337" t="s">
        <v>739</v>
      </c>
      <c r="E931" s="337" t="s">
        <v>790</v>
      </c>
      <c r="F931" s="337" t="s">
        <v>771</v>
      </c>
      <c r="G931" s="337" t="s">
        <v>852</v>
      </c>
      <c r="H931" s="337" t="s">
        <v>853</v>
      </c>
      <c r="I931" s="337" t="s">
        <v>767</v>
      </c>
      <c r="J931" s="337" t="s">
        <v>765</v>
      </c>
      <c r="K931" s="337"/>
      <c r="L931" s="337"/>
      <c r="M931" s="337" t="s">
        <v>818</v>
      </c>
      <c r="N931" s="337" t="s">
        <v>763</v>
      </c>
      <c r="O931" s="337" t="e">
        <v>#N/A</v>
      </c>
      <c r="P931" s="337"/>
      <c r="Q931" s="337" t="s">
        <v>859</v>
      </c>
      <c r="R931" s="343">
        <v>-37374.65</v>
      </c>
    </row>
    <row r="932" spans="1:18" x14ac:dyDescent="0.2">
      <c r="A932" s="342" t="s">
        <v>732</v>
      </c>
      <c r="B932" s="337" t="s">
        <v>789</v>
      </c>
      <c r="C932" s="337" t="s">
        <v>796</v>
      </c>
      <c r="D932" s="337" t="s">
        <v>739</v>
      </c>
      <c r="E932" s="337" t="s">
        <v>790</v>
      </c>
      <c r="F932" s="337" t="s">
        <v>771</v>
      </c>
      <c r="G932" s="337" t="s">
        <v>852</v>
      </c>
      <c r="H932" s="337" t="s">
        <v>853</v>
      </c>
      <c r="I932" s="337" t="s">
        <v>767</v>
      </c>
      <c r="J932" s="337" t="s">
        <v>765</v>
      </c>
      <c r="K932" s="337"/>
      <c r="L932" s="337"/>
      <c r="M932" s="337" t="s">
        <v>818</v>
      </c>
      <c r="N932" s="337" t="s">
        <v>763</v>
      </c>
      <c r="O932" s="337" t="e">
        <v>#N/A</v>
      </c>
      <c r="P932" s="337"/>
      <c r="Q932" s="337" t="s">
        <v>859</v>
      </c>
      <c r="R932" s="343">
        <v>16544.13</v>
      </c>
    </row>
    <row r="933" spans="1:18" x14ac:dyDescent="0.2">
      <c r="A933" s="342" t="s">
        <v>726</v>
      </c>
      <c r="B933" s="337" t="s">
        <v>789</v>
      </c>
      <c r="C933" s="337" t="s">
        <v>796</v>
      </c>
      <c r="D933" s="337" t="s">
        <v>739</v>
      </c>
      <c r="E933" s="337" t="s">
        <v>790</v>
      </c>
      <c r="F933" s="337" t="s">
        <v>771</v>
      </c>
      <c r="G933" s="337" t="s">
        <v>852</v>
      </c>
      <c r="H933" s="337" t="s">
        <v>853</v>
      </c>
      <c r="I933" s="337" t="s">
        <v>767</v>
      </c>
      <c r="J933" s="337" t="s">
        <v>765</v>
      </c>
      <c r="K933" s="337"/>
      <c r="L933" s="337"/>
      <c r="M933" s="337" t="s">
        <v>818</v>
      </c>
      <c r="N933" s="337" t="s">
        <v>763</v>
      </c>
      <c r="O933" s="337" t="e">
        <v>#N/A</v>
      </c>
      <c r="P933" s="337"/>
      <c r="Q933" s="337" t="s">
        <v>859</v>
      </c>
      <c r="R933" s="343">
        <v>-2861.51</v>
      </c>
    </row>
    <row r="934" spans="1:18" x14ac:dyDescent="0.2">
      <c r="A934" s="342" t="s">
        <v>735</v>
      </c>
      <c r="B934" s="337" t="s">
        <v>789</v>
      </c>
      <c r="C934" s="337" t="s">
        <v>796</v>
      </c>
      <c r="D934" s="337" t="s">
        <v>739</v>
      </c>
      <c r="E934" s="337" t="s">
        <v>790</v>
      </c>
      <c r="F934" s="337" t="s">
        <v>771</v>
      </c>
      <c r="G934" s="337" t="s">
        <v>852</v>
      </c>
      <c r="H934" s="337" t="s">
        <v>853</v>
      </c>
      <c r="I934" s="337" t="s">
        <v>767</v>
      </c>
      <c r="J934" s="337" t="s">
        <v>765</v>
      </c>
      <c r="K934" s="337"/>
      <c r="L934" s="337"/>
      <c r="M934" s="337" t="s">
        <v>819</v>
      </c>
      <c r="N934" s="337" t="s">
        <v>820</v>
      </c>
      <c r="O934" s="337" t="e">
        <v>#N/A</v>
      </c>
      <c r="P934" s="337"/>
      <c r="Q934" s="337" t="s">
        <v>840</v>
      </c>
      <c r="R934" s="343">
        <v>-55834.33</v>
      </c>
    </row>
    <row r="935" spans="1:18" x14ac:dyDescent="0.2">
      <c r="A935" s="342" t="s">
        <v>736</v>
      </c>
      <c r="B935" s="337" t="s">
        <v>789</v>
      </c>
      <c r="C935" s="337" t="s">
        <v>796</v>
      </c>
      <c r="D935" s="337" t="s">
        <v>739</v>
      </c>
      <c r="E935" s="337" t="s">
        <v>790</v>
      </c>
      <c r="F935" s="337" t="s">
        <v>771</v>
      </c>
      <c r="G935" s="337" t="s">
        <v>852</v>
      </c>
      <c r="H935" s="337" t="s">
        <v>853</v>
      </c>
      <c r="I935" s="337" t="s">
        <v>767</v>
      </c>
      <c r="J935" s="337" t="s">
        <v>765</v>
      </c>
      <c r="K935" s="337"/>
      <c r="L935" s="337"/>
      <c r="M935" s="337" t="s">
        <v>819</v>
      </c>
      <c r="N935" s="337" t="s">
        <v>820</v>
      </c>
      <c r="O935" s="337" t="e">
        <v>#N/A</v>
      </c>
      <c r="P935" s="337"/>
      <c r="Q935" s="337" t="s">
        <v>840</v>
      </c>
      <c r="R935" s="343">
        <v>-57816.58</v>
      </c>
    </row>
    <row r="936" spans="1:18" x14ac:dyDescent="0.2">
      <c r="A936" s="342" t="s">
        <v>737</v>
      </c>
      <c r="B936" s="337" t="s">
        <v>789</v>
      </c>
      <c r="C936" s="337" t="s">
        <v>796</v>
      </c>
      <c r="D936" s="337" t="s">
        <v>739</v>
      </c>
      <c r="E936" s="337" t="s">
        <v>790</v>
      </c>
      <c r="F936" s="337" t="s">
        <v>771</v>
      </c>
      <c r="G936" s="337" t="s">
        <v>852</v>
      </c>
      <c r="H936" s="337" t="s">
        <v>853</v>
      </c>
      <c r="I936" s="337" t="s">
        <v>767</v>
      </c>
      <c r="J936" s="337" t="s">
        <v>765</v>
      </c>
      <c r="K936" s="337"/>
      <c r="L936" s="337"/>
      <c r="M936" s="337" t="s">
        <v>819</v>
      </c>
      <c r="N936" s="337" t="s">
        <v>820</v>
      </c>
      <c r="O936" s="337" t="e">
        <v>#N/A</v>
      </c>
      <c r="P936" s="337"/>
      <c r="Q936" s="337" t="s">
        <v>840</v>
      </c>
      <c r="R936" s="343">
        <v>-4000</v>
      </c>
    </row>
    <row r="937" spans="1:18" x14ac:dyDescent="0.2">
      <c r="A937" s="342" t="s">
        <v>738</v>
      </c>
      <c r="B937" s="337" t="s">
        <v>789</v>
      </c>
      <c r="C937" s="337" t="s">
        <v>796</v>
      </c>
      <c r="D937" s="337" t="s">
        <v>739</v>
      </c>
      <c r="E937" s="337" t="s">
        <v>790</v>
      </c>
      <c r="F937" s="337" t="s">
        <v>771</v>
      </c>
      <c r="G937" s="337" t="s">
        <v>852</v>
      </c>
      <c r="H937" s="337" t="s">
        <v>853</v>
      </c>
      <c r="I937" s="337" t="s">
        <v>767</v>
      </c>
      <c r="J937" s="337" t="s">
        <v>765</v>
      </c>
      <c r="K937" s="337"/>
      <c r="L937" s="337"/>
      <c r="M937" s="337" t="s">
        <v>819</v>
      </c>
      <c r="N937" s="337" t="s">
        <v>820</v>
      </c>
      <c r="O937" s="337" t="e">
        <v>#N/A</v>
      </c>
      <c r="P937" s="337"/>
      <c r="Q937" s="337" t="s">
        <v>840</v>
      </c>
      <c r="R937" s="343">
        <v>-60380.35</v>
      </c>
    </row>
    <row r="938" spans="1:18" x14ac:dyDescent="0.2">
      <c r="A938" s="342" t="s">
        <v>728</v>
      </c>
      <c r="B938" s="337" t="s">
        <v>789</v>
      </c>
      <c r="C938" s="337" t="s">
        <v>796</v>
      </c>
      <c r="D938" s="337" t="s">
        <v>739</v>
      </c>
      <c r="E938" s="337" t="s">
        <v>790</v>
      </c>
      <c r="F938" s="337" t="s">
        <v>771</v>
      </c>
      <c r="G938" s="337" t="s">
        <v>852</v>
      </c>
      <c r="H938" s="337" t="s">
        <v>853</v>
      </c>
      <c r="I938" s="337" t="s">
        <v>767</v>
      </c>
      <c r="J938" s="337" t="s">
        <v>765</v>
      </c>
      <c r="K938" s="337"/>
      <c r="L938" s="337"/>
      <c r="M938" s="337" t="s">
        <v>821</v>
      </c>
      <c r="N938" s="337" t="s">
        <v>757</v>
      </c>
      <c r="O938" s="337" t="e">
        <v>#N/A</v>
      </c>
      <c r="P938" s="337"/>
      <c r="Q938" s="337" t="s">
        <v>844</v>
      </c>
      <c r="R938" s="343">
        <v>-758.36</v>
      </c>
    </row>
    <row r="939" spans="1:18" x14ac:dyDescent="0.2">
      <c r="A939" s="342" t="s">
        <v>730</v>
      </c>
      <c r="B939" s="337" t="s">
        <v>789</v>
      </c>
      <c r="C939" s="337" t="s">
        <v>796</v>
      </c>
      <c r="D939" s="337" t="s">
        <v>739</v>
      </c>
      <c r="E939" s="337" t="s">
        <v>790</v>
      </c>
      <c r="F939" s="337" t="s">
        <v>771</v>
      </c>
      <c r="G939" s="337" t="s">
        <v>852</v>
      </c>
      <c r="H939" s="337" t="s">
        <v>853</v>
      </c>
      <c r="I939" s="337" t="s">
        <v>767</v>
      </c>
      <c r="J939" s="337" t="s">
        <v>765</v>
      </c>
      <c r="K939" s="337"/>
      <c r="L939" s="337"/>
      <c r="M939" s="337" t="s">
        <v>821</v>
      </c>
      <c r="N939" s="337" t="s">
        <v>757</v>
      </c>
      <c r="O939" s="337" t="e">
        <v>#N/A</v>
      </c>
      <c r="P939" s="337"/>
      <c r="Q939" s="337" t="s">
        <v>844</v>
      </c>
      <c r="R939" s="343">
        <v>758.36</v>
      </c>
    </row>
    <row r="940" spans="1:18" x14ac:dyDescent="0.2">
      <c r="A940" s="342" t="s">
        <v>728</v>
      </c>
      <c r="B940" s="337" t="s">
        <v>789</v>
      </c>
      <c r="C940" s="337" t="s">
        <v>796</v>
      </c>
      <c r="D940" s="337" t="s">
        <v>739</v>
      </c>
      <c r="E940" s="337" t="s">
        <v>790</v>
      </c>
      <c r="F940" s="337" t="s">
        <v>771</v>
      </c>
      <c r="G940" s="337" t="s">
        <v>852</v>
      </c>
      <c r="H940" s="337" t="s">
        <v>853</v>
      </c>
      <c r="I940" s="337" t="s">
        <v>767</v>
      </c>
      <c r="J940" s="337" t="s">
        <v>765</v>
      </c>
      <c r="K940" s="337"/>
      <c r="L940" s="337"/>
      <c r="M940" s="337" t="s">
        <v>821</v>
      </c>
      <c r="N940" s="337" t="s">
        <v>757</v>
      </c>
      <c r="O940" s="337" t="e">
        <v>#N/A</v>
      </c>
      <c r="P940" s="337"/>
      <c r="Q940" s="337" t="s">
        <v>845</v>
      </c>
      <c r="R940" s="343">
        <v>-3033.54</v>
      </c>
    </row>
    <row r="941" spans="1:18" x14ac:dyDescent="0.2">
      <c r="A941" s="342" t="s">
        <v>730</v>
      </c>
      <c r="B941" s="337" t="s">
        <v>789</v>
      </c>
      <c r="C941" s="337" t="s">
        <v>796</v>
      </c>
      <c r="D941" s="337" t="s">
        <v>739</v>
      </c>
      <c r="E941" s="337" t="s">
        <v>790</v>
      </c>
      <c r="F941" s="337" t="s">
        <v>771</v>
      </c>
      <c r="G941" s="337" t="s">
        <v>852</v>
      </c>
      <c r="H941" s="337" t="s">
        <v>853</v>
      </c>
      <c r="I941" s="337" t="s">
        <v>767</v>
      </c>
      <c r="J941" s="337" t="s">
        <v>765</v>
      </c>
      <c r="K941" s="337"/>
      <c r="L941" s="337"/>
      <c r="M941" s="337" t="s">
        <v>821</v>
      </c>
      <c r="N941" s="337" t="s">
        <v>757</v>
      </c>
      <c r="O941" s="337" t="e">
        <v>#N/A</v>
      </c>
      <c r="P941" s="337"/>
      <c r="Q941" s="337" t="s">
        <v>845</v>
      </c>
      <c r="R941" s="343">
        <v>-5633.72</v>
      </c>
    </row>
    <row r="942" spans="1:18" x14ac:dyDescent="0.2">
      <c r="A942" s="342" t="s">
        <v>731</v>
      </c>
      <c r="B942" s="337" t="s">
        <v>789</v>
      </c>
      <c r="C942" s="337" t="s">
        <v>796</v>
      </c>
      <c r="D942" s="337" t="s">
        <v>739</v>
      </c>
      <c r="E942" s="337" t="s">
        <v>790</v>
      </c>
      <c r="F942" s="337" t="s">
        <v>771</v>
      </c>
      <c r="G942" s="337" t="s">
        <v>852</v>
      </c>
      <c r="H942" s="337" t="s">
        <v>853</v>
      </c>
      <c r="I942" s="337" t="s">
        <v>767</v>
      </c>
      <c r="J942" s="337" t="s">
        <v>765</v>
      </c>
      <c r="K942" s="337"/>
      <c r="L942" s="337"/>
      <c r="M942" s="337" t="s">
        <v>821</v>
      </c>
      <c r="N942" s="337" t="s">
        <v>757</v>
      </c>
      <c r="O942" s="337" t="e">
        <v>#N/A</v>
      </c>
      <c r="P942" s="337"/>
      <c r="Q942" s="337" t="s">
        <v>845</v>
      </c>
      <c r="R942" s="343">
        <v>-4333.63</v>
      </c>
    </row>
    <row r="943" spans="1:18" x14ac:dyDescent="0.2">
      <c r="A943" s="342" t="s">
        <v>732</v>
      </c>
      <c r="B943" s="337" t="s">
        <v>789</v>
      </c>
      <c r="C943" s="337" t="s">
        <v>796</v>
      </c>
      <c r="D943" s="337" t="s">
        <v>739</v>
      </c>
      <c r="E943" s="337" t="s">
        <v>790</v>
      </c>
      <c r="F943" s="337" t="s">
        <v>771</v>
      </c>
      <c r="G943" s="337" t="s">
        <v>852</v>
      </c>
      <c r="H943" s="337" t="s">
        <v>853</v>
      </c>
      <c r="I943" s="337" t="s">
        <v>767</v>
      </c>
      <c r="J943" s="337" t="s">
        <v>765</v>
      </c>
      <c r="K943" s="337"/>
      <c r="L943" s="337"/>
      <c r="M943" s="337" t="s">
        <v>821</v>
      </c>
      <c r="N943" s="337" t="s">
        <v>757</v>
      </c>
      <c r="O943" s="337" t="e">
        <v>#N/A</v>
      </c>
      <c r="P943" s="337"/>
      <c r="Q943" s="337" t="s">
        <v>845</v>
      </c>
      <c r="R943" s="343">
        <v>-4342.99</v>
      </c>
    </row>
    <row r="944" spans="1:18" x14ac:dyDescent="0.2">
      <c r="A944" s="342" t="s">
        <v>726</v>
      </c>
      <c r="B944" s="337" t="s">
        <v>789</v>
      </c>
      <c r="C944" s="337" t="s">
        <v>796</v>
      </c>
      <c r="D944" s="337" t="s">
        <v>739</v>
      </c>
      <c r="E944" s="337" t="s">
        <v>790</v>
      </c>
      <c r="F944" s="337" t="s">
        <v>771</v>
      </c>
      <c r="G944" s="337" t="s">
        <v>852</v>
      </c>
      <c r="H944" s="337" t="s">
        <v>853</v>
      </c>
      <c r="I944" s="337" t="s">
        <v>767</v>
      </c>
      <c r="J944" s="337" t="s">
        <v>765</v>
      </c>
      <c r="K944" s="337"/>
      <c r="L944" s="337"/>
      <c r="M944" s="337" t="s">
        <v>821</v>
      </c>
      <c r="N944" s="337" t="s">
        <v>757</v>
      </c>
      <c r="O944" s="337" t="e">
        <v>#N/A</v>
      </c>
      <c r="P944" s="337"/>
      <c r="Q944" s="337" t="s">
        <v>845</v>
      </c>
      <c r="R944" s="343">
        <v>-4342.99</v>
      </c>
    </row>
    <row r="945" spans="1:18" x14ac:dyDescent="0.2">
      <c r="A945" s="342" t="s">
        <v>733</v>
      </c>
      <c r="B945" s="337" t="s">
        <v>789</v>
      </c>
      <c r="C945" s="337" t="s">
        <v>796</v>
      </c>
      <c r="D945" s="337" t="s">
        <v>739</v>
      </c>
      <c r="E945" s="337" t="s">
        <v>790</v>
      </c>
      <c r="F945" s="337" t="s">
        <v>771</v>
      </c>
      <c r="G945" s="337" t="s">
        <v>852</v>
      </c>
      <c r="H945" s="337" t="s">
        <v>853</v>
      </c>
      <c r="I945" s="337" t="s">
        <v>767</v>
      </c>
      <c r="J945" s="337" t="s">
        <v>765</v>
      </c>
      <c r="K945" s="337"/>
      <c r="L945" s="337"/>
      <c r="M945" s="337" t="s">
        <v>821</v>
      </c>
      <c r="N945" s="337" t="s">
        <v>757</v>
      </c>
      <c r="O945" s="337" t="e">
        <v>#N/A</v>
      </c>
      <c r="P945" s="337"/>
      <c r="Q945" s="337" t="s">
        <v>845</v>
      </c>
      <c r="R945" s="343">
        <v>-4342.99</v>
      </c>
    </row>
    <row r="946" spans="1:18" x14ac:dyDescent="0.2">
      <c r="A946" s="342" t="s">
        <v>734</v>
      </c>
      <c r="B946" s="337" t="s">
        <v>789</v>
      </c>
      <c r="C946" s="337" t="s">
        <v>796</v>
      </c>
      <c r="D946" s="337" t="s">
        <v>739</v>
      </c>
      <c r="E946" s="337" t="s">
        <v>790</v>
      </c>
      <c r="F946" s="337" t="s">
        <v>771</v>
      </c>
      <c r="G946" s="337" t="s">
        <v>852</v>
      </c>
      <c r="H946" s="337" t="s">
        <v>853</v>
      </c>
      <c r="I946" s="337" t="s">
        <v>767</v>
      </c>
      <c r="J946" s="337" t="s">
        <v>765</v>
      </c>
      <c r="K946" s="337"/>
      <c r="L946" s="337"/>
      <c r="M946" s="337" t="s">
        <v>821</v>
      </c>
      <c r="N946" s="337" t="s">
        <v>757</v>
      </c>
      <c r="O946" s="337" t="e">
        <v>#N/A</v>
      </c>
      <c r="P946" s="337"/>
      <c r="Q946" s="337" t="s">
        <v>845</v>
      </c>
      <c r="R946" s="343">
        <v>-4352.3599999999997</v>
      </c>
    </row>
    <row r="947" spans="1:18" x14ac:dyDescent="0.2">
      <c r="A947" s="342" t="s">
        <v>735</v>
      </c>
      <c r="B947" s="337" t="s">
        <v>789</v>
      </c>
      <c r="C947" s="337" t="s">
        <v>796</v>
      </c>
      <c r="D947" s="337" t="s">
        <v>739</v>
      </c>
      <c r="E947" s="337" t="s">
        <v>790</v>
      </c>
      <c r="F947" s="337" t="s">
        <v>771</v>
      </c>
      <c r="G947" s="337" t="s">
        <v>852</v>
      </c>
      <c r="H947" s="337" t="s">
        <v>853</v>
      </c>
      <c r="I947" s="337" t="s">
        <v>767</v>
      </c>
      <c r="J947" s="337" t="s">
        <v>765</v>
      </c>
      <c r="K947" s="337"/>
      <c r="L947" s="337"/>
      <c r="M947" s="337" t="s">
        <v>821</v>
      </c>
      <c r="N947" s="337" t="s">
        <v>757</v>
      </c>
      <c r="O947" s="337" t="e">
        <v>#N/A</v>
      </c>
      <c r="P947" s="337"/>
      <c r="Q947" s="337" t="s">
        <v>845</v>
      </c>
      <c r="R947" s="343">
        <v>-4352.3599999999997</v>
      </c>
    </row>
    <row r="948" spans="1:18" x14ac:dyDescent="0.2">
      <c r="A948" s="342" t="s">
        <v>736</v>
      </c>
      <c r="B948" s="337" t="s">
        <v>789</v>
      </c>
      <c r="C948" s="337" t="s">
        <v>796</v>
      </c>
      <c r="D948" s="337" t="s">
        <v>739</v>
      </c>
      <c r="E948" s="337" t="s">
        <v>790</v>
      </c>
      <c r="F948" s="337" t="s">
        <v>771</v>
      </c>
      <c r="G948" s="337" t="s">
        <v>852</v>
      </c>
      <c r="H948" s="337" t="s">
        <v>853</v>
      </c>
      <c r="I948" s="337" t="s">
        <v>767</v>
      </c>
      <c r="J948" s="337" t="s">
        <v>765</v>
      </c>
      <c r="K948" s="337"/>
      <c r="L948" s="337"/>
      <c r="M948" s="337" t="s">
        <v>821</v>
      </c>
      <c r="N948" s="337" t="s">
        <v>757</v>
      </c>
      <c r="O948" s="337" t="e">
        <v>#N/A</v>
      </c>
      <c r="P948" s="337"/>
      <c r="Q948" s="337" t="s">
        <v>845</v>
      </c>
      <c r="R948" s="343">
        <v>-4352.3599999999997</v>
      </c>
    </row>
    <row r="949" spans="1:18" x14ac:dyDescent="0.2">
      <c r="A949" s="342" t="s">
        <v>737</v>
      </c>
      <c r="B949" s="337" t="s">
        <v>789</v>
      </c>
      <c r="C949" s="337" t="s">
        <v>796</v>
      </c>
      <c r="D949" s="337" t="s">
        <v>739</v>
      </c>
      <c r="E949" s="337" t="s">
        <v>790</v>
      </c>
      <c r="F949" s="337" t="s">
        <v>771</v>
      </c>
      <c r="G949" s="337" t="s">
        <v>852</v>
      </c>
      <c r="H949" s="337" t="s">
        <v>853</v>
      </c>
      <c r="I949" s="337" t="s">
        <v>767</v>
      </c>
      <c r="J949" s="337" t="s">
        <v>765</v>
      </c>
      <c r="K949" s="337"/>
      <c r="L949" s="337"/>
      <c r="M949" s="337" t="s">
        <v>821</v>
      </c>
      <c r="N949" s="337" t="s">
        <v>757</v>
      </c>
      <c r="O949" s="337" t="e">
        <v>#N/A</v>
      </c>
      <c r="P949" s="337"/>
      <c r="Q949" s="337" t="s">
        <v>845</v>
      </c>
      <c r="R949" s="343">
        <v>-4392.95</v>
      </c>
    </row>
    <row r="950" spans="1:18" x14ac:dyDescent="0.2">
      <c r="A950" s="342" t="s">
        <v>738</v>
      </c>
      <c r="B950" s="337" t="s">
        <v>789</v>
      </c>
      <c r="C950" s="337" t="s">
        <v>796</v>
      </c>
      <c r="D950" s="337" t="s">
        <v>739</v>
      </c>
      <c r="E950" s="337" t="s">
        <v>790</v>
      </c>
      <c r="F950" s="337" t="s">
        <v>771</v>
      </c>
      <c r="G950" s="337" t="s">
        <v>852</v>
      </c>
      <c r="H950" s="337" t="s">
        <v>853</v>
      </c>
      <c r="I950" s="337" t="s">
        <v>767</v>
      </c>
      <c r="J950" s="337" t="s">
        <v>765</v>
      </c>
      <c r="K950" s="337"/>
      <c r="L950" s="337"/>
      <c r="M950" s="337" t="s">
        <v>821</v>
      </c>
      <c r="N950" s="337" t="s">
        <v>757</v>
      </c>
      <c r="O950" s="337" t="e">
        <v>#N/A</v>
      </c>
      <c r="P950" s="337"/>
      <c r="Q950" s="337" t="s">
        <v>845</v>
      </c>
      <c r="R950" s="343">
        <v>-4392.95</v>
      </c>
    </row>
    <row r="951" spans="1:18" x14ac:dyDescent="0.2">
      <c r="A951" s="342" t="s">
        <v>727</v>
      </c>
      <c r="B951" s="337" t="s">
        <v>789</v>
      </c>
      <c r="C951" s="337" t="s">
        <v>796</v>
      </c>
      <c r="D951" s="337" t="s">
        <v>739</v>
      </c>
      <c r="E951" s="337" t="s">
        <v>790</v>
      </c>
      <c r="F951" s="337" t="s">
        <v>771</v>
      </c>
      <c r="G951" s="337" t="s">
        <v>852</v>
      </c>
      <c r="H951" s="337" t="s">
        <v>853</v>
      </c>
      <c r="I951" s="337" t="s">
        <v>767</v>
      </c>
      <c r="J951" s="337" t="s">
        <v>765</v>
      </c>
      <c r="K951" s="337"/>
      <c r="L951" s="337"/>
      <c r="M951" s="337" t="s">
        <v>821</v>
      </c>
      <c r="N951" s="337" t="s">
        <v>757</v>
      </c>
      <c r="O951" s="337" t="e">
        <v>#N/A</v>
      </c>
      <c r="P951" s="337"/>
      <c r="Q951" s="337" t="s">
        <v>845</v>
      </c>
      <c r="R951" s="343">
        <v>-4392.95</v>
      </c>
    </row>
    <row r="952" spans="1:18" x14ac:dyDescent="0.2">
      <c r="A952" s="342" t="s">
        <v>728</v>
      </c>
      <c r="B952" s="337" t="s">
        <v>789</v>
      </c>
      <c r="C952" s="337" t="s">
        <v>796</v>
      </c>
      <c r="D952" s="337" t="s">
        <v>739</v>
      </c>
      <c r="E952" s="337" t="s">
        <v>790</v>
      </c>
      <c r="F952" s="337" t="s">
        <v>771</v>
      </c>
      <c r="G952" s="337" t="s">
        <v>852</v>
      </c>
      <c r="H952" s="337" t="s">
        <v>853</v>
      </c>
      <c r="I952" s="337" t="s">
        <v>767</v>
      </c>
      <c r="J952" s="337" t="s">
        <v>765</v>
      </c>
      <c r="K952" s="337"/>
      <c r="L952" s="337"/>
      <c r="M952" s="337" t="s">
        <v>821</v>
      </c>
      <c r="N952" s="337" t="s">
        <v>757</v>
      </c>
      <c r="O952" s="337" t="e">
        <v>#N/A</v>
      </c>
      <c r="P952" s="337"/>
      <c r="Q952" s="337" t="s">
        <v>842</v>
      </c>
      <c r="R952" s="343">
        <v>-104.45</v>
      </c>
    </row>
    <row r="953" spans="1:18" x14ac:dyDescent="0.2">
      <c r="A953" s="342" t="s">
        <v>730</v>
      </c>
      <c r="B953" s="337" t="s">
        <v>789</v>
      </c>
      <c r="C953" s="337" t="s">
        <v>796</v>
      </c>
      <c r="D953" s="337" t="s">
        <v>739</v>
      </c>
      <c r="E953" s="337" t="s">
        <v>790</v>
      </c>
      <c r="F953" s="337" t="s">
        <v>771</v>
      </c>
      <c r="G953" s="337" t="s">
        <v>852</v>
      </c>
      <c r="H953" s="337" t="s">
        <v>853</v>
      </c>
      <c r="I953" s="337" t="s">
        <v>767</v>
      </c>
      <c r="J953" s="337" t="s">
        <v>765</v>
      </c>
      <c r="K953" s="337"/>
      <c r="L953" s="337"/>
      <c r="M953" s="337" t="s">
        <v>821</v>
      </c>
      <c r="N953" s="337" t="s">
        <v>757</v>
      </c>
      <c r="O953" s="337" t="e">
        <v>#N/A</v>
      </c>
      <c r="P953" s="337"/>
      <c r="Q953" s="337" t="s">
        <v>842</v>
      </c>
      <c r="R953" s="343">
        <v>-193.97</v>
      </c>
    </row>
    <row r="954" spans="1:18" x14ac:dyDescent="0.2">
      <c r="A954" s="342" t="s">
        <v>731</v>
      </c>
      <c r="B954" s="337" t="s">
        <v>789</v>
      </c>
      <c r="C954" s="337" t="s">
        <v>796</v>
      </c>
      <c r="D954" s="337" t="s">
        <v>739</v>
      </c>
      <c r="E954" s="337" t="s">
        <v>790</v>
      </c>
      <c r="F954" s="337" t="s">
        <v>771</v>
      </c>
      <c r="G954" s="337" t="s">
        <v>852</v>
      </c>
      <c r="H954" s="337" t="s">
        <v>853</v>
      </c>
      <c r="I954" s="337" t="s">
        <v>767</v>
      </c>
      <c r="J954" s="337" t="s">
        <v>765</v>
      </c>
      <c r="K954" s="337"/>
      <c r="L954" s="337"/>
      <c r="M954" s="337" t="s">
        <v>821</v>
      </c>
      <c r="N954" s="337" t="s">
        <v>757</v>
      </c>
      <c r="O954" s="337" t="e">
        <v>#N/A</v>
      </c>
      <c r="P954" s="337"/>
      <c r="Q954" s="337" t="s">
        <v>842</v>
      </c>
      <c r="R954" s="343">
        <v>-62.17</v>
      </c>
    </row>
    <row r="955" spans="1:18" x14ac:dyDescent="0.2">
      <c r="A955" s="342" t="s">
        <v>732</v>
      </c>
      <c r="B955" s="337" t="s">
        <v>789</v>
      </c>
      <c r="C955" s="337" t="s">
        <v>796</v>
      </c>
      <c r="D955" s="337" t="s">
        <v>739</v>
      </c>
      <c r="E955" s="337" t="s">
        <v>790</v>
      </c>
      <c r="F955" s="337" t="s">
        <v>771</v>
      </c>
      <c r="G955" s="337" t="s">
        <v>852</v>
      </c>
      <c r="H955" s="337" t="s">
        <v>853</v>
      </c>
      <c r="I955" s="337" t="s">
        <v>767</v>
      </c>
      <c r="J955" s="337" t="s">
        <v>765</v>
      </c>
      <c r="K955" s="337"/>
      <c r="L955" s="337"/>
      <c r="M955" s="337" t="s">
        <v>821</v>
      </c>
      <c r="N955" s="337" t="s">
        <v>757</v>
      </c>
      <c r="O955" s="337" t="e">
        <v>#N/A</v>
      </c>
      <c r="P955" s="337"/>
      <c r="Q955" s="337" t="s">
        <v>842</v>
      </c>
      <c r="R955" s="343">
        <v>-623.04999999999995</v>
      </c>
    </row>
    <row r="956" spans="1:18" x14ac:dyDescent="0.2">
      <c r="A956" s="342" t="s">
        <v>726</v>
      </c>
      <c r="B956" s="337" t="s">
        <v>789</v>
      </c>
      <c r="C956" s="337" t="s">
        <v>796</v>
      </c>
      <c r="D956" s="337" t="s">
        <v>739</v>
      </c>
      <c r="E956" s="337" t="s">
        <v>790</v>
      </c>
      <c r="F956" s="337" t="s">
        <v>771</v>
      </c>
      <c r="G956" s="337" t="s">
        <v>852</v>
      </c>
      <c r="H956" s="337" t="s">
        <v>853</v>
      </c>
      <c r="I956" s="337" t="s">
        <v>767</v>
      </c>
      <c r="J956" s="337" t="s">
        <v>765</v>
      </c>
      <c r="K956" s="337"/>
      <c r="L956" s="337"/>
      <c r="M956" s="337" t="s">
        <v>821</v>
      </c>
      <c r="N956" s="337" t="s">
        <v>757</v>
      </c>
      <c r="O956" s="337" t="e">
        <v>#N/A</v>
      </c>
      <c r="P956" s="337"/>
      <c r="Q956" s="337" t="s">
        <v>842</v>
      </c>
      <c r="R956" s="343">
        <v>-473.52</v>
      </c>
    </row>
    <row r="957" spans="1:18" x14ac:dyDescent="0.2">
      <c r="A957" s="342" t="s">
        <v>733</v>
      </c>
      <c r="B957" s="337" t="s">
        <v>789</v>
      </c>
      <c r="C957" s="337" t="s">
        <v>796</v>
      </c>
      <c r="D957" s="337" t="s">
        <v>739</v>
      </c>
      <c r="E957" s="337" t="s">
        <v>790</v>
      </c>
      <c r="F957" s="337" t="s">
        <v>771</v>
      </c>
      <c r="G957" s="337" t="s">
        <v>852</v>
      </c>
      <c r="H957" s="337" t="s">
        <v>853</v>
      </c>
      <c r="I957" s="337" t="s">
        <v>767</v>
      </c>
      <c r="J957" s="337" t="s">
        <v>765</v>
      </c>
      <c r="K957" s="337"/>
      <c r="L957" s="337"/>
      <c r="M957" s="337" t="s">
        <v>821</v>
      </c>
      <c r="N957" s="337" t="s">
        <v>757</v>
      </c>
      <c r="O957" s="337" t="e">
        <v>#N/A</v>
      </c>
      <c r="P957" s="337"/>
      <c r="Q957" s="337" t="s">
        <v>842</v>
      </c>
      <c r="R957" s="343">
        <v>-336.45</v>
      </c>
    </row>
    <row r="958" spans="1:18" x14ac:dyDescent="0.2">
      <c r="A958" s="342" t="s">
        <v>734</v>
      </c>
      <c r="B958" s="337" t="s">
        <v>789</v>
      </c>
      <c r="C958" s="337" t="s">
        <v>796</v>
      </c>
      <c r="D958" s="337" t="s">
        <v>739</v>
      </c>
      <c r="E958" s="337" t="s">
        <v>790</v>
      </c>
      <c r="F958" s="337" t="s">
        <v>771</v>
      </c>
      <c r="G958" s="337" t="s">
        <v>852</v>
      </c>
      <c r="H958" s="337" t="s">
        <v>853</v>
      </c>
      <c r="I958" s="337" t="s">
        <v>767</v>
      </c>
      <c r="J958" s="337" t="s">
        <v>765</v>
      </c>
      <c r="K958" s="337"/>
      <c r="L958" s="337"/>
      <c r="M958" s="337" t="s">
        <v>821</v>
      </c>
      <c r="N958" s="337" t="s">
        <v>757</v>
      </c>
      <c r="O958" s="337" t="e">
        <v>#N/A</v>
      </c>
      <c r="P958" s="337"/>
      <c r="Q958" s="337" t="s">
        <v>842</v>
      </c>
      <c r="R958" s="343">
        <v>-4352.3599999999997</v>
      </c>
    </row>
    <row r="959" spans="1:18" x14ac:dyDescent="0.2">
      <c r="A959" s="342" t="s">
        <v>735</v>
      </c>
      <c r="B959" s="337" t="s">
        <v>789</v>
      </c>
      <c r="C959" s="337" t="s">
        <v>796</v>
      </c>
      <c r="D959" s="337" t="s">
        <v>739</v>
      </c>
      <c r="E959" s="337" t="s">
        <v>790</v>
      </c>
      <c r="F959" s="337" t="s">
        <v>771</v>
      </c>
      <c r="G959" s="337" t="s">
        <v>852</v>
      </c>
      <c r="H959" s="337" t="s">
        <v>853</v>
      </c>
      <c r="I959" s="337" t="s">
        <v>767</v>
      </c>
      <c r="J959" s="337" t="s">
        <v>765</v>
      </c>
      <c r="K959" s="337"/>
      <c r="L959" s="337"/>
      <c r="M959" s="337" t="s">
        <v>821</v>
      </c>
      <c r="N959" s="337" t="s">
        <v>757</v>
      </c>
      <c r="O959" s="337" t="e">
        <v>#N/A</v>
      </c>
      <c r="P959" s="337"/>
      <c r="Q959" s="337" t="s">
        <v>842</v>
      </c>
      <c r="R959" s="343">
        <v>-4352.3599999999997</v>
      </c>
    </row>
    <row r="960" spans="1:18" x14ac:dyDescent="0.2">
      <c r="A960" s="342" t="s">
        <v>736</v>
      </c>
      <c r="B960" s="337" t="s">
        <v>789</v>
      </c>
      <c r="C960" s="337" t="s">
        <v>796</v>
      </c>
      <c r="D960" s="337" t="s">
        <v>739</v>
      </c>
      <c r="E960" s="337" t="s">
        <v>790</v>
      </c>
      <c r="F960" s="337" t="s">
        <v>771</v>
      </c>
      <c r="G960" s="337" t="s">
        <v>852</v>
      </c>
      <c r="H960" s="337" t="s">
        <v>853</v>
      </c>
      <c r="I960" s="337" t="s">
        <v>767</v>
      </c>
      <c r="J960" s="337" t="s">
        <v>765</v>
      </c>
      <c r="K960" s="337"/>
      <c r="L960" s="337"/>
      <c r="M960" s="337" t="s">
        <v>821</v>
      </c>
      <c r="N960" s="337" t="s">
        <v>757</v>
      </c>
      <c r="O960" s="337" t="e">
        <v>#N/A</v>
      </c>
      <c r="P960" s="337"/>
      <c r="Q960" s="337" t="s">
        <v>842</v>
      </c>
      <c r="R960" s="343">
        <v>-4352.3599999999997</v>
      </c>
    </row>
    <row r="961" spans="1:18" x14ac:dyDescent="0.2">
      <c r="A961" s="342" t="s">
        <v>737</v>
      </c>
      <c r="B961" s="337" t="s">
        <v>789</v>
      </c>
      <c r="C961" s="337" t="s">
        <v>796</v>
      </c>
      <c r="D961" s="337" t="s">
        <v>739</v>
      </c>
      <c r="E961" s="337" t="s">
        <v>790</v>
      </c>
      <c r="F961" s="337" t="s">
        <v>771</v>
      </c>
      <c r="G961" s="337" t="s">
        <v>852</v>
      </c>
      <c r="H961" s="337" t="s">
        <v>853</v>
      </c>
      <c r="I961" s="337" t="s">
        <v>767</v>
      </c>
      <c r="J961" s="337" t="s">
        <v>765</v>
      </c>
      <c r="K961" s="337"/>
      <c r="L961" s="337"/>
      <c r="M961" s="337" t="s">
        <v>821</v>
      </c>
      <c r="N961" s="337" t="s">
        <v>757</v>
      </c>
      <c r="O961" s="337" t="e">
        <v>#N/A</v>
      </c>
      <c r="P961" s="337"/>
      <c r="Q961" s="337" t="s">
        <v>842</v>
      </c>
      <c r="R961" s="343">
        <v>-2684.65</v>
      </c>
    </row>
    <row r="962" spans="1:18" x14ac:dyDescent="0.2">
      <c r="A962" s="342" t="s">
        <v>738</v>
      </c>
      <c r="B962" s="337" t="s">
        <v>789</v>
      </c>
      <c r="C962" s="337" t="s">
        <v>796</v>
      </c>
      <c r="D962" s="337" t="s">
        <v>739</v>
      </c>
      <c r="E962" s="337" t="s">
        <v>790</v>
      </c>
      <c r="F962" s="337" t="s">
        <v>771</v>
      </c>
      <c r="G962" s="337" t="s">
        <v>852</v>
      </c>
      <c r="H962" s="337" t="s">
        <v>853</v>
      </c>
      <c r="I962" s="337" t="s">
        <v>767</v>
      </c>
      <c r="J962" s="337" t="s">
        <v>765</v>
      </c>
      <c r="K962" s="337"/>
      <c r="L962" s="337"/>
      <c r="M962" s="337" t="s">
        <v>821</v>
      </c>
      <c r="N962" s="337" t="s">
        <v>757</v>
      </c>
      <c r="O962" s="337" t="e">
        <v>#N/A</v>
      </c>
      <c r="P962" s="337"/>
      <c r="Q962" s="337" t="s">
        <v>842</v>
      </c>
      <c r="R962" s="343">
        <v>-932.7</v>
      </c>
    </row>
    <row r="963" spans="1:18" x14ac:dyDescent="0.2">
      <c r="A963" s="342" t="s">
        <v>727</v>
      </c>
      <c r="B963" s="337" t="s">
        <v>789</v>
      </c>
      <c r="C963" s="337" t="s">
        <v>796</v>
      </c>
      <c r="D963" s="337" t="s">
        <v>739</v>
      </c>
      <c r="E963" s="337" t="s">
        <v>790</v>
      </c>
      <c r="F963" s="337" t="s">
        <v>771</v>
      </c>
      <c r="G963" s="337" t="s">
        <v>852</v>
      </c>
      <c r="H963" s="337" t="s">
        <v>853</v>
      </c>
      <c r="I963" s="337" t="s">
        <v>767</v>
      </c>
      <c r="J963" s="337" t="s">
        <v>765</v>
      </c>
      <c r="K963" s="337"/>
      <c r="L963" s="337"/>
      <c r="M963" s="337" t="s">
        <v>821</v>
      </c>
      <c r="N963" s="337" t="s">
        <v>757</v>
      </c>
      <c r="O963" s="337" t="e">
        <v>#N/A</v>
      </c>
      <c r="P963" s="337"/>
      <c r="Q963" s="337" t="s">
        <v>842</v>
      </c>
      <c r="R963" s="343">
        <v>-579.78</v>
      </c>
    </row>
    <row r="964" spans="1:18" x14ac:dyDescent="0.2">
      <c r="A964" s="342" t="s">
        <v>737</v>
      </c>
      <c r="B964" s="337" t="s">
        <v>789</v>
      </c>
      <c r="C964" s="337" t="s">
        <v>796</v>
      </c>
      <c r="D964" s="337" t="s">
        <v>739</v>
      </c>
      <c r="E964" s="337" t="s">
        <v>790</v>
      </c>
      <c r="F964" s="337" t="s">
        <v>771</v>
      </c>
      <c r="G964" s="337" t="s">
        <v>852</v>
      </c>
      <c r="H964" s="337" t="s">
        <v>853</v>
      </c>
      <c r="I964" s="337" t="s">
        <v>767</v>
      </c>
      <c r="J964" s="337" t="s">
        <v>765</v>
      </c>
      <c r="K964" s="337"/>
      <c r="L964" s="337"/>
      <c r="M964" s="337" t="s">
        <v>822</v>
      </c>
      <c r="N964" s="337" t="s">
        <v>764</v>
      </c>
      <c r="O964" s="337" t="e">
        <v>#N/A</v>
      </c>
      <c r="P964" s="337"/>
      <c r="Q964" s="337" t="s">
        <v>842</v>
      </c>
      <c r="R964" s="343">
        <v>-58738.92</v>
      </c>
    </row>
    <row r="965" spans="1:18" x14ac:dyDescent="0.2">
      <c r="A965" s="342" t="s">
        <v>738</v>
      </c>
      <c r="B965" s="337" t="s">
        <v>789</v>
      </c>
      <c r="C965" s="337" t="s">
        <v>796</v>
      </c>
      <c r="D965" s="337" t="s">
        <v>739</v>
      </c>
      <c r="E965" s="337" t="s">
        <v>790</v>
      </c>
      <c r="F965" s="337" t="s">
        <v>771</v>
      </c>
      <c r="G965" s="337" t="s">
        <v>852</v>
      </c>
      <c r="H965" s="337" t="s">
        <v>853</v>
      </c>
      <c r="I965" s="337" t="s">
        <v>767</v>
      </c>
      <c r="J965" s="337" t="s">
        <v>765</v>
      </c>
      <c r="K965" s="337"/>
      <c r="L965" s="337"/>
      <c r="M965" s="337" t="s">
        <v>822</v>
      </c>
      <c r="N965" s="337" t="s">
        <v>764</v>
      </c>
      <c r="O965" s="337" t="e">
        <v>#N/A</v>
      </c>
      <c r="P965" s="337"/>
      <c r="Q965" s="337" t="s">
        <v>842</v>
      </c>
      <c r="R965" s="343">
        <v>0</v>
      </c>
    </row>
    <row r="966" spans="1:18" x14ac:dyDescent="0.2">
      <c r="A966" s="342" t="s">
        <v>737</v>
      </c>
      <c r="B966" s="337" t="s">
        <v>789</v>
      </c>
      <c r="C966" s="337" t="s">
        <v>796</v>
      </c>
      <c r="D966" s="337" t="s">
        <v>739</v>
      </c>
      <c r="E966" s="337" t="s">
        <v>790</v>
      </c>
      <c r="F966" s="337" t="s">
        <v>771</v>
      </c>
      <c r="G966" s="337" t="s">
        <v>852</v>
      </c>
      <c r="H966" s="337" t="s">
        <v>853</v>
      </c>
      <c r="I966" s="337" t="s">
        <v>767</v>
      </c>
      <c r="J966" s="337" t="s">
        <v>765</v>
      </c>
      <c r="K966" s="337"/>
      <c r="L966" s="337"/>
      <c r="M966" s="337" t="s">
        <v>823</v>
      </c>
      <c r="N966" s="337" t="s">
        <v>780</v>
      </c>
      <c r="O966" s="337" t="e">
        <v>#N/A</v>
      </c>
      <c r="P966" s="337"/>
      <c r="Q966" s="337" t="s">
        <v>835</v>
      </c>
      <c r="R966" s="343">
        <v>-339420.72</v>
      </c>
    </row>
    <row r="967" spans="1:18" x14ac:dyDescent="0.2">
      <c r="A967" s="342" t="s">
        <v>738</v>
      </c>
      <c r="B967" s="337" t="s">
        <v>789</v>
      </c>
      <c r="C967" s="337" t="s">
        <v>796</v>
      </c>
      <c r="D967" s="337" t="s">
        <v>739</v>
      </c>
      <c r="E967" s="337" t="s">
        <v>790</v>
      </c>
      <c r="F967" s="337" t="s">
        <v>771</v>
      </c>
      <c r="G967" s="337" t="s">
        <v>852</v>
      </c>
      <c r="H967" s="337" t="s">
        <v>853</v>
      </c>
      <c r="I967" s="337" t="s">
        <v>767</v>
      </c>
      <c r="J967" s="337" t="s">
        <v>765</v>
      </c>
      <c r="K967" s="337"/>
      <c r="L967" s="337"/>
      <c r="M967" s="337" t="s">
        <v>823</v>
      </c>
      <c r="N967" s="337" t="s">
        <v>780</v>
      </c>
      <c r="O967" s="337" t="e">
        <v>#N/A</v>
      </c>
      <c r="P967" s="337"/>
      <c r="Q967" s="337" t="s">
        <v>835</v>
      </c>
      <c r="R967" s="343">
        <v>-178796.19</v>
      </c>
    </row>
    <row r="968" spans="1:18" x14ac:dyDescent="0.2">
      <c r="A968" s="342" t="s">
        <v>727</v>
      </c>
      <c r="B968" s="337" t="s">
        <v>789</v>
      </c>
      <c r="C968" s="337" t="s">
        <v>796</v>
      </c>
      <c r="D968" s="337" t="s">
        <v>739</v>
      </c>
      <c r="E968" s="337" t="s">
        <v>790</v>
      </c>
      <c r="F968" s="337" t="s">
        <v>771</v>
      </c>
      <c r="G968" s="337" t="s">
        <v>852</v>
      </c>
      <c r="H968" s="337" t="s">
        <v>853</v>
      </c>
      <c r="I968" s="337" t="s">
        <v>767</v>
      </c>
      <c r="J968" s="337" t="s">
        <v>765</v>
      </c>
      <c r="K968" s="337"/>
      <c r="L968" s="337"/>
      <c r="M968" s="337" t="s">
        <v>823</v>
      </c>
      <c r="N968" s="337" t="s">
        <v>780</v>
      </c>
      <c r="O968" s="337" t="e">
        <v>#N/A</v>
      </c>
      <c r="P968" s="337"/>
      <c r="Q968" s="337" t="s">
        <v>835</v>
      </c>
      <c r="R968" s="343">
        <v>-400425.6</v>
      </c>
    </row>
    <row r="969" spans="1:18" x14ac:dyDescent="0.2">
      <c r="A969" s="342" t="s">
        <v>728</v>
      </c>
      <c r="B969" s="337" t="s">
        <v>789</v>
      </c>
      <c r="C969" s="337" t="s">
        <v>796</v>
      </c>
      <c r="D969" s="337" t="s">
        <v>739</v>
      </c>
      <c r="E969" s="337" t="s">
        <v>790</v>
      </c>
      <c r="F969" s="337" t="s">
        <v>771</v>
      </c>
      <c r="G969" s="337" t="s">
        <v>852</v>
      </c>
      <c r="H969" s="337" t="s">
        <v>853</v>
      </c>
      <c r="I969" s="337" t="s">
        <v>767</v>
      </c>
      <c r="J969" s="337" t="s">
        <v>765</v>
      </c>
      <c r="K969" s="337"/>
      <c r="L969" s="337"/>
      <c r="M969" s="337" t="s">
        <v>824</v>
      </c>
      <c r="N969" s="337" t="s">
        <v>761</v>
      </c>
      <c r="O969" s="337" t="e">
        <v>#N/A</v>
      </c>
      <c r="P969" s="337"/>
      <c r="Q969" s="337" t="s">
        <v>843</v>
      </c>
      <c r="R969" s="343">
        <v>0</v>
      </c>
    </row>
    <row r="970" spans="1:18" x14ac:dyDescent="0.2">
      <c r="A970" s="342" t="s">
        <v>730</v>
      </c>
      <c r="B970" s="337" t="s">
        <v>789</v>
      </c>
      <c r="C970" s="337" t="s">
        <v>796</v>
      </c>
      <c r="D970" s="337" t="s">
        <v>739</v>
      </c>
      <c r="E970" s="337" t="s">
        <v>790</v>
      </c>
      <c r="F970" s="337" t="s">
        <v>771</v>
      </c>
      <c r="G970" s="337" t="s">
        <v>852</v>
      </c>
      <c r="H970" s="337" t="s">
        <v>853</v>
      </c>
      <c r="I970" s="337" t="s">
        <v>767</v>
      </c>
      <c r="J970" s="337" t="s">
        <v>765</v>
      </c>
      <c r="K970" s="337"/>
      <c r="L970" s="337"/>
      <c r="M970" s="337" t="s">
        <v>824</v>
      </c>
      <c r="N970" s="337" t="s">
        <v>761</v>
      </c>
      <c r="O970" s="337" t="e">
        <v>#N/A</v>
      </c>
      <c r="P970" s="337"/>
      <c r="Q970" s="337" t="s">
        <v>843</v>
      </c>
      <c r="R970" s="343">
        <v>-8597.39</v>
      </c>
    </row>
    <row r="971" spans="1:18" x14ac:dyDescent="0.2">
      <c r="A971" s="342" t="s">
        <v>726</v>
      </c>
      <c r="B971" s="337" t="s">
        <v>789</v>
      </c>
      <c r="C971" s="337" t="s">
        <v>796</v>
      </c>
      <c r="D971" s="337" t="s">
        <v>739</v>
      </c>
      <c r="E971" s="337" t="s">
        <v>790</v>
      </c>
      <c r="F971" s="337" t="s">
        <v>771</v>
      </c>
      <c r="G971" s="337" t="s">
        <v>852</v>
      </c>
      <c r="H971" s="337" t="s">
        <v>853</v>
      </c>
      <c r="I971" s="337" t="s">
        <v>767</v>
      </c>
      <c r="J971" s="337" t="s">
        <v>765</v>
      </c>
      <c r="K971" s="337"/>
      <c r="L971" s="337"/>
      <c r="M971" s="337" t="s">
        <v>824</v>
      </c>
      <c r="N971" s="337" t="s">
        <v>761</v>
      </c>
      <c r="O971" s="337" t="e">
        <v>#N/A</v>
      </c>
      <c r="P971" s="337"/>
      <c r="Q971" s="337" t="s">
        <v>843</v>
      </c>
      <c r="R971" s="343">
        <v>-75032.94</v>
      </c>
    </row>
    <row r="972" spans="1:18" x14ac:dyDescent="0.2">
      <c r="A972" s="342" t="s">
        <v>733</v>
      </c>
      <c r="B972" s="337" t="s">
        <v>789</v>
      </c>
      <c r="C972" s="337" t="s">
        <v>796</v>
      </c>
      <c r="D972" s="337" t="s">
        <v>739</v>
      </c>
      <c r="E972" s="337" t="s">
        <v>790</v>
      </c>
      <c r="F972" s="337" t="s">
        <v>771</v>
      </c>
      <c r="G972" s="337" t="s">
        <v>852</v>
      </c>
      <c r="H972" s="337" t="s">
        <v>853</v>
      </c>
      <c r="I972" s="337" t="s">
        <v>767</v>
      </c>
      <c r="J972" s="337" t="s">
        <v>765</v>
      </c>
      <c r="K972" s="337"/>
      <c r="L972" s="337"/>
      <c r="M972" s="337" t="s">
        <v>824</v>
      </c>
      <c r="N972" s="337" t="s">
        <v>761</v>
      </c>
      <c r="O972" s="337" t="e">
        <v>#N/A</v>
      </c>
      <c r="P972" s="337"/>
      <c r="Q972" s="337" t="s">
        <v>843</v>
      </c>
      <c r="R972" s="343">
        <v>-103715.65</v>
      </c>
    </row>
    <row r="973" spans="1:18" x14ac:dyDescent="0.2">
      <c r="A973" s="342" t="s">
        <v>734</v>
      </c>
      <c r="B973" s="337" t="s">
        <v>789</v>
      </c>
      <c r="C973" s="337" t="s">
        <v>796</v>
      </c>
      <c r="D973" s="337" t="s">
        <v>739</v>
      </c>
      <c r="E973" s="337" t="s">
        <v>790</v>
      </c>
      <c r="F973" s="337" t="s">
        <v>771</v>
      </c>
      <c r="G973" s="337" t="s">
        <v>852</v>
      </c>
      <c r="H973" s="337" t="s">
        <v>853</v>
      </c>
      <c r="I973" s="337" t="s">
        <v>767</v>
      </c>
      <c r="J973" s="337" t="s">
        <v>765</v>
      </c>
      <c r="K973" s="337"/>
      <c r="L973" s="337"/>
      <c r="M973" s="337" t="s">
        <v>824</v>
      </c>
      <c r="N973" s="337" t="s">
        <v>761</v>
      </c>
      <c r="O973" s="337" t="e">
        <v>#N/A</v>
      </c>
      <c r="P973" s="337"/>
      <c r="Q973" s="337" t="s">
        <v>834</v>
      </c>
      <c r="R973" s="343">
        <v>-444088.39</v>
      </c>
    </row>
    <row r="974" spans="1:18" x14ac:dyDescent="0.2">
      <c r="A974" s="342" t="s">
        <v>735</v>
      </c>
      <c r="B974" s="337" t="s">
        <v>789</v>
      </c>
      <c r="C974" s="337" t="s">
        <v>796</v>
      </c>
      <c r="D974" s="337" t="s">
        <v>739</v>
      </c>
      <c r="E974" s="337" t="s">
        <v>790</v>
      </c>
      <c r="F974" s="337" t="s">
        <v>771</v>
      </c>
      <c r="G974" s="337" t="s">
        <v>852</v>
      </c>
      <c r="H974" s="337" t="s">
        <v>853</v>
      </c>
      <c r="I974" s="337" t="s">
        <v>767</v>
      </c>
      <c r="J974" s="337" t="s">
        <v>765</v>
      </c>
      <c r="K974" s="337"/>
      <c r="L974" s="337"/>
      <c r="M974" s="337" t="s">
        <v>824</v>
      </c>
      <c r="N974" s="337" t="s">
        <v>761</v>
      </c>
      <c r="O974" s="337" t="e">
        <v>#N/A</v>
      </c>
      <c r="P974" s="337"/>
      <c r="Q974" s="337" t="s">
        <v>834</v>
      </c>
      <c r="R974" s="343">
        <v>-143175.14000000001</v>
      </c>
    </row>
    <row r="975" spans="1:18" x14ac:dyDescent="0.2">
      <c r="A975" s="342" t="s">
        <v>736</v>
      </c>
      <c r="B975" s="337" t="s">
        <v>789</v>
      </c>
      <c r="C975" s="337" t="s">
        <v>796</v>
      </c>
      <c r="D975" s="337" t="s">
        <v>739</v>
      </c>
      <c r="E975" s="337" t="s">
        <v>790</v>
      </c>
      <c r="F975" s="337" t="s">
        <v>771</v>
      </c>
      <c r="G975" s="337" t="s">
        <v>852</v>
      </c>
      <c r="H975" s="337" t="s">
        <v>853</v>
      </c>
      <c r="I975" s="337" t="s">
        <v>767</v>
      </c>
      <c r="J975" s="337" t="s">
        <v>765</v>
      </c>
      <c r="K975" s="337"/>
      <c r="L975" s="337"/>
      <c r="M975" s="337" t="s">
        <v>824</v>
      </c>
      <c r="N975" s="337" t="s">
        <v>761</v>
      </c>
      <c r="O975" s="337" t="e">
        <v>#N/A</v>
      </c>
      <c r="P975" s="337"/>
      <c r="Q975" s="337" t="s">
        <v>834</v>
      </c>
      <c r="R975" s="343">
        <v>-69388.78</v>
      </c>
    </row>
    <row r="976" spans="1:18" x14ac:dyDescent="0.2">
      <c r="A976" s="342" t="s">
        <v>737</v>
      </c>
      <c r="B976" s="337" t="s">
        <v>789</v>
      </c>
      <c r="C976" s="337" t="s">
        <v>796</v>
      </c>
      <c r="D976" s="337" t="s">
        <v>739</v>
      </c>
      <c r="E976" s="337" t="s">
        <v>790</v>
      </c>
      <c r="F976" s="337" t="s">
        <v>771</v>
      </c>
      <c r="G976" s="337" t="s">
        <v>852</v>
      </c>
      <c r="H976" s="337" t="s">
        <v>853</v>
      </c>
      <c r="I976" s="337" t="s">
        <v>767</v>
      </c>
      <c r="J976" s="337" t="s">
        <v>765</v>
      </c>
      <c r="K976" s="337"/>
      <c r="L976" s="337"/>
      <c r="M976" s="337" t="s">
        <v>824</v>
      </c>
      <c r="N976" s="337" t="s">
        <v>761</v>
      </c>
      <c r="O976" s="337" t="e">
        <v>#N/A</v>
      </c>
      <c r="P976" s="337"/>
      <c r="Q976" s="337" t="s">
        <v>834</v>
      </c>
      <c r="R976" s="343">
        <v>-62439.54</v>
      </c>
    </row>
    <row r="977" spans="1:18" x14ac:dyDescent="0.2">
      <c r="A977" s="342" t="s">
        <v>738</v>
      </c>
      <c r="B977" s="337" t="s">
        <v>789</v>
      </c>
      <c r="C977" s="337" t="s">
        <v>796</v>
      </c>
      <c r="D977" s="337" t="s">
        <v>739</v>
      </c>
      <c r="E977" s="337" t="s">
        <v>790</v>
      </c>
      <c r="F977" s="337" t="s">
        <v>771</v>
      </c>
      <c r="G977" s="337" t="s">
        <v>852</v>
      </c>
      <c r="H977" s="337" t="s">
        <v>853</v>
      </c>
      <c r="I977" s="337" t="s">
        <v>767</v>
      </c>
      <c r="J977" s="337" t="s">
        <v>765</v>
      </c>
      <c r="K977" s="337"/>
      <c r="L977" s="337"/>
      <c r="M977" s="337" t="s">
        <v>824</v>
      </c>
      <c r="N977" s="337" t="s">
        <v>761</v>
      </c>
      <c r="O977" s="337" t="e">
        <v>#N/A</v>
      </c>
      <c r="P977" s="337"/>
      <c r="Q977" s="337" t="s">
        <v>834</v>
      </c>
      <c r="R977" s="343">
        <v>0</v>
      </c>
    </row>
    <row r="978" spans="1:18" x14ac:dyDescent="0.2">
      <c r="A978" s="342" t="s">
        <v>727</v>
      </c>
      <c r="B978" s="337" t="s">
        <v>789</v>
      </c>
      <c r="C978" s="337" t="s">
        <v>796</v>
      </c>
      <c r="D978" s="337" t="s">
        <v>739</v>
      </c>
      <c r="E978" s="337" t="s">
        <v>790</v>
      </c>
      <c r="F978" s="337" t="s">
        <v>771</v>
      </c>
      <c r="G978" s="337" t="s">
        <v>852</v>
      </c>
      <c r="H978" s="337" t="s">
        <v>853</v>
      </c>
      <c r="I978" s="337" t="s">
        <v>767</v>
      </c>
      <c r="J978" s="337" t="s">
        <v>765</v>
      </c>
      <c r="K978" s="337"/>
      <c r="L978" s="337"/>
      <c r="M978" s="337" t="s">
        <v>824</v>
      </c>
      <c r="N978" s="337" t="s">
        <v>761</v>
      </c>
      <c r="O978" s="337" t="e">
        <v>#N/A</v>
      </c>
      <c r="P978" s="337"/>
      <c r="Q978" s="337" t="s">
        <v>834</v>
      </c>
      <c r="R978" s="343">
        <v>-68547.070000000007</v>
      </c>
    </row>
    <row r="979" spans="1:18" x14ac:dyDescent="0.2">
      <c r="A979" s="342" t="s">
        <v>735</v>
      </c>
      <c r="B979" s="337" t="s">
        <v>789</v>
      </c>
      <c r="C979" s="337" t="s">
        <v>796</v>
      </c>
      <c r="D979" s="337" t="s">
        <v>739</v>
      </c>
      <c r="E979" s="337" t="s">
        <v>790</v>
      </c>
      <c r="F979" s="337" t="s">
        <v>771</v>
      </c>
      <c r="G979" s="337" t="s">
        <v>852</v>
      </c>
      <c r="H979" s="337" t="s">
        <v>853</v>
      </c>
      <c r="I979" s="337" t="s">
        <v>767</v>
      </c>
      <c r="J979" s="337" t="s">
        <v>765</v>
      </c>
      <c r="K979" s="337"/>
      <c r="L979" s="337"/>
      <c r="M979" s="337" t="s">
        <v>824</v>
      </c>
      <c r="N979" s="337" t="s">
        <v>761</v>
      </c>
      <c r="O979" s="337" t="e">
        <v>#N/A</v>
      </c>
      <c r="P979" s="337"/>
      <c r="Q979" s="337" t="s">
        <v>839</v>
      </c>
      <c r="R979" s="343">
        <v>-5584.86</v>
      </c>
    </row>
    <row r="980" spans="1:18" x14ac:dyDescent="0.2">
      <c r="A980" s="342" t="s">
        <v>736</v>
      </c>
      <c r="B980" s="337" t="s">
        <v>789</v>
      </c>
      <c r="C980" s="337" t="s">
        <v>796</v>
      </c>
      <c r="D980" s="337" t="s">
        <v>739</v>
      </c>
      <c r="E980" s="337" t="s">
        <v>790</v>
      </c>
      <c r="F980" s="337" t="s">
        <v>771</v>
      </c>
      <c r="G980" s="337" t="s">
        <v>852</v>
      </c>
      <c r="H980" s="337" t="s">
        <v>853</v>
      </c>
      <c r="I980" s="337" t="s">
        <v>767</v>
      </c>
      <c r="J980" s="337" t="s">
        <v>765</v>
      </c>
      <c r="K980" s="337"/>
      <c r="L980" s="337"/>
      <c r="M980" s="337" t="s">
        <v>824</v>
      </c>
      <c r="N980" s="337" t="s">
        <v>761</v>
      </c>
      <c r="O980" s="337" t="e">
        <v>#N/A</v>
      </c>
      <c r="P980" s="337"/>
      <c r="Q980" s="337" t="s">
        <v>839</v>
      </c>
      <c r="R980" s="343">
        <v>-14312.86</v>
      </c>
    </row>
    <row r="981" spans="1:18" x14ac:dyDescent="0.2">
      <c r="A981" s="342" t="s">
        <v>737</v>
      </c>
      <c r="B981" s="337" t="s">
        <v>789</v>
      </c>
      <c r="C981" s="337" t="s">
        <v>796</v>
      </c>
      <c r="D981" s="337" t="s">
        <v>739</v>
      </c>
      <c r="E981" s="337" t="s">
        <v>790</v>
      </c>
      <c r="F981" s="337" t="s">
        <v>771</v>
      </c>
      <c r="G981" s="337" t="s">
        <v>852</v>
      </c>
      <c r="H981" s="337" t="s">
        <v>853</v>
      </c>
      <c r="I981" s="337" t="s">
        <v>767</v>
      </c>
      <c r="J981" s="337" t="s">
        <v>765</v>
      </c>
      <c r="K981" s="337"/>
      <c r="L981" s="337"/>
      <c r="M981" s="337" t="s">
        <v>824</v>
      </c>
      <c r="N981" s="337" t="s">
        <v>761</v>
      </c>
      <c r="O981" s="337" t="e">
        <v>#N/A</v>
      </c>
      <c r="P981" s="337"/>
      <c r="Q981" s="337" t="s">
        <v>839</v>
      </c>
      <c r="R981" s="343">
        <v>-7241.09</v>
      </c>
    </row>
    <row r="982" spans="1:18" x14ac:dyDescent="0.2">
      <c r="A982" s="342" t="s">
        <v>738</v>
      </c>
      <c r="B982" s="337" t="s">
        <v>789</v>
      </c>
      <c r="C982" s="337" t="s">
        <v>796</v>
      </c>
      <c r="D982" s="337" t="s">
        <v>739</v>
      </c>
      <c r="E982" s="337" t="s">
        <v>790</v>
      </c>
      <c r="F982" s="337" t="s">
        <v>771</v>
      </c>
      <c r="G982" s="337" t="s">
        <v>852</v>
      </c>
      <c r="H982" s="337" t="s">
        <v>853</v>
      </c>
      <c r="I982" s="337" t="s">
        <v>767</v>
      </c>
      <c r="J982" s="337" t="s">
        <v>765</v>
      </c>
      <c r="K982" s="337"/>
      <c r="L982" s="337"/>
      <c r="M982" s="337" t="s">
        <v>824</v>
      </c>
      <c r="N982" s="337" t="s">
        <v>761</v>
      </c>
      <c r="O982" s="337" t="e">
        <v>#N/A</v>
      </c>
      <c r="P982" s="337"/>
      <c r="Q982" s="337" t="s">
        <v>839</v>
      </c>
      <c r="R982" s="343">
        <v>-4203.0600000000004</v>
      </c>
    </row>
    <row r="983" spans="1:18" x14ac:dyDescent="0.2">
      <c r="A983" s="342" t="s">
        <v>727</v>
      </c>
      <c r="B983" s="337" t="s">
        <v>789</v>
      </c>
      <c r="C983" s="337" t="s">
        <v>796</v>
      </c>
      <c r="D983" s="337" t="s">
        <v>739</v>
      </c>
      <c r="E983" s="337" t="s">
        <v>790</v>
      </c>
      <c r="F983" s="337" t="s">
        <v>771</v>
      </c>
      <c r="G983" s="337" t="s">
        <v>852</v>
      </c>
      <c r="H983" s="337" t="s">
        <v>853</v>
      </c>
      <c r="I983" s="337" t="s">
        <v>767</v>
      </c>
      <c r="J983" s="337" t="s">
        <v>765</v>
      </c>
      <c r="K983" s="337"/>
      <c r="L983" s="337"/>
      <c r="M983" s="337" t="s">
        <v>824</v>
      </c>
      <c r="N983" s="337" t="s">
        <v>761</v>
      </c>
      <c r="O983" s="337" t="e">
        <v>#N/A</v>
      </c>
      <c r="P983" s="337"/>
      <c r="Q983" s="337" t="s">
        <v>839</v>
      </c>
      <c r="R983" s="343">
        <v>-143.38999999999999</v>
      </c>
    </row>
    <row r="984" spans="1:18" x14ac:dyDescent="0.2">
      <c r="A984" s="342" t="s">
        <v>735</v>
      </c>
      <c r="B984" s="337" t="s">
        <v>789</v>
      </c>
      <c r="C984" s="337" t="s">
        <v>796</v>
      </c>
      <c r="D984" s="337" t="s">
        <v>739</v>
      </c>
      <c r="E984" s="337" t="s">
        <v>790</v>
      </c>
      <c r="F984" s="337" t="s">
        <v>771</v>
      </c>
      <c r="G984" s="337" t="s">
        <v>852</v>
      </c>
      <c r="H984" s="337" t="s">
        <v>853</v>
      </c>
      <c r="I984" s="337" t="s">
        <v>767</v>
      </c>
      <c r="J984" s="337" t="s">
        <v>765</v>
      </c>
      <c r="K984" s="337"/>
      <c r="L984" s="337"/>
      <c r="M984" s="337" t="s">
        <v>824</v>
      </c>
      <c r="N984" s="337" t="s">
        <v>761</v>
      </c>
      <c r="O984" s="337" t="e">
        <v>#N/A</v>
      </c>
      <c r="P984" s="337"/>
      <c r="Q984" s="337" t="s">
        <v>840</v>
      </c>
      <c r="R984" s="343">
        <v>-10654.8</v>
      </c>
    </row>
    <row r="985" spans="1:18" x14ac:dyDescent="0.2">
      <c r="A985" s="342" t="s">
        <v>736</v>
      </c>
      <c r="B985" s="337" t="s">
        <v>789</v>
      </c>
      <c r="C985" s="337" t="s">
        <v>796</v>
      </c>
      <c r="D985" s="337" t="s">
        <v>739</v>
      </c>
      <c r="E985" s="337" t="s">
        <v>790</v>
      </c>
      <c r="F985" s="337" t="s">
        <v>771</v>
      </c>
      <c r="G985" s="337" t="s">
        <v>852</v>
      </c>
      <c r="H985" s="337" t="s">
        <v>853</v>
      </c>
      <c r="I985" s="337" t="s">
        <v>767</v>
      </c>
      <c r="J985" s="337" t="s">
        <v>765</v>
      </c>
      <c r="K985" s="337"/>
      <c r="L985" s="337"/>
      <c r="M985" s="337" t="s">
        <v>824</v>
      </c>
      <c r="N985" s="337" t="s">
        <v>761</v>
      </c>
      <c r="O985" s="337" t="e">
        <v>#N/A</v>
      </c>
      <c r="P985" s="337"/>
      <c r="Q985" s="337" t="s">
        <v>840</v>
      </c>
      <c r="R985" s="343">
        <v>-6392.87</v>
      </c>
    </row>
    <row r="986" spans="1:18" x14ac:dyDescent="0.2">
      <c r="A986" s="342" t="s">
        <v>737</v>
      </c>
      <c r="B986" s="337" t="s">
        <v>789</v>
      </c>
      <c r="C986" s="337" t="s">
        <v>796</v>
      </c>
      <c r="D986" s="337" t="s">
        <v>739</v>
      </c>
      <c r="E986" s="337" t="s">
        <v>790</v>
      </c>
      <c r="F986" s="337" t="s">
        <v>771</v>
      </c>
      <c r="G986" s="337" t="s">
        <v>852</v>
      </c>
      <c r="H986" s="337" t="s">
        <v>853</v>
      </c>
      <c r="I986" s="337" t="s">
        <v>767</v>
      </c>
      <c r="J986" s="337" t="s">
        <v>765</v>
      </c>
      <c r="K986" s="337"/>
      <c r="L986" s="337"/>
      <c r="M986" s="337" t="s">
        <v>824</v>
      </c>
      <c r="N986" s="337" t="s">
        <v>761</v>
      </c>
      <c r="O986" s="337" t="e">
        <v>#N/A</v>
      </c>
      <c r="P986" s="337"/>
      <c r="Q986" s="337" t="s">
        <v>840</v>
      </c>
      <c r="R986" s="343">
        <v>-1005.04</v>
      </c>
    </row>
    <row r="987" spans="1:18" x14ac:dyDescent="0.2">
      <c r="A987" s="342" t="s">
        <v>738</v>
      </c>
      <c r="B987" s="337" t="s">
        <v>789</v>
      </c>
      <c r="C987" s="337" t="s">
        <v>796</v>
      </c>
      <c r="D987" s="337" t="s">
        <v>739</v>
      </c>
      <c r="E987" s="337" t="s">
        <v>790</v>
      </c>
      <c r="F987" s="337" t="s">
        <v>771</v>
      </c>
      <c r="G987" s="337" t="s">
        <v>852</v>
      </c>
      <c r="H987" s="337" t="s">
        <v>853</v>
      </c>
      <c r="I987" s="337" t="s">
        <v>767</v>
      </c>
      <c r="J987" s="337" t="s">
        <v>765</v>
      </c>
      <c r="K987" s="337"/>
      <c r="L987" s="337"/>
      <c r="M987" s="337" t="s">
        <v>824</v>
      </c>
      <c r="N987" s="337" t="s">
        <v>761</v>
      </c>
      <c r="O987" s="337" t="e">
        <v>#N/A</v>
      </c>
      <c r="P987" s="337"/>
      <c r="Q987" s="337" t="s">
        <v>840</v>
      </c>
      <c r="R987" s="343">
        <v>0</v>
      </c>
    </row>
    <row r="988" spans="1:18" x14ac:dyDescent="0.2">
      <c r="A988" s="342" t="s">
        <v>728</v>
      </c>
      <c r="B988" s="337" t="s">
        <v>789</v>
      </c>
      <c r="C988" s="337" t="s">
        <v>796</v>
      </c>
      <c r="D988" s="337" t="s">
        <v>739</v>
      </c>
      <c r="E988" s="337" t="s">
        <v>790</v>
      </c>
      <c r="F988" s="337" t="s">
        <v>771</v>
      </c>
      <c r="G988" s="337" t="s">
        <v>852</v>
      </c>
      <c r="H988" s="337" t="s">
        <v>853</v>
      </c>
      <c r="I988" s="337" t="s">
        <v>767</v>
      </c>
      <c r="J988" s="337" t="s">
        <v>765</v>
      </c>
      <c r="K988" s="337"/>
      <c r="L988" s="337"/>
      <c r="M988" s="337" t="s">
        <v>824</v>
      </c>
      <c r="N988" s="337" t="s">
        <v>761</v>
      </c>
      <c r="O988" s="337" t="e">
        <v>#N/A</v>
      </c>
      <c r="P988" s="337"/>
      <c r="Q988" s="337" t="s">
        <v>845</v>
      </c>
      <c r="R988" s="343">
        <v>-349230.22</v>
      </c>
    </row>
    <row r="989" spans="1:18" x14ac:dyDescent="0.2">
      <c r="A989" s="342" t="s">
        <v>730</v>
      </c>
      <c r="B989" s="337" t="s">
        <v>789</v>
      </c>
      <c r="C989" s="337" t="s">
        <v>796</v>
      </c>
      <c r="D989" s="337" t="s">
        <v>739</v>
      </c>
      <c r="E989" s="337" t="s">
        <v>790</v>
      </c>
      <c r="F989" s="337" t="s">
        <v>771</v>
      </c>
      <c r="G989" s="337" t="s">
        <v>852</v>
      </c>
      <c r="H989" s="337" t="s">
        <v>853</v>
      </c>
      <c r="I989" s="337" t="s">
        <v>767</v>
      </c>
      <c r="J989" s="337" t="s">
        <v>765</v>
      </c>
      <c r="K989" s="337"/>
      <c r="L989" s="337"/>
      <c r="M989" s="337" t="s">
        <v>824</v>
      </c>
      <c r="N989" s="337" t="s">
        <v>761</v>
      </c>
      <c r="O989" s="337" t="e">
        <v>#N/A</v>
      </c>
      <c r="P989" s="337"/>
      <c r="Q989" s="337" t="s">
        <v>845</v>
      </c>
      <c r="R989" s="343">
        <v>-1751761.9199999999</v>
      </c>
    </row>
    <row r="990" spans="1:18" x14ac:dyDescent="0.2">
      <c r="A990" s="342" t="s">
        <v>731</v>
      </c>
      <c r="B990" s="337" t="s">
        <v>789</v>
      </c>
      <c r="C990" s="337" t="s">
        <v>796</v>
      </c>
      <c r="D990" s="337" t="s">
        <v>739</v>
      </c>
      <c r="E990" s="337" t="s">
        <v>790</v>
      </c>
      <c r="F990" s="337" t="s">
        <v>771</v>
      </c>
      <c r="G990" s="337" t="s">
        <v>852</v>
      </c>
      <c r="H990" s="337" t="s">
        <v>853</v>
      </c>
      <c r="I990" s="337" t="s">
        <v>767</v>
      </c>
      <c r="J990" s="337" t="s">
        <v>765</v>
      </c>
      <c r="K990" s="337"/>
      <c r="L990" s="337"/>
      <c r="M990" s="337" t="s">
        <v>824</v>
      </c>
      <c r="N990" s="337" t="s">
        <v>761</v>
      </c>
      <c r="O990" s="337" t="e">
        <v>#N/A</v>
      </c>
      <c r="P990" s="337"/>
      <c r="Q990" s="337" t="s">
        <v>845</v>
      </c>
      <c r="R990" s="343">
        <v>-978532.19</v>
      </c>
    </row>
    <row r="991" spans="1:18" x14ac:dyDescent="0.2">
      <c r="A991" s="342" t="s">
        <v>732</v>
      </c>
      <c r="B991" s="337" t="s">
        <v>789</v>
      </c>
      <c r="C991" s="337" t="s">
        <v>796</v>
      </c>
      <c r="D991" s="337" t="s">
        <v>739</v>
      </c>
      <c r="E991" s="337" t="s">
        <v>790</v>
      </c>
      <c r="F991" s="337" t="s">
        <v>771</v>
      </c>
      <c r="G991" s="337" t="s">
        <v>852</v>
      </c>
      <c r="H991" s="337" t="s">
        <v>853</v>
      </c>
      <c r="I991" s="337" t="s">
        <v>767</v>
      </c>
      <c r="J991" s="337" t="s">
        <v>765</v>
      </c>
      <c r="K991" s="337"/>
      <c r="L991" s="337"/>
      <c r="M991" s="337" t="s">
        <v>824</v>
      </c>
      <c r="N991" s="337" t="s">
        <v>761</v>
      </c>
      <c r="O991" s="337" t="e">
        <v>#N/A</v>
      </c>
      <c r="P991" s="337"/>
      <c r="Q991" s="337" t="s">
        <v>845</v>
      </c>
      <c r="R991" s="343">
        <v>-836939.37</v>
      </c>
    </row>
    <row r="992" spans="1:18" x14ac:dyDescent="0.2">
      <c r="A992" s="342" t="s">
        <v>726</v>
      </c>
      <c r="B992" s="337" t="s">
        <v>789</v>
      </c>
      <c r="C992" s="337" t="s">
        <v>796</v>
      </c>
      <c r="D992" s="337" t="s">
        <v>739</v>
      </c>
      <c r="E992" s="337" t="s">
        <v>790</v>
      </c>
      <c r="F992" s="337" t="s">
        <v>771</v>
      </c>
      <c r="G992" s="337" t="s">
        <v>852</v>
      </c>
      <c r="H992" s="337" t="s">
        <v>853</v>
      </c>
      <c r="I992" s="337" t="s">
        <v>767</v>
      </c>
      <c r="J992" s="337" t="s">
        <v>765</v>
      </c>
      <c r="K992" s="337"/>
      <c r="L992" s="337"/>
      <c r="M992" s="337" t="s">
        <v>824</v>
      </c>
      <c r="N992" s="337" t="s">
        <v>761</v>
      </c>
      <c r="O992" s="337" t="e">
        <v>#N/A</v>
      </c>
      <c r="P992" s="337"/>
      <c r="Q992" s="337" t="s">
        <v>845</v>
      </c>
      <c r="R992" s="343">
        <v>-614342.73</v>
      </c>
    </row>
    <row r="993" spans="1:18" x14ac:dyDescent="0.2">
      <c r="A993" s="342" t="s">
        <v>733</v>
      </c>
      <c r="B993" s="337" t="s">
        <v>789</v>
      </c>
      <c r="C993" s="337" t="s">
        <v>796</v>
      </c>
      <c r="D993" s="337" t="s">
        <v>739</v>
      </c>
      <c r="E993" s="337" t="s">
        <v>790</v>
      </c>
      <c r="F993" s="337" t="s">
        <v>771</v>
      </c>
      <c r="G993" s="337" t="s">
        <v>852</v>
      </c>
      <c r="H993" s="337" t="s">
        <v>853</v>
      </c>
      <c r="I993" s="337" t="s">
        <v>767</v>
      </c>
      <c r="J993" s="337" t="s">
        <v>765</v>
      </c>
      <c r="K993" s="337"/>
      <c r="L993" s="337"/>
      <c r="M993" s="337" t="s">
        <v>824</v>
      </c>
      <c r="N993" s="337" t="s">
        <v>761</v>
      </c>
      <c r="O993" s="337" t="e">
        <v>#N/A</v>
      </c>
      <c r="P993" s="337"/>
      <c r="Q993" s="337" t="s">
        <v>845</v>
      </c>
      <c r="R993" s="343">
        <v>-936736.99</v>
      </c>
    </row>
    <row r="994" spans="1:18" x14ac:dyDescent="0.2">
      <c r="A994" s="342" t="s">
        <v>734</v>
      </c>
      <c r="B994" s="337" t="s">
        <v>789</v>
      </c>
      <c r="C994" s="337" t="s">
        <v>796</v>
      </c>
      <c r="D994" s="337" t="s">
        <v>739</v>
      </c>
      <c r="E994" s="337" t="s">
        <v>790</v>
      </c>
      <c r="F994" s="337" t="s">
        <v>771</v>
      </c>
      <c r="G994" s="337" t="s">
        <v>852</v>
      </c>
      <c r="H994" s="337" t="s">
        <v>853</v>
      </c>
      <c r="I994" s="337" t="s">
        <v>767</v>
      </c>
      <c r="J994" s="337" t="s">
        <v>765</v>
      </c>
      <c r="K994" s="337"/>
      <c r="L994" s="337"/>
      <c r="M994" s="337" t="s">
        <v>824</v>
      </c>
      <c r="N994" s="337" t="s">
        <v>761</v>
      </c>
      <c r="O994" s="337" t="e">
        <v>#N/A</v>
      </c>
      <c r="P994" s="337"/>
      <c r="Q994" s="337" t="s">
        <v>845</v>
      </c>
      <c r="R994" s="343">
        <v>-843005.91</v>
      </c>
    </row>
    <row r="995" spans="1:18" x14ac:dyDescent="0.2">
      <c r="A995" s="342" t="s">
        <v>735</v>
      </c>
      <c r="B995" s="337" t="s">
        <v>789</v>
      </c>
      <c r="C995" s="337" t="s">
        <v>796</v>
      </c>
      <c r="D995" s="337" t="s">
        <v>739</v>
      </c>
      <c r="E995" s="337" t="s">
        <v>790</v>
      </c>
      <c r="F995" s="337" t="s">
        <v>771</v>
      </c>
      <c r="G995" s="337" t="s">
        <v>852</v>
      </c>
      <c r="H995" s="337" t="s">
        <v>853</v>
      </c>
      <c r="I995" s="337" t="s">
        <v>767</v>
      </c>
      <c r="J995" s="337" t="s">
        <v>765</v>
      </c>
      <c r="K995" s="337"/>
      <c r="L995" s="337"/>
      <c r="M995" s="337" t="s">
        <v>824</v>
      </c>
      <c r="N995" s="337" t="s">
        <v>761</v>
      </c>
      <c r="O995" s="337" t="e">
        <v>#N/A</v>
      </c>
      <c r="P995" s="337"/>
      <c r="Q995" s="337" t="s">
        <v>845</v>
      </c>
      <c r="R995" s="343">
        <v>-1304688.3700000001</v>
      </c>
    </row>
    <row r="996" spans="1:18" x14ac:dyDescent="0.2">
      <c r="A996" s="342" t="s">
        <v>736</v>
      </c>
      <c r="B996" s="337" t="s">
        <v>789</v>
      </c>
      <c r="C996" s="337" t="s">
        <v>796</v>
      </c>
      <c r="D996" s="337" t="s">
        <v>739</v>
      </c>
      <c r="E996" s="337" t="s">
        <v>790</v>
      </c>
      <c r="F996" s="337" t="s">
        <v>771</v>
      </c>
      <c r="G996" s="337" t="s">
        <v>852</v>
      </c>
      <c r="H996" s="337" t="s">
        <v>853</v>
      </c>
      <c r="I996" s="337" t="s">
        <v>767</v>
      </c>
      <c r="J996" s="337" t="s">
        <v>765</v>
      </c>
      <c r="K996" s="337"/>
      <c r="L996" s="337"/>
      <c r="M996" s="337" t="s">
        <v>824</v>
      </c>
      <c r="N996" s="337" t="s">
        <v>761</v>
      </c>
      <c r="O996" s="337" t="e">
        <v>#N/A</v>
      </c>
      <c r="P996" s="337"/>
      <c r="Q996" s="337" t="s">
        <v>845</v>
      </c>
      <c r="R996" s="343">
        <v>-862455.76</v>
      </c>
    </row>
    <row r="997" spans="1:18" x14ac:dyDescent="0.2">
      <c r="A997" s="342" t="s">
        <v>737</v>
      </c>
      <c r="B997" s="337" t="s">
        <v>789</v>
      </c>
      <c r="C997" s="337" t="s">
        <v>796</v>
      </c>
      <c r="D997" s="337" t="s">
        <v>739</v>
      </c>
      <c r="E997" s="337" t="s">
        <v>790</v>
      </c>
      <c r="F997" s="337" t="s">
        <v>771</v>
      </c>
      <c r="G997" s="337" t="s">
        <v>852</v>
      </c>
      <c r="H997" s="337" t="s">
        <v>853</v>
      </c>
      <c r="I997" s="337" t="s">
        <v>767</v>
      </c>
      <c r="J997" s="337" t="s">
        <v>765</v>
      </c>
      <c r="K997" s="337"/>
      <c r="L997" s="337"/>
      <c r="M997" s="337" t="s">
        <v>824</v>
      </c>
      <c r="N997" s="337" t="s">
        <v>761</v>
      </c>
      <c r="O997" s="337" t="e">
        <v>#N/A</v>
      </c>
      <c r="P997" s="337"/>
      <c r="Q997" s="337" t="s">
        <v>845</v>
      </c>
      <c r="R997" s="343">
        <v>-1094067.18</v>
      </c>
    </row>
    <row r="998" spans="1:18" x14ac:dyDescent="0.2">
      <c r="A998" s="342" t="s">
        <v>738</v>
      </c>
      <c r="B998" s="337" t="s">
        <v>789</v>
      </c>
      <c r="C998" s="337" t="s">
        <v>796</v>
      </c>
      <c r="D998" s="337" t="s">
        <v>739</v>
      </c>
      <c r="E998" s="337" t="s">
        <v>790</v>
      </c>
      <c r="F998" s="337" t="s">
        <v>771</v>
      </c>
      <c r="G998" s="337" t="s">
        <v>852</v>
      </c>
      <c r="H998" s="337" t="s">
        <v>853</v>
      </c>
      <c r="I998" s="337" t="s">
        <v>767</v>
      </c>
      <c r="J998" s="337" t="s">
        <v>765</v>
      </c>
      <c r="K998" s="337"/>
      <c r="L998" s="337"/>
      <c r="M998" s="337" t="s">
        <v>824</v>
      </c>
      <c r="N998" s="337" t="s">
        <v>761</v>
      </c>
      <c r="O998" s="337" t="e">
        <v>#N/A</v>
      </c>
      <c r="P998" s="337"/>
      <c r="Q998" s="337" t="s">
        <v>845</v>
      </c>
      <c r="R998" s="343">
        <v>-879754.26</v>
      </c>
    </row>
    <row r="999" spans="1:18" x14ac:dyDescent="0.2">
      <c r="A999" s="342" t="s">
        <v>727</v>
      </c>
      <c r="B999" s="337" t="s">
        <v>789</v>
      </c>
      <c r="C999" s="337" t="s">
        <v>796</v>
      </c>
      <c r="D999" s="337" t="s">
        <v>739</v>
      </c>
      <c r="E999" s="337" t="s">
        <v>790</v>
      </c>
      <c r="F999" s="337" t="s">
        <v>771</v>
      </c>
      <c r="G999" s="337" t="s">
        <v>852</v>
      </c>
      <c r="H999" s="337" t="s">
        <v>853</v>
      </c>
      <c r="I999" s="337" t="s">
        <v>767</v>
      </c>
      <c r="J999" s="337" t="s">
        <v>765</v>
      </c>
      <c r="K999" s="337"/>
      <c r="L999" s="337"/>
      <c r="M999" s="337" t="s">
        <v>824</v>
      </c>
      <c r="N999" s="337" t="s">
        <v>761</v>
      </c>
      <c r="O999" s="337" t="e">
        <v>#N/A</v>
      </c>
      <c r="P999" s="337"/>
      <c r="Q999" s="337" t="s">
        <v>845</v>
      </c>
      <c r="R999" s="343">
        <v>-1065374.69</v>
      </c>
    </row>
    <row r="1000" spans="1:18" x14ac:dyDescent="0.2">
      <c r="A1000" s="342" t="s">
        <v>728</v>
      </c>
      <c r="B1000" s="337" t="s">
        <v>789</v>
      </c>
      <c r="C1000" s="337" t="s">
        <v>796</v>
      </c>
      <c r="D1000" s="337" t="s">
        <v>739</v>
      </c>
      <c r="E1000" s="337" t="s">
        <v>790</v>
      </c>
      <c r="F1000" s="337" t="s">
        <v>771</v>
      </c>
      <c r="G1000" s="337" t="s">
        <v>852</v>
      </c>
      <c r="H1000" s="337" t="s">
        <v>853</v>
      </c>
      <c r="I1000" s="337" t="s">
        <v>767</v>
      </c>
      <c r="J1000" s="337" t="s">
        <v>765</v>
      </c>
      <c r="K1000" s="337"/>
      <c r="L1000" s="337"/>
      <c r="M1000" s="337" t="s">
        <v>824</v>
      </c>
      <c r="N1000" s="337" t="s">
        <v>761</v>
      </c>
      <c r="O1000" s="337" t="e">
        <v>#N/A</v>
      </c>
      <c r="P1000" s="337"/>
      <c r="Q1000" s="337" t="s">
        <v>842</v>
      </c>
      <c r="R1000" s="343">
        <v>-35752.75</v>
      </c>
    </row>
    <row r="1001" spans="1:18" x14ac:dyDescent="0.2">
      <c r="A1001" s="342" t="s">
        <v>730</v>
      </c>
      <c r="B1001" s="337" t="s">
        <v>789</v>
      </c>
      <c r="C1001" s="337" t="s">
        <v>796</v>
      </c>
      <c r="D1001" s="337" t="s">
        <v>739</v>
      </c>
      <c r="E1001" s="337" t="s">
        <v>790</v>
      </c>
      <c r="F1001" s="337" t="s">
        <v>771</v>
      </c>
      <c r="G1001" s="337" t="s">
        <v>852</v>
      </c>
      <c r="H1001" s="337" t="s">
        <v>853</v>
      </c>
      <c r="I1001" s="337" t="s">
        <v>767</v>
      </c>
      <c r="J1001" s="337" t="s">
        <v>765</v>
      </c>
      <c r="K1001" s="337"/>
      <c r="L1001" s="337"/>
      <c r="M1001" s="337" t="s">
        <v>824</v>
      </c>
      <c r="N1001" s="337" t="s">
        <v>761</v>
      </c>
      <c r="O1001" s="337" t="e">
        <v>#N/A</v>
      </c>
      <c r="P1001" s="337"/>
      <c r="Q1001" s="337" t="s">
        <v>842</v>
      </c>
      <c r="R1001" s="343">
        <v>-144494.5</v>
      </c>
    </row>
    <row r="1002" spans="1:18" x14ac:dyDescent="0.2">
      <c r="A1002" s="342" t="s">
        <v>731</v>
      </c>
      <c r="B1002" s="337" t="s">
        <v>789</v>
      </c>
      <c r="C1002" s="337" t="s">
        <v>796</v>
      </c>
      <c r="D1002" s="337" t="s">
        <v>739</v>
      </c>
      <c r="E1002" s="337" t="s">
        <v>790</v>
      </c>
      <c r="F1002" s="337" t="s">
        <v>771</v>
      </c>
      <c r="G1002" s="337" t="s">
        <v>852</v>
      </c>
      <c r="H1002" s="337" t="s">
        <v>853</v>
      </c>
      <c r="I1002" s="337" t="s">
        <v>767</v>
      </c>
      <c r="J1002" s="337" t="s">
        <v>765</v>
      </c>
      <c r="K1002" s="337"/>
      <c r="L1002" s="337"/>
      <c r="M1002" s="337" t="s">
        <v>824</v>
      </c>
      <c r="N1002" s="337" t="s">
        <v>761</v>
      </c>
      <c r="O1002" s="337" t="e">
        <v>#N/A</v>
      </c>
      <c r="P1002" s="337"/>
      <c r="Q1002" s="337" t="s">
        <v>842</v>
      </c>
      <c r="R1002" s="343">
        <v>-188347.24</v>
      </c>
    </row>
    <row r="1003" spans="1:18" x14ac:dyDescent="0.2">
      <c r="A1003" s="342" t="s">
        <v>732</v>
      </c>
      <c r="B1003" s="337" t="s">
        <v>789</v>
      </c>
      <c r="C1003" s="337" t="s">
        <v>796</v>
      </c>
      <c r="D1003" s="337" t="s">
        <v>739</v>
      </c>
      <c r="E1003" s="337" t="s">
        <v>790</v>
      </c>
      <c r="F1003" s="337" t="s">
        <v>771</v>
      </c>
      <c r="G1003" s="337" t="s">
        <v>852</v>
      </c>
      <c r="H1003" s="337" t="s">
        <v>853</v>
      </c>
      <c r="I1003" s="337" t="s">
        <v>767</v>
      </c>
      <c r="J1003" s="337" t="s">
        <v>765</v>
      </c>
      <c r="K1003" s="337"/>
      <c r="L1003" s="337"/>
      <c r="M1003" s="337" t="s">
        <v>824</v>
      </c>
      <c r="N1003" s="337" t="s">
        <v>761</v>
      </c>
      <c r="O1003" s="337" t="e">
        <v>#N/A</v>
      </c>
      <c r="P1003" s="337"/>
      <c r="Q1003" s="337" t="s">
        <v>842</v>
      </c>
      <c r="R1003" s="343">
        <v>-14518.43</v>
      </c>
    </row>
    <row r="1004" spans="1:18" x14ac:dyDescent="0.2">
      <c r="A1004" s="342" t="s">
        <v>726</v>
      </c>
      <c r="B1004" s="337" t="s">
        <v>789</v>
      </c>
      <c r="C1004" s="337" t="s">
        <v>796</v>
      </c>
      <c r="D1004" s="337" t="s">
        <v>739</v>
      </c>
      <c r="E1004" s="337" t="s">
        <v>790</v>
      </c>
      <c r="F1004" s="337" t="s">
        <v>771</v>
      </c>
      <c r="G1004" s="337" t="s">
        <v>852</v>
      </c>
      <c r="H1004" s="337" t="s">
        <v>853</v>
      </c>
      <c r="I1004" s="337" t="s">
        <v>767</v>
      </c>
      <c r="J1004" s="337" t="s">
        <v>765</v>
      </c>
      <c r="K1004" s="337"/>
      <c r="L1004" s="337"/>
      <c r="M1004" s="337" t="s">
        <v>824</v>
      </c>
      <c r="N1004" s="337" t="s">
        <v>761</v>
      </c>
      <c r="O1004" s="337" t="e">
        <v>#N/A</v>
      </c>
      <c r="P1004" s="337"/>
      <c r="Q1004" s="337" t="s">
        <v>842</v>
      </c>
      <c r="R1004" s="343">
        <v>-55791.17</v>
      </c>
    </row>
    <row r="1005" spans="1:18" x14ac:dyDescent="0.2">
      <c r="A1005" s="342" t="s">
        <v>733</v>
      </c>
      <c r="B1005" s="337" t="s">
        <v>789</v>
      </c>
      <c r="C1005" s="337" t="s">
        <v>796</v>
      </c>
      <c r="D1005" s="337" t="s">
        <v>739</v>
      </c>
      <c r="E1005" s="337" t="s">
        <v>790</v>
      </c>
      <c r="F1005" s="337" t="s">
        <v>771</v>
      </c>
      <c r="G1005" s="337" t="s">
        <v>852</v>
      </c>
      <c r="H1005" s="337" t="s">
        <v>853</v>
      </c>
      <c r="I1005" s="337" t="s">
        <v>767</v>
      </c>
      <c r="J1005" s="337" t="s">
        <v>765</v>
      </c>
      <c r="K1005" s="337"/>
      <c r="L1005" s="337"/>
      <c r="M1005" s="337" t="s">
        <v>824</v>
      </c>
      <c r="N1005" s="337" t="s">
        <v>761</v>
      </c>
      <c r="O1005" s="337" t="e">
        <v>#N/A</v>
      </c>
      <c r="P1005" s="337"/>
      <c r="Q1005" s="337" t="s">
        <v>842</v>
      </c>
      <c r="R1005" s="343">
        <v>-116815.03</v>
      </c>
    </row>
    <row r="1006" spans="1:18" x14ac:dyDescent="0.2">
      <c r="A1006" s="342" t="s">
        <v>734</v>
      </c>
      <c r="B1006" s="337" t="s">
        <v>789</v>
      </c>
      <c r="C1006" s="337" t="s">
        <v>796</v>
      </c>
      <c r="D1006" s="337" t="s">
        <v>739</v>
      </c>
      <c r="E1006" s="337" t="s">
        <v>790</v>
      </c>
      <c r="F1006" s="337" t="s">
        <v>771</v>
      </c>
      <c r="G1006" s="337" t="s">
        <v>852</v>
      </c>
      <c r="H1006" s="337" t="s">
        <v>853</v>
      </c>
      <c r="I1006" s="337" t="s">
        <v>767</v>
      </c>
      <c r="J1006" s="337" t="s">
        <v>765</v>
      </c>
      <c r="K1006" s="337"/>
      <c r="L1006" s="337"/>
      <c r="M1006" s="337" t="s">
        <v>824</v>
      </c>
      <c r="N1006" s="337" t="s">
        <v>761</v>
      </c>
      <c r="O1006" s="337" t="e">
        <v>#N/A</v>
      </c>
      <c r="P1006" s="337"/>
      <c r="Q1006" s="337" t="s">
        <v>842</v>
      </c>
      <c r="R1006" s="343">
        <v>-1083278.55</v>
      </c>
    </row>
    <row r="1007" spans="1:18" x14ac:dyDescent="0.2">
      <c r="A1007" s="342" t="s">
        <v>735</v>
      </c>
      <c r="B1007" s="337" t="s">
        <v>789</v>
      </c>
      <c r="C1007" s="337" t="s">
        <v>796</v>
      </c>
      <c r="D1007" s="337" t="s">
        <v>739</v>
      </c>
      <c r="E1007" s="337" t="s">
        <v>790</v>
      </c>
      <c r="F1007" s="337" t="s">
        <v>771</v>
      </c>
      <c r="G1007" s="337" t="s">
        <v>852</v>
      </c>
      <c r="H1007" s="337" t="s">
        <v>853</v>
      </c>
      <c r="I1007" s="337" t="s">
        <v>767</v>
      </c>
      <c r="J1007" s="337" t="s">
        <v>765</v>
      </c>
      <c r="K1007" s="337"/>
      <c r="L1007" s="337"/>
      <c r="M1007" s="337" t="s">
        <v>824</v>
      </c>
      <c r="N1007" s="337" t="s">
        <v>761</v>
      </c>
      <c r="O1007" s="337" t="e">
        <v>#N/A</v>
      </c>
      <c r="P1007" s="337"/>
      <c r="Q1007" s="337" t="s">
        <v>842</v>
      </c>
      <c r="R1007" s="343">
        <v>-823444.95</v>
      </c>
    </row>
    <row r="1008" spans="1:18" x14ac:dyDescent="0.2">
      <c r="A1008" s="342" t="s">
        <v>736</v>
      </c>
      <c r="B1008" s="337" t="s">
        <v>789</v>
      </c>
      <c r="C1008" s="337" t="s">
        <v>796</v>
      </c>
      <c r="D1008" s="337" t="s">
        <v>739</v>
      </c>
      <c r="E1008" s="337" t="s">
        <v>790</v>
      </c>
      <c r="F1008" s="337" t="s">
        <v>771</v>
      </c>
      <c r="G1008" s="337" t="s">
        <v>852</v>
      </c>
      <c r="H1008" s="337" t="s">
        <v>853</v>
      </c>
      <c r="I1008" s="337" t="s">
        <v>767</v>
      </c>
      <c r="J1008" s="337" t="s">
        <v>765</v>
      </c>
      <c r="K1008" s="337"/>
      <c r="L1008" s="337"/>
      <c r="M1008" s="337" t="s">
        <v>824</v>
      </c>
      <c r="N1008" s="337" t="s">
        <v>761</v>
      </c>
      <c r="O1008" s="337" t="e">
        <v>#N/A</v>
      </c>
      <c r="P1008" s="337"/>
      <c r="Q1008" s="337" t="s">
        <v>842</v>
      </c>
      <c r="R1008" s="343">
        <v>-1146405.1399999999</v>
      </c>
    </row>
    <row r="1009" spans="1:18" x14ac:dyDescent="0.2">
      <c r="A1009" s="342" t="s">
        <v>737</v>
      </c>
      <c r="B1009" s="337" t="s">
        <v>789</v>
      </c>
      <c r="C1009" s="337" t="s">
        <v>796</v>
      </c>
      <c r="D1009" s="337" t="s">
        <v>739</v>
      </c>
      <c r="E1009" s="337" t="s">
        <v>790</v>
      </c>
      <c r="F1009" s="337" t="s">
        <v>771</v>
      </c>
      <c r="G1009" s="337" t="s">
        <v>852</v>
      </c>
      <c r="H1009" s="337" t="s">
        <v>853</v>
      </c>
      <c r="I1009" s="337" t="s">
        <v>767</v>
      </c>
      <c r="J1009" s="337" t="s">
        <v>765</v>
      </c>
      <c r="K1009" s="337"/>
      <c r="L1009" s="337"/>
      <c r="M1009" s="337" t="s">
        <v>824</v>
      </c>
      <c r="N1009" s="337" t="s">
        <v>761</v>
      </c>
      <c r="O1009" s="337" t="e">
        <v>#N/A</v>
      </c>
      <c r="P1009" s="337"/>
      <c r="Q1009" s="337" t="s">
        <v>842</v>
      </c>
      <c r="R1009" s="343">
        <v>-285693.82</v>
      </c>
    </row>
    <row r="1010" spans="1:18" x14ac:dyDescent="0.2">
      <c r="A1010" s="342" t="s">
        <v>738</v>
      </c>
      <c r="B1010" s="337" t="s">
        <v>789</v>
      </c>
      <c r="C1010" s="337" t="s">
        <v>796</v>
      </c>
      <c r="D1010" s="337" t="s">
        <v>739</v>
      </c>
      <c r="E1010" s="337" t="s">
        <v>790</v>
      </c>
      <c r="F1010" s="337" t="s">
        <v>771</v>
      </c>
      <c r="G1010" s="337" t="s">
        <v>852</v>
      </c>
      <c r="H1010" s="337" t="s">
        <v>853</v>
      </c>
      <c r="I1010" s="337" t="s">
        <v>767</v>
      </c>
      <c r="J1010" s="337" t="s">
        <v>765</v>
      </c>
      <c r="K1010" s="337"/>
      <c r="L1010" s="337"/>
      <c r="M1010" s="337" t="s">
        <v>824</v>
      </c>
      <c r="N1010" s="337" t="s">
        <v>761</v>
      </c>
      <c r="O1010" s="337" t="e">
        <v>#N/A</v>
      </c>
      <c r="P1010" s="337"/>
      <c r="Q1010" s="337" t="s">
        <v>842</v>
      </c>
      <c r="R1010" s="343">
        <v>-871587.16</v>
      </c>
    </row>
    <row r="1011" spans="1:18" x14ac:dyDescent="0.2">
      <c r="A1011" s="342" t="s">
        <v>727</v>
      </c>
      <c r="B1011" s="337" t="s">
        <v>789</v>
      </c>
      <c r="C1011" s="337" t="s">
        <v>796</v>
      </c>
      <c r="D1011" s="337" t="s">
        <v>739</v>
      </c>
      <c r="E1011" s="337" t="s">
        <v>790</v>
      </c>
      <c r="F1011" s="337" t="s">
        <v>771</v>
      </c>
      <c r="G1011" s="337" t="s">
        <v>852</v>
      </c>
      <c r="H1011" s="337" t="s">
        <v>853</v>
      </c>
      <c r="I1011" s="337" t="s">
        <v>767</v>
      </c>
      <c r="J1011" s="337" t="s">
        <v>765</v>
      </c>
      <c r="K1011" s="337"/>
      <c r="L1011" s="337"/>
      <c r="M1011" s="337" t="s">
        <v>824</v>
      </c>
      <c r="N1011" s="337" t="s">
        <v>761</v>
      </c>
      <c r="O1011" s="337" t="e">
        <v>#N/A</v>
      </c>
      <c r="P1011" s="337"/>
      <c r="Q1011" s="337" t="s">
        <v>842</v>
      </c>
      <c r="R1011" s="343">
        <v>-178308.89</v>
      </c>
    </row>
    <row r="1012" spans="1:18" x14ac:dyDescent="0.2">
      <c r="A1012" s="342" t="s">
        <v>728</v>
      </c>
      <c r="B1012" s="337" t="s">
        <v>789</v>
      </c>
      <c r="C1012" s="337" t="s">
        <v>796</v>
      </c>
      <c r="D1012" s="337" t="s">
        <v>739</v>
      </c>
      <c r="E1012" s="337" t="s">
        <v>790</v>
      </c>
      <c r="F1012" s="337" t="s">
        <v>771</v>
      </c>
      <c r="G1012" s="337" t="s">
        <v>852</v>
      </c>
      <c r="H1012" s="337" t="s">
        <v>853</v>
      </c>
      <c r="I1012" s="337" t="s">
        <v>767</v>
      </c>
      <c r="J1012" s="337" t="s">
        <v>765</v>
      </c>
      <c r="K1012" s="337"/>
      <c r="L1012" s="337"/>
      <c r="M1012" s="337" t="s">
        <v>824</v>
      </c>
      <c r="N1012" s="337" t="s">
        <v>761</v>
      </c>
      <c r="O1012" s="337" t="e">
        <v>#N/A</v>
      </c>
      <c r="P1012" s="337"/>
      <c r="Q1012" s="337" t="s">
        <v>846</v>
      </c>
      <c r="R1012" s="343">
        <v>-15754.93</v>
      </c>
    </row>
    <row r="1013" spans="1:18" x14ac:dyDescent="0.2">
      <c r="A1013" s="342" t="s">
        <v>730</v>
      </c>
      <c r="B1013" s="337" t="s">
        <v>789</v>
      </c>
      <c r="C1013" s="337" t="s">
        <v>796</v>
      </c>
      <c r="D1013" s="337" t="s">
        <v>739</v>
      </c>
      <c r="E1013" s="337" t="s">
        <v>790</v>
      </c>
      <c r="F1013" s="337" t="s">
        <v>771</v>
      </c>
      <c r="G1013" s="337" t="s">
        <v>852</v>
      </c>
      <c r="H1013" s="337" t="s">
        <v>853</v>
      </c>
      <c r="I1013" s="337" t="s">
        <v>767</v>
      </c>
      <c r="J1013" s="337" t="s">
        <v>765</v>
      </c>
      <c r="K1013" s="337"/>
      <c r="L1013" s="337"/>
      <c r="M1013" s="337" t="s">
        <v>824</v>
      </c>
      <c r="N1013" s="337" t="s">
        <v>761</v>
      </c>
      <c r="O1013" s="337" t="e">
        <v>#N/A</v>
      </c>
      <c r="P1013" s="337"/>
      <c r="Q1013" s="337" t="s">
        <v>846</v>
      </c>
      <c r="R1013" s="343">
        <v>-93792.05</v>
      </c>
    </row>
    <row r="1014" spans="1:18" x14ac:dyDescent="0.2">
      <c r="A1014" s="342" t="s">
        <v>731</v>
      </c>
      <c r="B1014" s="337" t="s">
        <v>789</v>
      </c>
      <c r="C1014" s="337" t="s">
        <v>796</v>
      </c>
      <c r="D1014" s="337" t="s">
        <v>739</v>
      </c>
      <c r="E1014" s="337" t="s">
        <v>790</v>
      </c>
      <c r="F1014" s="337" t="s">
        <v>771</v>
      </c>
      <c r="G1014" s="337" t="s">
        <v>852</v>
      </c>
      <c r="H1014" s="337" t="s">
        <v>853</v>
      </c>
      <c r="I1014" s="337" t="s">
        <v>767</v>
      </c>
      <c r="J1014" s="337" t="s">
        <v>765</v>
      </c>
      <c r="K1014" s="337"/>
      <c r="L1014" s="337"/>
      <c r="M1014" s="337" t="s">
        <v>824</v>
      </c>
      <c r="N1014" s="337" t="s">
        <v>761</v>
      </c>
      <c r="O1014" s="337" t="e">
        <v>#N/A</v>
      </c>
      <c r="P1014" s="337"/>
      <c r="Q1014" s="337" t="s">
        <v>846</v>
      </c>
      <c r="R1014" s="343">
        <v>-59854.32</v>
      </c>
    </row>
    <row r="1015" spans="1:18" x14ac:dyDescent="0.2">
      <c r="A1015" s="342" t="s">
        <v>732</v>
      </c>
      <c r="B1015" s="337" t="s">
        <v>789</v>
      </c>
      <c r="C1015" s="337" t="s">
        <v>796</v>
      </c>
      <c r="D1015" s="337" t="s">
        <v>739</v>
      </c>
      <c r="E1015" s="337" t="s">
        <v>790</v>
      </c>
      <c r="F1015" s="337" t="s">
        <v>771</v>
      </c>
      <c r="G1015" s="337" t="s">
        <v>852</v>
      </c>
      <c r="H1015" s="337" t="s">
        <v>853</v>
      </c>
      <c r="I1015" s="337" t="s">
        <v>767</v>
      </c>
      <c r="J1015" s="337" t="s">
        <v>765</v>
      </c>
      <c r="K1015" s="337"/>
      <c r="L1015" s="337"/>
      <c r="M1015" s="337" t="s">
        <v>824</v>
      </c>
      <c r="N1015" s="337" t="s">
        <v>761</v>
      </c>
      <c r="O1015" s="337" t="e">
        <v>#N/A</v>
      </c>
      <c r="P1015" s="337"/>
      <c r="Q1015" s="337" t="s">
        <v>846</v>
      </c>
      <c r="R1015" s="343">
        <v>-5668.6</v>
      </c>
    </row>
    <row r="1016" spans="1:18" x14ac:dyDescent="0.2">
      <c r="A1016" s="342" t="s">
        <v>726</v>
      </c>
      <c r="B1016" s="337" t="s">
        <v>789</v>
      </c>
      <c r="C1016" s="337" t="s">
        <v>796</v>
      </c>
      <c r="D1016" s="337" t="s">
        <v>739</v>
      </c>
      <c r="E1016" s="337" t="s">
        <v>790</v>
      </c>
      <c r="F1016" s="337" t="s">
        <v>771</v>
      </c>
      <c r="G1016" s="337" t="s">
        <v>852</v>
      </c>
      <c r="H1016" s="337" t="s">
        <v>853</v>
      </c>
      <c r="I1016" s="337" t="s">
        <v>767</v>
      </c>
      <c r="J1016" s="337" t="s">
        <v>765</v>
      </c>
      <c r="K1016" s="337"/>
      <c r="L1016" s="337"/>
      <c r="M1016" s="337" t="s">
        <v>824</v>
      </c>
      <c r="N1016" s="337" t="s">
        <v>761</v>
      </c>
      <c r="O1016" s="337" t="e">
        <v>#N/A</v>
      </c>
      <c r="P1016" s="337"/>
      <c r="Q1016" s="337" t="s">
        <v>846</v>
      </c>
      <c r="R1016" s="343">
        <v>0</v>
      </c>
    </row>
    <row r="1017" spans="1:18" x14ac:dyDescent="0.2">
      <c r="A1017" s="342" t="s">
        <v>730</v>
      </c>
      <c r="B1017" s="337" t="s">
        <v>789</v>
      </c>
      <c r="C1017" s="337" t="s">
        <v>796</v>
      </c>
      <c r="D1017" s="337" t="s">
        <v>739</v>
      </c>
      <c r="E1017" s="337" t="s">
        <v>790</v>
      </c>
      <c r="F1017" s="337" t="s">
        <v>771</v>
      </c>
      <c r="G1017" s="337" t="s">
        <v>852</v>
      </c>
      <c r="H1017" s="337" t="s">
        <v>853</v>
      </c>
      <c r="I1017" s="337" t="s">
        <v>767</v>
      </c>
      <c r="J1017" s="337" t="s">
        <v>765</v>
      </c>
      <c r="K1017" s="337"/>
      <c r="L1017" s="337"/>
      <c r="M1017" s="337" t="s">
        <v>824</v>
      </c>
      <c r="N1017" s="337" t="s">
        <v>761</v>
      </c>
      <c r="O1017" s="337" t="e">
        <v>#N/A</v>
      </c>
      <c r="P1017" s="337"/>
      <c r="Q1017" s="337" t="s">
        <v>859</v>
      </c>
      <c r="R1017" s="343">
        <v>-151565.48000000001</v>
      </c>
    </row>
    <row r="1018" spans="1:18" x14ac:dyDescent="0.2">
      <c r="A1018" s="342" t="s">
        <v>731</v>
      </c>
      <c r="B1018" s="337" t="s">
        <v>789</v>
      </c>
      <c r="C1018" s="337" t="s">
        <v>796</v>
      </c>
      <c r="D1018" s="337" t="s">
        <v>739</v>
      </c>
      <c r="E1018" s="337" t="s">
        <v>790</v>
      </c>
      <c r="F1018" s="337" t="s">
        <v>771</v>
      </c>
      <c r="G1018" s="337" t="s">
        <v>852</v>
      </c>
      <c r="H1018" s="337" t="s">
        <v>853</v>
      </c>
      <c r="I1018" s="337" t="s">
        <v>767</v>
      </c>
      <c r="J1018" s="337" t="s">
        <v>765</v>
      </c>
      <c r="K1018" s="337"/>
      <c r="L1018" s="337"/>
      <c r="M1018" s="337" t="s">
        <v>824</v>
      </c>
      <c r="N1018" s="337" t="s">
        <v>761</v>
      </c>
      <c r="O1018" s="337" t="e">
        <v>#N/A</v>
      </c>
      <c r="P1018" s="337"/>
      <c r="Q1018" s="337" t="s">
        <v>859</v>
      </c>
      <c r="R1018" s="343">
        <v>0</v>
      </c>
    </row>
    <row r="1019" spans="1:18" x14ac:dyDescent="0.2">
      <c r="A1019" s="342" t="s">
        <v>734</v>
      </c>
      <c r="B1019" s="337" t="s">
        <v>789</v>
      </c>
      <c r="C1019" s="337" t="s">
        <v>796</v>
      </c>
      <c r="D1019" s="337" t="s">
        <v>739</v>
      </c>
      <c r="E1019" s="337" t="s">
        <v>790</v>
      </c>
      <c r="F1019" s="337" t="s">
        <v>771</v>
      </c>
      <c r="G1019" s="337" t="s">
        <v>852</v>
      </c>
      <c r="H1019" s="337" t="s">
        <v>853</v>
      </c>
      <c r="I1019" s="337" t="s">
        <v>767</v>
      </c>
      <c r="J1019" s="337" t="s">
        <v>765</v>
      </c>
      <c r="K1019" s="337"/>
      <c r="L1019" s="337"/>
      <c r="M1019" s="337" t="s">
        <v>824</v>
      </c>
      <c r="N1019" s="337" t="s">
        <v>761</v>
      </c>
      <c r="O1019" s="337" t="e">
        <v>#N/A</v>
      </c>
      <c r="P1019" s="337"/>
      <c r="Q1019" s="337" t="s">
        <v>855</v>
      </c>
      <c r="R1019" s="343">
        <v>-127886.96</v>
      </c>
    </row>
    <row r="1020" spans="1:18" x14ac:dyDescent="0.2">
      <c r="A1020" s="342" t="s">
        <v>735</v>
      </c>
      <c r="B1020" s="337" t="s">
        <v>789</v>
      </c>
      <c r="C1020" s="337" t="s">
        <v>796</v>
      </c>
      <c r="D1020" s="337" t="s">
        <v>739</v>
      </c>
      <c r="E1020" s="337" t="s">
        <v>790</v>
      </c>
      <c r="F1020" s="337" t="s">
        <v>771</v>
      </c>
      <c r="G1020" s="337" t="s">
        <v>852</v>
      </c>
      <c r="H1020" s="337" t="s">
        <v>853</v>
      </c>
      <c r="I1020" s="337" t="s">
        <v>767</v>
      </c>
      <c r="J1020" s="337" t="s">
        <v>765</v>
      </c>
      <c r="K1020" s="337"/>
      <c r="L1020" s="337"/>
      <c r="M1020" s="337" t="s">
        <v>824</v>
      </c>
      <c r="N1020" s="337" t="s">
        <v>761</v>
      </c>
      <c r="O1020" s="337" t="e">
        <v>#N/A</v>
      </c>
      <c r="P1020" s="337"/>
      <c r="Q1020" s="337" t="s">
        <v>855</v>
      </c>
      <c r="R1020" s="343">
        <v>0</v>
      </c>
    </row>
    <row r="1021" spans="1:18" x14ac:dyDescent="0.2">
      <c r="A1021" s="342" t="s">
        <v>737</v>
      </c>
      <c r="B1021" s="337" t="s">
        <v>789</v>
      </c>
      <c r="C1021" s="337" t="s">
        <v>796</v>
      </c>
      <c r="D1021" s="337" t="s">
        <v>739</v>
      </c>
      <c r="E1021" s="337" t="s">
        <v>790</v>
      </c>
      <c r="F1021" s="337" t="s">
        <v>771</v>
      </c>
      <c r="G1021" s="337" t="s">
        <v>852</v>
      </c>
      <c r="H1021" s="337" t="s">
        <v>853</v>
      </c>
      <c r="I1021" s="337" t="s">
        <v>767</v>
      </c>
      <c r="J1021" s="337" t="s">
        <v>765</v>
      </c>
      <c r="K1021" s="337"/>
      <c r="L1021" s="337"/>
      <c r="M1021" s="337" t="s">
        <v>824</v>
      </c>
      <c r="N1021" s="337" t="s">
        <v>761</v>
      </c>
      <c r="O1021" s="337" t="e">
        <v>#N/A</v>
      </c>
      <c r="P1021" s="337"/>
      <c r="Q1021" s="337" t="s">
        <v>855</v>
      </c>
      <c r="R1021" s="343">
        <v>-17884.919999999998</v>
      </c>
    </row>
    <row r="1022" spans="1:18" x14ac:dyDescent="0.2">
      <c r="A1022" s="342" t="s">
        <v>738</v>
      </c>
      <c r="B1022" s="337" t="s">
        <v>789</v>
      </c>
      <c r="C1022" s="337" t="s">
        <v>796</v>
      </c>
      <c r="D1022" s="337" t="s">
        <v>739</v>
      </c>
      <c r="E1022" s="337" t="s">
        <v>790</v>
      </c>
      <c r="F1022" s="337" t="s">
        <v>771</v>
      </c>
      <c r="G1022" s="337" t="s">
        <v>852</v>
      </c>
      <c r="H1022" s="337" t="s">
        <v>853</v>
      </c>
      <c r="I1022" s="337" t="s">
        <v>767</v>
      </c>
      <c r="J1022" s="337" t="s">
        <v>765</v>
      </c>
      <c r="K1022" s="337"/>
      <c r="L1022" s="337"/>
      <c r="M1022" s="337" t="s">
        <v>824</v>
      </c>
      <c r="N1022" s="337" t="s">
        <v>761</v>
      </c>
      <c r="O1022" s="337" t="e">
        <v>#N/A</v>
      </c>
      <c r="P1022" s="337"/>
      <c r="Q1022" s="337" t="s">
        <v>855</v>
      </c>
      <c r="R1022" s="343">
        <v>-27489.39</v>
      </c>
    </row>
    <row r="1023" spans="1:18" x14ac:dyDescent="0.2">
      <c r="A1023" s="342" t="s">
        <v>727</v>
      </c>
      <c r="B1023" s="337" t="s">
        <v>789</v>
      </c>
      <c r="C1023" s="337" t="s">
        <v>796</v>
      </c>
      <c r="D1023" s="337" t="s">
        <v>739</v>
      </c>
      <c r="E1023" s="337" t="s">
        <v>790</v>
      </c>
      <c r="F1023" s="337" t="s">
        <v>771</v>
      </c>
      <c r="G1023" s="337" t="s">
        <v>852</v>
      </c>
      <c r="H1023" s="337" t="s">
        <v>853</v>
      </c>
      <c r="I1023" s="337" t="s">
        <v>767</v>
      </c>
      <c r="J1023" s="337" t="s">
        <v>765</v>
      </c>
      <c r="K1023" s="337"/>
      <c r="L1023" s="337"/>
      <c r="M1023" s="337" t="s">
        <v>824</v>
      </c>
      <c r="N1023" s="337" t="s">
        <v>761</v>
      </c>
      <c r="O1023" s="337" t="e">
        <v>#N/A</v>
      </c>
      <c r="P1023" s="337"/>
      <c r="Q1023" s="337" t="s">
        <v>855</v>
      </c>
      <c r="R1023" s="343">
        <v>-32633.46</v>
      </c>
    </row>
    <row r="1024" spans="1:18" x14ac:dyDescent="0.2">
      <c r="A1024" s="342" t="s">
        <v>728</v>
      </c>
      <c r="B1024" s="337" t="s">
        <v>789</v>
      </c>
      <c r="C1024" s="337" t="s">
        <v>796</v>
      </c>
      <c r="D1024" s="337" t="s">
        <v>739</v>
      </c>
      <c r="E1024" s="337" t="s">
        <v>790</v>
      </c>
      <c r="F1024" s="337" t="s">
        <v>771</v>
      </c>
      <c r="G1024" s="337" t="s">
        <v>852</v>
      </c>
      <c r="H1024" s="337" t="s">
        <v>853</v>
      </c>
      <c r="I1024" s="337" t="s">
        <v>767</v>
      </c>
      <c r="J1024" s="337" t="s">
        <v>765</v>
      </c>
      <c r="K1024" s="337"/>
      <c r="L1024" s="337"/>
      <c r="M1024" s="337" t="s">
        <v>825</v>
      </c>
      <c r="N1024" s="337" t="s">
        <v>781</v>
      </c>
      <c r="O1024" s="337" t="e">
        <v>#N/A</v>
      </c>
      <c r="P1024" s="337"/>
      <c r="Q1024" s="337" t="s">
        <v>847</v>
      </c>
      <c r="R1024" s="343">
        <v>-3741.07</v>
      </c>
    </row>
    <row r="1025" spans="1:18" x14ac:dyDescent="0.2">
      <c r="A1025" s="342" t="s">
        <v>730</v>
      </c>
      <c r="B1025" s="337" t="s">
        <v>789</v>
      </c>
      <c r="C1025" s="337" t="s">
        <v>796</v>
      </c>
      <c r="D1025" s="337" t="s">
        <v>739</v>
      </c>
      <c r="E1025" s="337" t="s">
        <v>790</v>
      </c>
      <c r="F1025" s="337" t="s">
        <v>771</v>
      </c>
      <c r="G1025" s="337" t="s">
        <v>852</v>
      </c>
      <c r="H1025" s="337" t="s">
        <v>853</v>
      </c>
      <c r="I1025" s="337" t="s">
        <v>767</v>
      </c>
      <c r="J1025" s="337" t="s">
        <v>765</v>
      </c>
      <c r="K1025" s="337"/>
      <c r="L1025" s="337"/>
      <c r="M1025" s="337" t="s">
        <v>825</v>
      </c>
      <c r="N1025" s="337" t="s">
        <v>781</v>
      </c>
      <c r="O1025" s="337" t="e">
        <v>#N/A</v>
      </c>
      <c r="P1025" s="337"/>
      <c r="Q1025" s="337" t="s">
        <v>847</v>
      </c>
      <c r="R1025" s="343">
        <v>3741.07</v>
      </c>
    </row>
    <row r="1026" spans="1:18" x14ac:dyDescent="0.2">
      <c r="A1026" s="342" t="s">
        <v>728</v>
      </c>
      <c r="B1026" s="337" t="s">
        <v>789</v>
      </c>
      <c r="C1026" s="337" t="s">
        <v>796</v>
      </c>
      <c r="D1026" s="337" t="s">
        <v>739</v>
      </c>
      <c r="E1026" s="337" t="s">
        <v>790</v>
      </c>
      <c r="F1026" s="337" t="s">
        <v>771</v>
      </c>
      <c r="G1026" s="337" t="s">
        <v>852</v>
      </c>
      <c r="H1026" s="337" t="s">
        <v>853</v>
      </c>
      <c r="I1026" s="337" t="s">
        <v>767</v>
      </c>
      <c r="J1026" s="337" t="s">
        <v>765</v>
      </c>
      <c r="K1026" s="337"/>
      <c r="L1026" s="337"/>
      <c r="M1026" s="337" t="s">
        <v>825</v>
      </c>
      <c r="N1026" s="337" t="s">
        <v>781</v>
      </c>
      <c r="O1026" s="337" t="e">
        <v>#N/A</v>
      </c>
      <c r="P1026" s="337"/>
      <c r="Q1026" s="337" t="s">
        <v>839</v>
      </c>
      <c r="R1026" s="343">
        <v>-1241.02</v>
      </c>
    </row>
    <row r="1027" spans="1:18" x14ac:dyDescent="0.2">
      <c r="A1027" s="342" t="s">
        <v>730</v>
      </c>
      <c r="B1027" s="337" t="s">
        <v>789</v>
      </c>
      <c r="C1027" s="337" t="s">
        <v>796</v>
      </c>
      <c r="D1027" s="337" t="s">
        <v>739</v>
      </c>
      <c r="E1027" s="337" t="s">
        <v>790</v>
      </c>
      <c r="F1027" s="337" t="s">
        <v>771</v>
      </c>
      <c r="G1027" s="337" t="s">
        <v>852</v>
      </c>
      <c r="H1027" s="337" t="s">
        <v>853</v>
      </c>
      <c r="I1027" s="337" t="s">
        <v>767</v>
      </c>
      <c r="J1027" s="337" t="s">
        <v>765</v>
      </c>
      <c r="K1027" s="337"/>
      <c r="L1027" s="337"/>
      <c r="M1027" s="337" t="s">
        <v>825</v>
      </c>
      <c r="N1027" s="337" t="s">
        <v>781</v>
      </c>
      <c r="O1027" s="337" t="e">
        <v>#N/A</v>
      </c>
      <c r="P1027" s="337"/>
      <c r="Q1027" s="337" t="s">
        <v>839</v>
      </c>
      <c r="R1027" s="343">
        <v>-800.41</v>
      </c>
    </row>
    <row r="1028" spans="1:18" x14ac:dyDescent="0.2">
      <c r="A1028" s="342" t="s">
        <v>731</v>
      </c>
      <c r="B1028" s="337" t="s">
        <v>789</v>
      </c>
      <c r="C1028" s="337" t="s">
        <v>796</v>
      </c>
      <c r="D1028" s="337" t="s">
        <v>739</v>
      </c>
      <c r="E1028" s="337" t="s">
        <v>790</v>
      </c>
      <c r="F1028" s="337" t="s">
        <v>771</v>
      </c>
      <c r="G1028" s="337" t="s">
        <v>852</v>
      </c>
      <c r="H1028" s="337" t="s">
        <v>853</v>
      </c>
      <c r="I1028" s="337" t="s">
        <v>767</v>
      </c>
      <c r="J1028" s="337" t="s">
        <v>765</v>
      </c>
      <c r="K1028" s="337"/>
      <c r="L1028" s="337"/>
      <c r="M1028" s="337" t="s">
        <v>825</v>
      </c>
      <c r="N1028" s="337" t="s">
        <v>781</v>
      </c>
      <c r="O1028" s="337" t="e">
        <v>#N/A</v>
      </c>
      <c r="P1028" s="337"/>
      <c r="Q1028" s="337" t="s">
        <v>839</v>
      </c>
      <c r="R1028" s="343">
        <v>157.08000000000001</v>
      </c>
    </row>
    <row r="1029" spans="1:18" x14ac:dyDescent="0.2">
      <c r="A1029" s="342" t="s">
        <v>732</v>
      </c>
      <c r="B1029" s="337" t="s">
        <v>789</v>
      </c>
      <c r="C1029" s="337" t="s">
        <v>796</v>
      </c>
      <c r="D1029" s="337" t="s">
        <v>739</v>
      </c>
      <c r="E1029" s="337" t="s">
        <v>790</v>
      </c>
      <c r="F1029" s="337" t="s">
        <v>771</v>
      </c>
      <c r="G1029" s="337" t="s">
        <v>852</v>
      </c>
      <c r="H1029" s="337" t="s">
        <v>853</v>
      </c>
      <c r="I1029" s="337" t="s">
        <v>767</v>
      </c>
      <c r="J1029" s="337" t="s">
        <v>765</v>
      </c>
      <c r="K1029" s="337"/>
      <c r="L1029" s="337"/>
      <c r="M1029" s="337" t="s">
        <v>825</v>
      </c>
      <c r="N1029" s="337" t="s">
        <v>781</v>
      </c>
      <c r="O1029" s="337" t="e">
        <v>#N/A</v>
      </c>
      <c r="P1029" s="337"/>
      <c r="Q1029" s="337" t="s">
        <v>839</v>
      </c>
      <c r="R1029" s="343">
        <v>-1090.06</v>
      </c>
    </row>
    <row r="1030" spans="1:18" x14ac:dyDescent="0.2">
      <c r="A1030" s="342" t="s">
        <v>726</v>
      </c>
      <c r="B1030" s="337" t="s">
        <v>789</v>
      </c>
      <c r="C1030" s="337" t="s">
        <v>796</v>
      </c>
      <c r="D1030" s="337" t="s">
        <v>739</v>
      </c>
      <c r="E1030" s="337" t="s">
        <v>790</v>
      </c>
      <c r="F1030" s="337" t="s">
        <v>771</v>
      </c>
      <c r="G1030" s="337" t="s">
        <v>852</v>
      </c>
      <c r="H1030" s="337" t="s">
        <v>853</v>
      </c>
      <c r="I1030" s="337" t="s">
        <v>767</v>
      </c>
      <c r="J1030" s="337" t="s">
        <v>765</v>
      </c>
      <c r="K1030" s="337"/>
      <c r="L1030" s="337"/>
      <c r="M1030" s="337" t="s">
        <v>825</v>
      </c>
      <c r="N1030" s="337" t="s">
        <v>781</v>
      </c>
      <c r="O1030" s="337" t="e">
        <v>#N/A</v>
      </c>
      <c r="P1030" s="337"/>
      <c r="Q1030" s="337" t="s">
        <v>839</v>
      </c>
      <c r="R1030" s="343">
        <v>-1289.23</v>
      </c>
    </row>
    <row r="1031" spans="1:18" x14ac:dyDescent="0.2">
      <c r="A1031" s="342" t="s">
        <v>733</v>
      </c>
      <c r="B1031" s="337" t="s">
        <v>789</v>
      </c>
      <c r="C1031" s="337" t="s">
        <v>796</v>
      </c>
      <c r="D1031" s="337" t="s">
        <v>739</v>
      </c>
      <c r="E1031" s="337" t="s">
        <v>790</v>
      </c>
      <c r="F1031" s="337" t="s">
        <v>771</v>
      </c>
      <c r="G1031" s="337" t="s">
        <v>852</v>
      </c>
      <c r="H1031" s="337" t="s">
        <v>853</v>
      </c>
      <c r="I1031" s="337" t="s">
        <v>767</v>
      </c>
      <c r="J1031" s="337" t="s">
        <v>765</v>
      </c>
      <c r="K1031" s="337"/>
      <c r="L1031" s="337"/>
      <c r="M1031" s="337" t="s">
        <v>825</v>
      </c>
      <c r="N1031" s="337" t="s">
        <v>781</v>
      </c>
      <c r="O1031" s="337" t="e">
        <v>#N/A</v>
      </c>
      <c r="P1031" s="337"/>
      <c r="Q1031" s="337" t="s">
        <v>839</v>
      </c>
      <c r="R1031" s="343">
        <v>572.35</v>
      </c>
    </row>
    <row r="1032" spans="1:18" x14ac:dyDescent="0.2">
      <c r="A1032" s="342" t="s">
        <v>734</v>
      </c>
      <c r="B1032" s="337" t="s">
        <v>789</v>
      </c>
      <c r="C1032" s="337" t="s">
        <v>796</v>
      </c>
      <c r="D1032" s="337" t="s">
        <v>739</v>
      </c>
      <c r="E1032" s="337" t="s">
        <v>790</v>
      </c>
      <c r="F1032" s="337" t="s">
        <v>771</v>
      </c>
      <c r="G1032" s="337" t="s">
        <v>852</v>
      </c>
      <c r="H1032" s="337" t="s">
        <v>853</v>
      </c>
      <c r="I1032" s="337" t="s">
        <v>767</v>
      </c>
      <c r="J1032" s="337" t="s">
        <v>765</v>
      </c>
      <c r="K1032" s="337"/>
      <c r="L1032" s="337"/>
      <c r="M1032" s="337" t="s">
        <v>825</v>
      </c>
      <c r="N1032" s="337" t="s">
        <v>781</v>
      </c>
      <c r="O1032" s="337" t="e">
        <v>#N/A</v>
      </c>
      <c r="P1032" s="337"/>
      <c r="Q1032" s="337" t="s">
        <v>839</v>
      </c>
      <c r="R1032" s="343">
        <v>-622.54</v>
      </c>
    </row>
    <row r="1033" spans="1:18" x14ac:dyDescent="0.2">
      <c r="A1033" s="342" t="s">
        <v>735</v>
      </c>
      <c r="B1033" s="337" t="s">
        <v>789</v>
      </c>
      <c r="C1033" s="337" t="s">
        <v>796</v>
      </c>
      <c r="D1033" s="337" t="s">
        <v>739</v>
      </c>
      <c r="E1033" s="337" t="s">
        <v>790</v>
      </c>
      <c r="F1033" s="337" t="s">
        <v>771</v>
      </c>
      <c r="G1033" s="337" t="s">
        <v>852</v>
      </c>
      <c r="H1033" s="337" t="s">
        <v>853</v>
      </c>
      <c r="I1033" s="337" t="s">
        <v>767</v>
      </c>
      <c r="J1033" s="337" t="s">
        <v>765</v>
      </c>
      <c r="K1033" s="337"/>
      <c r="L1033" s="337"/>
      <c r="M1033" s="337" t="s">
        <v>825</v>
      </c>
      <c r="N1033" s="337" t="s">
        <v>781</v>
      </c>
      <c r="O1033" s="337" t="e">
        <v>#N/A</v>
      </c>
      <c r="P1033" s="337"/>
      <c r="Q1033" s="337" t="s">
        <v>839</v>
      </c>
      <c r="R1033" s="343">
        <v>-7249.94</v>
      </c>
    </row>
    <row r="1034" spans="1:18" x14ac:dyDescent="0.2">
      <c r="A1034" s="342" t="s">
        <v>736</v>
      </c>
      <c r="B1034" s="337" t="s">
        <v>789</v>
      </c>
      <c r="C1034" s="337" t="s">
        <v>796</v>
      </c>
      <c r="D1034" s="337" t="s">
        <v>739</v>
      </c>
      <c r="E1034" s="337" t="s">
        <v>790</v>
      </c>
      <c r="F1034" s="337" t="s">
        <v>771</v>
      </c>
      <c r="G1034" s="337" t="s">
        <v>852</v>
      </c>
      <c r="H1034" s="337" t="s">
        <v>853</v>
      </c>
      <c r="I1034" s="337" t="s">
        <v>767</v>
      </c>
      <c r="J1034" s="337" t="s">
        <v>765</v>
      </c>
      <c r="K1034" s="337"/>
      <c r="L1034" s="337"/>
      <c r="M1034" s="337" t="s">
        <v>825</v>
      </c>
      <c r="N1034" s="337" t="s">
        <v>781</v>
      </c>
      <c r="O1034" s="337" t="e">
        <v>#N/A</v>
      </c>
      <c r="P1034" s="337"/>
      <c r="Q1034" s="337" t="s">
        <v>839</v>
      </c>
      <c r="R1034" s="343">
        <v>33274.5</v>
      </c>
    </row>
    <row r="1035" spans="1:18" x14ac:dyDescent="0.2">
      <c r="A1035" s="342" t="s">
        <v>737</v>
      </c>
      <c r="B1035" s="337" t="s">
        <v>789</v>
      </c>
      <c r="C1035" s="337" t="s">
        <v>796</v>
      </c>
      <c r="D1035" s="337" t="s">
        <v>739</v>
      </c>
      <c r="E1035" s="337" t="s">
        <v>790</v>
      </c>
      <c r="F1035" s="337" t="s">
        <v>771</v>
      </c>
      <c r="G1035" s="337" t="s">
        <v>852</v>
      </c>
      <c r="H1035" s="337" t="s">
        <v>853</v>
      </c>
      <c r="I1035" s="337" t="s">
        <v>767</v>
      </c>
      <c r="J1035" s="337" t="s">
        <v>765</v>
      </c>
      <c r="K1035" s="337"/>
      <c r="L1035" s="337"/>
      <c r="M1035" s="337" t="s">
        <v>825</v>
      </c>
      <c r="N1035" s="337" t="s">
        <v>781</v>
      </c>
      <c r="O1035" s="337" t="e">
        <v>#N/A</v>
      </c>
      <c r="P1035" s="337"/>
      <c r="Q1035" s="337" t="s">
        <v>839</v>
      </c>
      <c r="R1035" s="343">
        <v>-333.29</v>
      </c>
    </row>
    <row r="1036" spans="1:18" x14ac:dyDescent="0.2">
      <c r="A1036" s="342" t="s">
        <v>738</v>
      </c>
      <c r="B1036" s="337" t="s">
        <v>789</v>
      </c>
      <c r="C1036" s="337" t="s">
        <v>796</v>
      </c>
      <c r="D1036" s="337" t="s">
        <v>739</v>
      </c>
      <c r="E1036" s="337" t="s">
        <v>790</v>
      </c>
      <c r="F1036" s="337" t="s">
        <v>771</v>
      </c>
      <c r="G1036" s="337" t="s">
        <v>852</v>
      </c>
      <c r="H1036" s="337" t="s">
        <v>853</v>
      </c>
      <c r="I1036" s="337" t="s">
        <v>767</v>
      </c>
      <c r="J1036" s="337" t="s">
        <v>765</v>
      </c>
      <c r="K1036" s="337"/>
      <c r="L1036" s="337"/>
      <c r="M1036" s="337" t="s">
        <v>825</v>
      </c>
      <c r="N1036" s="337" t="s">
        <v>781</v>
      </c>
      <c r="O1036" s="337" t="e">
        <v>#N/A</v>
      </c>
      <c r="P1036" s="337"/>
      <c r="Q1036" s="337" t="s">
        <v>839</v>
      </c>
      <c r="R1036" s="343">
        <v>-150.66999999999999</v>
      </c>
    </row>
    <row r="1037" spans="1:18" x14ac:dyDescent="0.2">
      <c r="A1037" s="342" t="s">
        <v>727</v>
      </c>
      <c r="B1037" s="337" t="s">
        <v>789</v>
      </c>
      <c r="C1037" s="337" t="s">
        <v>796</v>
      </c>
      <c r="D1037" s="337" t="s">
        <v>739</v>
      </c>
      <c r="E1037" s="337" t="s">
        <v>790</v>
      </c>
      <c r="F1037" s="337" t="s">
        <v>771</v>
      </c>
      <c r="G1037" s="337" t="s">
        <v>852</v>
      </c>
      <c r="H1037" s="337" t="s">
        <v>853</v>
      </c>
      <c r="I1037" s="337" t="s">
        <v>767</v>
      </c>
      <c r="J1037" s="337" t="s">
        <v>765</v>
      </c>
      <c r="K1037" s="337"/>
      <c r="L1037" s="337"/>
      <c r="M1037" s="337" t="s">
        <v>825</v>
      </c>
      <c r="N1037" s="337" t="s">
        <v>781</v>
      </c>
      <c r="O1037" s="337" t="e">
        <v>#N/A</v>
      </c>
      <c r="P1037" s="337"/>
      <c r="Q1037" s="337" t="s">
        <v>839</v>
      </c>
      <c r="R1037" s="343">
        <v>-1813.12</v>
      </c>
    </row>
    <row r="1038" spans="1:18" x14ac:dyDescent="0.2">
      <c r="A1038" s="342" t="s">
        <v>732</v>
      </c>
      <c r="B1038" s="337" t="s">
        <v>789</v>
      </c>
      <c r="C1038" s="337" t="s">
        <v>796</v>
      </c>
      <c r="D1038" s="337" t="s">
        <v>739</v>
      </c>
      <c r="E1038" s="337" t="s">
        <v>790</v>
      </c>
      <c r="F1038" s="337" t="s">
        <v>771</v>
      </c>
      <c r="G1038" s="337" t="s">
        <v>852</v>
      </c>
      <c r="H1038" s="337" t="s">
        <v>853</v>
      </c>
      <c r="I1038" s="337" t="s">
        <v>767</v>
      </c>
      <c r="J1038" s="337" t="s">
        <v>765</v>
      </c>
      <c r="K1038" s="337"/>
      <c r="L1038" s="337"/>
      <c r="M1038" s="337" t="s">
        <v>825</v>
      </c>
      <c r="N1038" s="337" t="s">
        <v>781</v>
      </c>
      <c r="O1038" s="337" t="e">
        <v>#N/A</v>
      </c>
      <c r="P1038" s="337"/>
      <c r="Q1038" s="337" t="s">
        <v>840</v>
      </c>
      <c r="R1038" s="343">
        <v>-824.98</v>
      </c>
    </row>
    <row r="1039" spans="1:18" x14ac:dyDescent="0.2">
      <c r="A1039" s="342" t="s">
        <v>726</v>
      </c>
      <c r="B1039" s="337" t="s">
        <v>789</v>
      </c>
      <c r="C1039" s="337" t="s">
        <v>796</v>
      </c>
      <c r="D1039" s="337" t="s">
        <v>739</v>
      </c>
      <c r="E1039" s="337" t="s">
        <v>790</v>
      </c>
      <c r="F1039" s="337" t="s">
        <v>771</v>
      </c>
      <c r="G1039" s="337" t="s">
        <v>852</v>
      </c>
      <c r="H1039" s="337" t="s">
        <v>853</v>
      </c>
      <c r="I1039" s="337" t="s">
        <v>767</v>
      </c>
      <c r="J1039" s="337" t="s">
        <v>765</v>
      </c>
      <c r="K1039" s="337"/>
      <c r="L1039" s="337"/>
      <c r="M1039" s="337" t="s">
        <v>825</v>
      </c>
      <c r="N1039" s="337" t="s">
        <v>781</v>
      </c>
      <c r="O1039" s="337" t="e">
        <v>#N/A</v>
      </c>
      <c r="P1039" s="337"/>
      <c r="Q1039" s="337" t="s">
        <v>840</v>
      </c>
      <c r="R1039" s="343">
        <v>-1186.68</v>
      </c>
    </row>
    <row r="1040" spans="1:18" x14ac:dyDescent="0.2">
      <c r="A1040" s="342" t="s">
        <v>733</v>
      </c>
      <c r="B1040" s="337" t="s">
        <v>789</v>
      </c>
      <c r="C1040" s="337" t="s">
        <v>796</v>
      </c>
      <c r="D1040" s="337" t="s">
        <v>739</v>
      </c>
      <c r="E1040" s="337" t="s">
        <v>790</v>
      </c>
      <c r="F1040" s="337" t="s">
        <v>771</v>
      </c>
      <c r="G1040" s="337" t="s">
        <v>852</v>
      </c>
      <c r="H1040" s="337" t="s">
        <v>853</v>
      </c>
      <c r="I1040" s="337" t="s">
        <v>767</v>
      </c>
      <c r="J1040" s="337" t="s">
        <v>765</v>
      </c>
      <c r="K1040" s="337"/>
      <c r="L1040" s="337"/>
      <c r="M1040" s="337" t="s">
        <v>825</v>
      </c>
      <c r="N1040" s="337" t="s">
        <v>781</v>
      </c>
      <c r="O1040" s="337" t="e">
        <v>#N/A</v>
      </c>
      <c r="P1040" s="337"/>
      <c r="Q1040" s="337" t="s">
        <v>840</v>
      </c>
      <c r="R1040" s="343">
        <v>-5948.06</v>
      </c>
    </row>
    <row r="1041" spans="1:18" x14ac:dyDescent="0.2">
      <c r="A1041" s="342" t="s">
        <v>734</v>
      </c>
      <c r="B1041" s="337" t="s">
        <v>789</v>
      </c>
      <c r="C1041" s="337" t="s">
        <v>796</v>
      </c>
      <c r="D1041" s="337" t="s">
        <v>739</v>
      </c>
      <c r="E1041" s="337" t="s">
        <v>790</v>
      </c>
      <c r="F1041" s="337" t="s">
        <v>771</v>
      </c>
      <c r="G1041" s="337" t="s">
        <v>852</v>
      </c>
      <c r="H1041" s="337" t="s">
        <v>853</v>
      </c>
      <c r="I1041" s="337" t="s">
        <v>767</v>
      </c>
      <c r="J1041" s="337" t="s">
        <v>765</v>
      </c>
      <c r="K1041" s="337"/>
      <c r="L1041" s="337"/>
      <c r="M1041" s="337" t="s">
        <v>825</v>
      </c>
      <c r="N1041" s="337" t="s">
        <v>781</v>
      </c>
      <c r="O1041" s="337" t="e">
        <v>#N/A</v>
      </c>
      <c r="P1041" s="337"/>
      <c r="Q1041" s="337" t="s">
        <v>840</v>
      </c>
      <c r="R1041" s="343">
        <v>-19319.29</v>
      </c>
    </row>
    <row r="1042" spans="1:18" x14ac:dyDescent="0.2">
      <c r="A1042" s="342" t="s">
        <v>735</v>
      </c>
      <c r="B1042" s="337" t="s">
        <v>789</v>
      </c>
      <c r="C1042" s="337" t="s">
        <v>796</v>
      </c>
      <c r="D1042" s="337" t="s">
        <v>739</v>
      </c>
      <c r="E1042" s="337" t="s">
        <v>790</v>
      </c>
      <c r="F1042" s="337" t="s">
        <v>771</v>
      </c>
      <c r="G1042" s="337" t="s">
        <v>852</v>
      </c>
      <c r="H1042" s="337" t="s">
        <v>853</v>
      </c>
      <c r="I1042" s="337" t="s">
        <v>767</v>
      </c>
      <c r="J1042" s="337" t="s">
        <v>765</v>
      </c>
      <c r="K1042" s="337"/>
      <c r="L1042" s="337"/>
      <c r="M1042" s="337" t="s">
        <v>825</v>
      </c>
      <c r="N1042" s="337" t="s">
        <v>781</v>
      </c>
      <c r="O1042" s="337" t="e">
        <v>#N/A</v>
      </c>
      <c r="P1042" s="337"/>
      <c r="Q1042" s="337" t="s">
        <v>840</v>
      </c>
      <c r="R1042" s="343">
        <v>16675.55</v>
      </c>
    </row>
    <row r="1043" spans="1:18" x14ac:dyDescent="0.2">
      <c r="A1043" s="342" t="s">
        <v>736</v>
      </c>
      <c r="B1043" s="337" t="s">
        <v>789</v>
      </c>
      <c r="C1043" s="337" t="s">
        <v>796</v>
      </c>
      <c r="D1043" s="337" t="s">
        <v>739</v>
      </c>
      <c r="E1043" s="337" t="s">
        <v>790</v>
      </c>
      <c r="F1043" s="337" t="s">
        <v>771</v>
      </c>
      <c r="G1043" s="337" t="s">
        <v>852</v>
      </c>
      <c r="H1043" s="337" t="s">
        <v>853</v>
      </c>
      <c r="I1043" s="337" t="s">
        <v>767</v>
      </c>
      <c r="J1043" s="337" t="s">
        <v>765</v>
      </c>
      <c r="K1043" s="337"/>
      <c r="L1043" s="337"/>
      <c r="M1043" s="337" t="s">
        <v>825</v>
      </c>
      <c r="N1043" s="337" t="s">
        <v>781</v>
      </c>
      <c r="O1043" s="337" t="e">
        <v>#N/A</v>
      </c>
      <c r="P1043" s="337"/>
      <c r="Q1043" s="337" t="s">
        <v>840</v>
      </c>
      <c r="R1043" s="343">
        <v>-5071.5</v>
      </c>
    </row>
    <row r="1044" spans="1:18" x14ac:dyDescent="0.2">
      <c r="A1044" s="342" t="s">
        <v>737</v>
      </c>
      <c r="B1044" s="337" t="s">
        <v>789</v>
      </c>
      <c r="C1044" s="337" t="s">
        <v>796</v>
      </c>
      <c r="D1044" s="337" t="s">
        <v>739</v>
      </c>
      <c r="E1044" s="337" t="s">
        <v>790</v>
      </c>
      <c r="F1044" s="337" t="s">
        <v>771</v>
      </c>
      <c r="G1044" s="337" t="s">
        <v>852</v>
      </c>
      <c r="H1044" s="337" t="s">
        <v>853</v>
      </c>
      <c r="I1044" s="337" t="s">
        <v>767</v>
      </c>
      <c r="J1044" s="337" t="s">
        <v>765</v>
      </c>
      <c r="K1044" s="337"/>
      <c r="L1044" s="337"/>
      <c r="M1044" s="337" t="s">
        <v>825</v>
      </c>
      <c r="N1044" s="337" t="s">
        <v>781</v>
      </c>
      <c r="O1044" s="337" t="e">
        <v>#N/A</v>
      </c>
      <c r="P1044" s="337"/>
      <c r="Q1044" s="337" t="s">
        <v>840</v>
      </c>
      <c r="R1044" s="343">
        <v>-230.8</v>
      </c>
    </row>
    <row r="1045" spans="1:18" x14ac:dyDescent="0.2">
      <c r="A1045" s="342" t="s">
        <v>738</v>
      </c>
      <c r="B1045" s="337" t="s">
        <v>789</v>
      </c>
      <c r="C1045" s="337" t="s">
        <v>796</v>
      </c>
      <c r="D1045" s="337" t="s">
        <v>739</v>
      </c>
      <c r="E1045" s="337" t="s">
        <v>790</v>
      </c>
      <c r="F1045" s="337" t="s">
        <v>771</v>
      </c>
      <c r="G1045" s="337" t="s">
        <v>852</v>
      </c>
      <c r="H1045" s="337" t="s">
        <v>853</v>
      </c>
      <c r="I1045" s="337" t="s">
        <v>767</v>
      </c>
      <c r="J1045" s="337" t="s">
        <v>765</v>
      </c>
      <c r="K1045" s="337"/>
      <c r="L1045" s="337"/>
      <c r="M1045" s="337" t="s">
        <v>825</v>
      </c>
      <c r="N1045" s="337" t="s">
        <v>781</v>
      </c>
      <c r="O1045" s="337" t="e">
        <v>#N/A</v>
      </c>
      <c r="P1045" s="337"/>
      <c r="Q1045" s="337" t="s">
        <v>840</v>
      </c>
      <c r="R1045" s="343">
        <v>-8.56</v>
      </c>
    </row>
    <row r="1046" spans="1:18" x14ac:dyDescent="0.2">
      <c r="A1046" s="342" t="s">
        <v>727</v>
      </c>
      <c r="B1046" s="337" t="s">
        <v>789</v>
      </c>
      <c r="C1046" s="337" t="s">
        <v>796</v>
      </c>
      <c r="D1046" s="337" t="s">
        <v>739</v>
      </c>
      <c r="E1046" s="337" t="s">
        <v>790</v>
      </c>
      <c r="F1046" s="337" t="s">
        <v>771</v>
      </c>
      <c r="G1046" s="337" t="s">
        <v>852</v>
      </c>
      <c r="H1046" s="337" t="s">
        <v>853</v>
      </c>
      <c r="I1046" s="337" t="s">
        <v>767</v>
      </c>
      <c r="J1046" s="337" t="s">
        <v>765</v>
      </c>
      <c r="K1046" s="337"/>
      <c r="L1046" s="337"/>
      <c r="M1046" s="337" t="s">
        <v>825</v>
      </c>
      <c r="N1046" s="337" t="s">
        <v>781</v>
      </c>
      <c r="O1046" s="337" t="e">
        <v>#N/A</v>
      </c>
      <c r="P1046" s="337"/>
      <c r="Q1046" s="337" t="s">
        <v>840</v>
      </c>
      <c r="R1046" s="343">
        <v>-2255.23</v>
      </c>
    </row>
    <row r="1047" spans="1:18" x14ac:dyDescent="0.2">
      <c r="A1047" s="342" t="s">
        <v>728</v>
      </c>
      <c r="B1047" s="337" t="s">
        <v>789</v>
      </c>
      <c r="C1047" s="337" t="s">
        <v>796</v>
      </c>
      <c r="D1047" s="337" t="s">
        <v>739</v>
      </c>
      <c r="E1047" s="337" t="s">
        <v>790</v>
      </c>
      <c r="F1047" s="337" t="s">
        <v>771</v>
      </c>
      <c r="G1047" s="337" t="s">
        <v>852</v>
      </c>
      <c r="H1047" s="337" t="s">
        <v>853</v>
      </c>
      <c r="I1047" s="337" t="s">
        <v>767</v>
      </c>
      <c r="J1047" s="337" t="s">
        <v>765</v>
      </c>
      <c r="K1047" s="337"/>
      <c r="L1047" s="337"/>
      <c r="M1047" s="337" t="s">
        <v>825</v>
      </c>
      <c r="N1047" s="337" t="s">
        <v>781</v>
      </c>
      <c r="O1047" s="337" t="e">
        <v>#N/A</v>
      </c>
      <c r="P1047" s="337"/>
      <c r="Q1047" s="337" t="s">
        <v>845</v>
      </c>
      <c r="R1047" s="343">
        <v>-22610.74</v>
      </c>
    </row>
    <row r="1048" spans="1:18" x14ac:dyDescent="0.2">
      <c r="A1048" s="342" t="s">
        <v>730</v>
      </c>
      <c r="B1048" s="337" t="s">
        <v>789</v>
      </c>
      <c r="C1048" s="337" t="s">
        <v>796</v>
      </c>
      <c r="D1048" s="337" t="s">
        <v>739</v>
      </c>
      <c r="E1048" s="337" t="s">
        <v>790</v>
      </c>
      <c r="F1048" s="337" t="s">
        <v>771</v>
      </c>
      <c r="G1048" s="337" t="s">
        <v>852</v>
      </c>
      <c r="H1048" s="337" t="s">
        <v>853</v>
      </c>
      <c r="I1048" s="337" t="s">
        <v>767</v>
      </c>
      <c r="J1048" s="337" t="s">
        <v>765</v>
      </c>
      <c r="K1048" s="337"/>
      <c r="L1048" s="337"/>
      <c r="M1048" s="337" t="s">
        <v>825</v>
      </c>
      <c r="N1048" s="337" t="s">
        <v>781</v>
      </c>
      <c r="O1048" s="337" t="e">
        <v>#N/A</v>
      </c>
      <c r="P1048" s="337"/>
      <c r="Q1048" s="337" t="s">
        <v>845</v>
      </c>
      <c r="R1048" s="343">
        <v>-16700.25</v>
      </c>
    </row>
    <row r="1049" spans="1:18" x14ac:dyDescent="0.2">
      <c r="A1049" s="342" t="s">
        <v>731</v>
      </c>
      <c r="B1049" s="337" t="s">
        <v>789</v>
      </c>
      <c r="C1049" s="337" t="s">
        <v>796</v>
      </c>
      <c r="D1049" s="337" t="s">
        <v>739</v>
      </c>
      <c r="E1049" s="337" t="s">
        <v>790</v>
      </c>
      <c r="F1049" s="337" t="s">
        <v>771</v>
      </c>
      <c r="G1049" s="337" t="s">
        <v>852</v>
      </c>
      <c r="H1049" s="337" t="s">
        <v>853</v>
      </c>
      <c r="I1049" s="337" t="s">
        <v>767</v>
      </c>
      <c r="J1049" s="337" t="s">
        <v>765</v>
      </c>
      <c r="K1049" s="337"/>
      <c r="L1049" s="337"/>
      <c r="M1049" s="337" t="s">
        <v>825</v>
      </c>
      <c r="N1049" s="337" t="s">
        <v>781</v>
      </c>
      <c r="O1049" s="337" t="e">
        <v>#N/A</v>
      </c>
      <c r="P1049" s="337"/>
      <c r="Q1049" s="337" t="s">
        <v>845</v>
      </c>
      <c r="R1049" s="343">
        <v>-7638.8</v>
      </c>
    </row>
    <row r="1050" spans="1:18" x14ac:dyDescent="0.2">
      <c r="A1050" s="342" t="s">
        <v>732</v>
      </c>
      <c r="B1050" s="337" t="s">
        <v>789</v>
      </c>
      <c r="C1050" s="337" t="s">
        <v>796</v>
      </c>
      <c r="D1050" s="337" t="s">
        <v>739</v>
      </c>
      <c r="E1050" s="337" t="s">
        <v>790</v>
      </c>
      <c r="F1050" s="337" t="s">
        <v>771</v>
      </c>
      <c r="G1050" s="337" t="s">
        <v>852</v>
      </c>
      <c r="H1050" s="337" t="s">
        <v>853</v>
      </c>
      <c r="I1050" s="337" t="s">
        <v>767</v>
      </c>
      <c r="J1050" s="337" t="s">
        <v>765</v>
      </c>
      <c r="K1050" s="337"/>
      <c r="L1050" s="337"/>
      <c r="M1050" s="337" t="s">
        <v>825</v>
      </c>
      <c r="N1050" s="337" t="s">
        <v>781</v>
      </c>
      <c r="O1050" s="337" t="e">
        <v>#N/A</v>
      </c>
      <c r="P1050" s="337"/>
      <c r="Q1050" s="337" t="s">
        <v>845</v>
      </c>
      <c r="R1050" s="343">
        <v>-19435.05</v>
      </c>
    </row>
    <row r="1051" spans="1:18" x14ac:dyDescent="0.2">
      <c r="A1051" s="342" t="s">
        <v>726</v>
      </c>
      <c r="B1051" s="337" t="s">
        <v>789</v>
      </c>
      <c r="C1051" s="337" t="s">
        <v>796</v>
      </c>
      <c r="D1051" s="337" t="s">
        <v>739</v>
      </c>
      <c r="E1051" s="337" t="s">
        <v>790</v>
      </c>
      <c r="F1051" s="337" t="s">
        <v>771</v>
      </c>
      <c r="G1051" s="337" t="s">
        <v>852</v>
      </c>
      <c r="H1051" s="337" t="s">
        <v>853</v>
      </c>
      <c r="I1051" s="337" t="s">
        <v>767</v>
      </c>
      <c r="J1051" s="337" t="s">
        <v>765</v>
      </c>
      <c r="K1051" s="337"/>
      <c r="L1051" s="337"/>
      <c r="M1051" s="337" t="s">
        <v>825</v>
      </c>
      <c r="N1051" s="337" t="s">
        <v>781</v>
      </c>
      <c r="O1051" s="337" t="e">
        <v>#N/A</v>
      </c>
      <c r="P1051" s="337"/>
      <c r="Q1051" s="337" t="s">
        <v>845</v>
      </c>
      <c r="R1051" s="343">
        <v>-37800.910000000003</v>
      </c>
    </row>
    <row r="1052" spans="1:18" x14ac:dyDescent="0.2">
      <c r="A1052" s="342" t="s">
        <v>733</v>
      </c>
      <c r="B1052" s="337" t="s">
        <v>789</v>
      </c>
      <c r="C1052" s="337" t="s">
        <v>796</v>
      </c>
      <c r="D1052" s="337" t="s">
        <v>739</v>
      </c>
      <c r="E1052" s="337" t="s">
        <v>790</v>
      </c>
      <c r="F1052" s="337" t="s">
        <v>771</v>
      </c>
      <c r="G1052" s="337" t="s">
        <v>852</v>
      </c>
      <c r="H1052" s="337" t="s">
        <v>853</v>
      </c>
      <c r="I1052" s="337" t="s">
        <v>767</v>
      </c>
      <c r="J1052" s="337" t="s">
        <v>765</v>
      </c>
      <c r="K1052" s="337"/>
      <c r="L1052" s="337"/>
      <c r="M1052" s="337" t="s">
        <v>825</v>
      </c>
      <c r="N1052" s="337" t="s">
        <v>781</v>
      </c>
      <c r="O1052" s="337" t="e">
        <v>#N/A</v>
      </c>
      <c r="P1052" s="337"/>
      <c r="Q1052" s="337" t="s">
        <v>845</v>
      </c>
      <c r="R1052" s="343">
        <v>-6638.59</v>
      </c>
    </row>
    <row r="1053" spans="1:18" x14ac:dyDescent="0.2">
      <c r="A1053" s="342" t="s">
        <v>734</v>
      </c>
      <c r="B1053" s="337" t="s">
        <v>789</v>
      </c>
      <c r="C1053" s="337" t="s">
        <v>796</v>
      </c>
      <c r="D1053" s="337" t="s">
        <v>739</v>
      </c>
      <c r="E1053" s="337" t="s">
        <v>790</v>
      </c>
      <c r="F1053" s="337" t="s">
        <v>771</v>
      </c>
      <c r="G1053" s="337" t="s">
        <v>852</v>
      </c>
      <c r="H1053" s="337" t="s">
        <v>853</v>
      </c>
      <c r="I1053" s="337" t="s">
        <v>767</v>
      </c>
      <c r="J1053" s="337" t="s">
        <v>765</v>
      </c>
      <c r="K1053" s="337"/>
      <c r="L1053" s="337"/>
      <c r="M1053" s="337" t="s">
        <v>825</v>
      </c>
      <c r="N1053" s="337" t="s">
        <v>781</v>
      </c>
      <c r="O1053" s="337" t="e">
        <v>#N/A</v>
      </c>
      <c r="P1053" s="337"/>
      <c r="Q1053" s="337" t="s">
        <v>845</v>
      </c>
      <c r="R1053" s="343">
        <v>-22749.09</v>
      </c>
    </row>
    <row r="1054" spans="1:18" x14ac:dyDescent="0.2">
      <c r="A1054" s="342" t="s">
        <v>735</v>
      </c>
      <c r="B1054" s="337" t="s">
        <v>789</v>
      </c>
      <c r="C1054" s="337" t="s">
        <v>796</v>
      </c>
      <c r="D1054" s="337" t="s">
        <v>739</v>
      </c>
      <c r="E1054" s="337" t="s">
        <v>790</v>
      </c>
      <c r="F1054" s="337" t="s">
        <v>771</v>
      </c>
      <c r="G1054" s="337" t="s">
        <v>852</v>
      </c>
      <c r="H1054" s="337" t="s">
        <v>853</v>
      </c>
      <c r="I1054" s="337" t="s">
        <v>767</v>
      </c>
      <c r="J1054" s="337" t="s">
        <v>765</v>
      </c>
      <c r="K1054" s="337"/>
      <c r="L1054" s="337"/>
      <c r="M1054" s="337" t="s">
        <v>825</v>
      </c>
      <c r="N1054" s="337" t="s">
        <v>781</v>
      </c>
      <c r="O1054" s="337" t="e">
        <v>#N/A</v>
      </c>
      <c r="P1054" s="337"/>
      <c r="Q1054" s="337" t="s">
        <v>845</v>
      </c>
      <c r="R1054" s="343">
        <v>-6893.79</v>
      </c>
    </row>
    <row r="1055" spans="1:18" x14ac:dyDescent="0.2">
      <c r="A1055" s="342" t="s">
        <v>736</v>
      </c>
      <c r="B1055" s="337" t="s">
        <v>789</v>
      </c>
      <c r="C1055" s="337" t="s">
        <v>796</v>
      </c>
      <c r="D1055" s="337" t="s">
        <v>739</v>
      </c>
      <c r="E1055" s="337" t="s">
        <v>790</v>
      </c>
      <c r="F1055" s="337" t="s">
        <v>771</v>
      </c>
      <c r="G1055" s="337" t="s">
        <v>852</v>
      </c>
      <c r="H1055" s="337" t="s">
        <v>853</v>
      </c>
      <c r="I1055" s="337" t="s">
        <v>767</v>
      </c>
      <c r="J1055" s="337" t="s">
        <v>765</v>
      </c>
      <c r="K1055" s="337"/>
      <c r="L1055" s="337"/>
      <c r="M1055" s="337" t="s">
        <v>825</v>
      </c>
      <c r="N1055" s="337" t="s">
        <v>781</v>
      </c>
      <c r="O1055" s="337" t="e">
        <v>#N/A</v>
      </c>
      <c r="P1055" s="337"/>
      <c r="Q1055" s="337" t="s">
        <v>845</v>
      </c>
      <c r="R1055" s="343">
        <v>-14272.71</v>
      </c>
    </row>
    <row r="1056" spans="1:18" x14ac:dyDescent="0.2">
      <c r="A1056" s="342" t="s">
        <v>737</v>
      </c>
      <c r="B1056" s="337" t="s">
        <v>789</v>
      </c>
      <c r="C1056" s="337" t="s">
        <v>796</v>
      </c>
      <c r="D1056" s="337" t="s">
        <v>739</v>
      </c>
      <c r="E1056" s="337" t="s">
        <v>790</v>
      </c>
      <c r="F1056" s="337" t="s">
        <v>771</v>
      </c>
      <c r="G1056" s="337" t="s">
        <v>852</v>
      </c>
      <c r="H1056" s="337" t="s">
        <v>853</v>
      </c>
      <c r="I1056" s="337" t="s">
        <v>767</v>
      </c>
      <c r="J1056" s="337" t="s">
        <v>765</v>
      </c>
      <c r="K1056" s="337"/>
      <c r="L1056" s="337"/>
      <c r="M1056" s="337" t="s">
        <v>825</v>
      </c>
      <c r="N1056" s="337" t="s">
        <v>781</v>
      </c>
      <c r="O1056" s="337" t="e">
        <v>#N/A</v>
      </c>
      <c r="P1056" s="337"/>
      <c r="Q1056" s="337" t="s">
        <v>845</v>
      </c>
      <c r="R1056" s="343">
        <v>-42370.5</v>
      </c>
    </row>
    <row r="1057" spans="1:18" x14ac:dyDescent="0.2">
      <c r="A1057" s="342" t="s">
        <v>738</v>
      </c>
      <c r="B1057" s="337" t="s">
        <v>789</v>
      </c>
      <c r="C1057" s="337" t="s">
        <v>796</v>
      </c>
      <c r="D1057" s="337" t="s">
        <v>739</v>
      </c>
      <c r="E1057" s="337" t="s">
        <v>790</v>
      </c>
      <c r="F1057" s="337" t="s">
        <v>771</v>
      </c>
      <c r="G1057" s="337" t="s">
        <v>852</v>
      </c>
      <c r="H1057" s="337" t="s">
        <v>853</v>
      </c>
      <c r="I1057" s="337" t="s">
        <v>767</v>
      </c>
      <c r="J1057" s="337" t="s">
        <v>765</v>
      </c>
      <c r="K1057" s="337"/>
      <c r="L1057" s="337"/>
      <c r="M1057" s="337" t="s">
        <v>825</v>
      </c>
      <c r="N1057" s="337" t="s">
        <v>781</v>
      </c>
      <c r="O1057" s="337" t="e">
        <v>#N/A</v>
      </c>
      <c r="P1057" s="337"/>
      <c r="Q1057" s="337" t="s">
        <v>845</v>
      </c>
      <c r="R1057" s="343">
        <v>-45496.84</v>
      </c>
    </row>
    <row r="1058" spans="1:18" x14ac:dyDescent="0.2">
      <c r="A1058" s="342" t="s">
        <v>727</v>
      </c>
      <c r="B1058" s="337" t="s">
        <v>789</v>
      </c>
      <c r="C1058" s="337" t="s">
        <v>796</v>
      </c>
      <c r="D1058" s="337" t="s">
        <v>739</v>
      </c>
      <c r="E1058" s="337" t="s">
        <v>790</v>
      </c>
      <c r="F1058" s="337" t="s">
        <v>771</v>
      </c>
      <c r="G1058" s="337" t="s">
        <v>852</v>
      </c>
      <c r="H1058" s="337" t="s">
        <v>853</v>
      </c>
      <c r="I1058" s="337" t="s">
        <v>767</v>
      </c>
      <c r="J1058" s="337" t="s">
        <v>765</v>
      </c>
      <c r="K1058" s="337"/>
      <c r="L1058" s="337"/>
      <c r="M1058" s="337" t="s">
        <v>825</v>
      </c>
      <c r="N1058" s="337" t="s">
        <v>781</v>
      </c>
      <c r="O1058" s="337" t="e">
        <v>#N/A</v>
      </c>
      <c r="P1058" s="337"/>
      <c r="Q1058" s="337" t="s">
        <v>845</v>
      </c>
      <c r="R1058" s="343">
        <v>-15899.36</v>
      </c>
    </row>
    <row r="1059" spans="1:18" x14ac:dyDescent="0.2">
      <c r="A1059" s="342" t="s">
        <v>728</v>
      </c>
      <c r="B1059" s="337" t="s">
        <v>789</v>
      </c>
      <c r="C1059" s="337" t="s">
        <v>796</v>
      </c>
      <c r="D1059" s="337" t="s">
        <v>739</v>
      </c>
      <c r="E1059" s="337" t="s">
        <v>790</v>
      </c>
      <c r="F1059" s="337" t="s">
        <v>771</v>
      </c>
      <c r="G1059" s="337" t="s">
        <v>852</v>
      </c>
      <c r="H1059" s="337" t="s">
        <v>853</v>
      </c>
      <c r="I1059" s="337" t="s">
        <v>767</v>
      </c>
      <c r="J1059" s="337" t="s">
        <v>765</v>
      </c>
      <c r="K1059" s="337"/>
      <c r="L1059" s="337"/>
      <c r="M1059" s="337" t="s">
        <v>825</v>
      </c>
      <c r="N1059" s="337" t="s">
        <v>781</v>
      </c>
      <c r="O1059" s="337" t="e">
        <v>#N/A</v>
      </c>
      <c r="P1059" s="337"/>
      <c r="Q1059" s="337" t="s">
        <v>842</v>
      </c>
      <c r="R1059" s="343">
        <v>-2521.04</v>
      </c>
    </row>
    <row r="1060" spans="1:18" x14ac:dyDescent="0.2">
      <c r="A1060" s="342" t="s">
        <v>730</v>
      </c>
      <c r="B1060" s="337" t="s">
        <v>789</v>
      </c>
      <c r="C1060" s="337" t="s">
        <v>796</v>
      </c>
      <c r="D1060" s="337" t="s">
        <v>739</v>
      </c>
      <c r="E1060" s="337" t="s">
        <v>790</v>
      </c>
      <c r="F1060" s="337" t="s">
        <v>771</v>
      </c>
      <c r="G1060" s="337" t="s">
        <v>852</v>
      </c>
      <c r="H1060" s="337" t="s">
        <v>853</v>
      </c>
      <c r="I1060" s="337" t="s">
        <v>767</v>
      </c>
      <c r="J1060" s="337" t="s">
        <v>765</v>
      </c>
      <c r="K1060" s="337"/>
      <c r="L1060" s="337"/>
      <c r="M1060" s="337" t="s">
        <v>825</v>
      </c>
      <c r="N1060" s="337" t="s">
        <v>781</v>
      </c>
      <c r="O1060" s="337" t="e">
        <v>#N/A</v>
      </c>
      <c r="P1060" s="337"/>
      <c r="Q1060" s="337" t="s">
        <v>842</v>
      </c>
      <c r="R1060" s="343">
        <v>-8611.9699999999993</v>
      </c>
    </row>
    <row r="1061" spans="1:18" x14ac:dyDescent="0.2">
      <c r="A1061" s="342" t="s">
        <v>731</v>
      </c>
      <c r="B1061" s="337" t="s">
        <v>789</v>
      </c>
      <c r="C1061" s="337" t="s">
        <v>796</v>
      </c>
      <c r="D1061" s="337" t="s">
        <v>739</v>
      </c>
      <c r="E1061" s="337" t="s">
        <v>790</v>
      </c>
      <c r="F1061" s="337" t="s">
        <v>771</v>
      </c>
      <c r="G1061" s="337" t="s">
        <v>852</v>
      </c>
      <c r="H1061" s="337" t="s">
        <v>853</v>
      </c>
      <c r="I1061" s="337" t="s">
        <v>767</v>
      </c>
      <c r="J1061" s="337" t="s">
        <v>765</v>
      </c>
      <c r="K1061" s="337"/>
      <c r="L1061" s="337"/>
      <c r="M1061" s="337" t="s">
        <v>825</v>
      </c>
      <c r="N1061" s="337" t="s">
        <v>781</v>
      </c>
      <c r="O1061" s="337" t="e">
        <v>#N/A</v>
      </c>
      <c r="P1061" s="337"/>
      <c r="Q1061" s="337" t="s">
        <v>842</v>
      </c>
      <c r="R1061" s="343">
        <v>-548.96</v>
      </c>
    </row>
    <row r="1062" spans="1:18" x14ac:dyDescent="0.2">
      <c r="A1062" s="342" t="s">
        <v>732</v>
      </c>
      <c r="B1062" s="337" t="s">
        <v>789</v>
      </c>
      <c r="C1062" s="337" t="s">
        <v>796</v>
      </c>
      <c r="D1062" s="337" t="s">
        <v>739</v>
      </c>
      <c r="E1062" s="337" t="s">
        <v>790</v>
      </c>
      <c r="F1062" s="337" t="s">
        <v>771</v>
      </c>
      <c r="G1062" s="337" t="s">
        <v>852</v>
      </c>
      <c r="H1062" s="337" t="s">
        <v>853</v>
      </c>
      <c r="I1062" s="337" t="s">
        <v>767</v>
      </c>
      <c r="J1062" s="337" t="s">
        <v>765</v>
      </c>
      <c r="K1062" s="337"/>
      <c r="L1062" s="337"/>
      <c r="M1062" s="337" t="s">
        <v>825</v>
      </c>
      <c r="N1062" s="337" t="s">
        <v>781</v>
      </c>
      <c r="O1062" s="337" t="e">
        <v>#N/A</v>
      </c>
      <c r="P1062" s="337"/>
      <c r="Q1062" s="337" t="s">
        <v>842</v>
      </c>
      <c r="R1062" s="343">
        <v>-10022.35</v>
      </c>
    </row>
    <row r="1063" spans="1:18" x14ac:dyDescent="0.2">
      <c r="A1063" s="342" t="s">
        <v>726</v>
      </c>
      <c r="B1063" s="337" t="s">
        <v>789</v>
      </c>
      <c r="C1063" s="337" t="s">
        <v>796</v>
      </c>
      <c r="D1063" s="337" t="s">
        <v>739</v>
      </c>
      <c r="E1063" s="337" t="s">
        <v>790</v>
      </c>
      <c r="F1063" s="337" t="s">
        <v>771</v>
      </c>
      <c r="G1063" s="337" t="s">
        <v>852</v>
      </c>
      <c r="H1063" s="337" t="s">
        <v>853</v>
      </c>
      <c r="I1063" s="337" t="s">
        <v>767</v>
      </c>
      <c r="J1063" s="337" t="s">
        <v>765</v>
      </c>
      <c r="K1063" s="337"/>
      <c r="L1063" s="337"/>
      <c r="M1063" s="337" t="s">
        <v>825</v>
      </c>
      <c r="N1063" s="337" t="s">
        <v>781</v>
      </c>
      <c r="O1063" s="337" t="e">
        <v>#N/A</v>
      </c>
      <c r="P1063" s="337"/>
      <c r="Q1063" s="337" t="s">
        <v>842</v>
      </c>
      <c r="R1063" s="343">
        <v>-5236.3100000000004</v>
      </c>
    </row>
    <row r="1064" spans="1:18" x14ac:dyDescent="0.2">
      <c r="A1064" s="342" t="s">
        <v>733</v>
      </c>
      <c r="B1064" s="337" t="s">
        <v>789</v>
      </c>
      <c r="C1064" s="337" t="s">
        <v>796</v>
      </c>
      <c r="D1064" s="337" t="s">
        <v>739</v>
      </c>
      <c r="E1064" s="337" t="s">
        <v>790</v>
      </c>
      <c r="F1064" s="337" t="s">
        <v>771</v>
      </c>
      <c r="G1064" s="337" t="s">
        <v>852</v>
      </c>
      <c r="H1064" s="337" t="s">
        <v>853</v>
      </c>
      <c r="I1064" s="337" t="s">
        <v>767</v>
      </c>
      <c r="J1064" s="337" t="s">
        <v>765</v>
      </c>
      <c r="K1064" s="337"/>
      <c r="L1064" s="337"/>
      <c r="M1064" s="337" t="s">
        <v>825</v>
      </c>
      <c r="N1064" s="337" t="s">
        <v>781</v>
      </c>
      <c r="O1064" s="337" t="e">
        <v>#N/A</v>
      </c>
      <c r="P1064" s="337"/>
      <c r="Q1064" s="337" t="s">
        <v>842</v>
      </c>
      <c r="R1064" s="343">
        <v>-4175.51</v>
      </c>
    </row>
    <row r="1065" spans="1:18" x14ac:dyDescent="0.2">
      <c r="A1065" s="342" t="s">
        <v>734</v>
      </c>
      <c r="B1065" s="337" t="s">
        <v>789</v>
      </c>
      <c r="C1065" s="337" t="s">
        <v>796</v>
      </c>
      <c r="D1065" s="337" t="s">
        <v>739</v>
      </c>
      <c r="E1065" s="337" t="s">
        <v>790</v>
      </c>
      <c r="F1065" s="337" t="s">
        <v>771</v>
      </c>
      <c r="G1065" s="337" t="s">
        <v>852</v>
      </c>
      <c r="H1065" s="337" t="s">
        <v>853</v>
      </c>
      <c r="I1065" s="337" t="s">
        <v>767</v>
      </c>
      <c r="J1065" s="337" t="s">
        <v>765</v>
      </c>
      <c r="K1065" s="337"/>
      <c r="L1065" s="337"/>
      <c r="M1065" s="337" t="s">
        <v>825</v>
      </c>
      <c r="N1065" s="337" t="s">
        <v>781</v>
      </c>
      <c r="O1065" s="337" t="e">
        <v>#N/A</v>
      </c>
      <c r="P1065" s="337"/>
      <c r="Q1065" s="337" t="s">
        <v>842</v>
      </c>
      <c r="R1065" s="343">
        <v>-12145.27</v>
      </c>
    </row>
    <row r="1066" spans="1:18" x14ac:dyDescent="0.2">
      <c r="A1066" s="342" t="s">
        <v>735</v>
      </c>
      <c r="B1066" s="337" t="s">
        <v>789</v>
      </c>
      <c r="C1066" s="337" t="s">
        <v>796</v>
      </c>
      <c r="D1066" s="337" t="s">
        <v>739</v>
      </c>
      <c r="E1066" s="337" t="s">
        <v>790</v>
      </c>
      <c r="F1066" s="337" t="s">
        <v>771</v>
      </c>
      <c r="G1066" s="337" t="s">
        <v>852</v>
      </c>
      <c r="H1066" s="337" t="s">
        <v>853</v>
      </c>
      <c r="I1066" s="337" t="s">
        <v>767</v>
      </c>
      <c r="J1066" s="337" t="s">
        <v>765</v>
      </c>
      <c r="K1066" s="337"/>
      <c r="L1066" s="337"/>
      <c r="M1066" s="337" t="s">
        <v>825</v>
      </c>
      <c r="N1066" s="337" t="s">
        <v>781</v>
      </c>
      <c r="O1066" s="337" t="e">
        <v>#N/A</v>
      </c>
      <c r="P1066" s="337"/>
      <c r="Q1066" s="337" t="s">
        <v>842</v>
      </c>
      <c r="R1066" s="343">
        <v>-10600.39</v>
      </c>
    </row>
    <row r="1067" spans="1:18" x14ac:dyDescent="0.2">
      <c r="A1067" s="342" t="s">
        <v>736</v>
      </c>
      <c r="B1067" s="337" t="s">
        <v>789</v>
      </c>
      <c r="C1067" s="337" t="s">
        <v>796</v>
      </c>
      <c r="D1067" s="337" t="s">
        <v>739</v>
      </c>
      <c r="E1067" s="337" t="s">
        <v>790</v>
      </c>
      <c r="F1067" s="337" t="s">
        <v>771</v>
      </c>
      <c r="G1067" s="337" t="s">
        <v>852</v>
      </c>
      <c r="H1067" s="337" t="s">
        <v>853</v>
      </c>
      <c r="I1067" s="337" t="s">
        <v>767</v>
      </c>
      <c r="J1067" s="337" t="s">
        <v>765</v>
      </c>
      <c r="K1067" s="337"/>
      <c r="L1067" s="337"/>
      <c r="M1067" s="337" t="s">
        <v>825</v>
      </c>
      <c r="N1067" s="337" t="s">
        <v>781</v>
      </c>
      <c r="O1067" s="337" t="e">
        <v>#N/A</v>
      </c>
      <c r="P1067" s="337"/>
      <c r="Q1067" s="337" t="s">
        <v>842</v>
      </c>
      <c r="R1067" s="343">
        <v>-19051.98</v>
      </c>
    </row>
    <row r="1068" spans="1:18" x14ac:dyDescent="0.2">
      <c r="A1068" s="342" t="s">
        <v>737</v>
      </c>
      <c r="B1068" s="337" t="s">
        <v>789</v>
      </c>
      <c r="C1068" s="337" t="s">
        <v>796</v>
      </c>
      <c r="D1068" s="337" t="s">
        <v>739</v>
      </c>
      <c r="E1068" s="337" t="s">
        <v>790</v>
      </c>
      <c r="F1068" s="337" t="s">
        <v>771</v>
      </c>
      <c r="G1068" s="337" t="s">
        <v>852</v>
      </c>
      <c r="H1068" s="337" t="s">
        <v>853</v>
      </c>
      <c r="I1068" s="337" t="s">
        <v>767</v>
      </c>
      <c r="J1068" s="337" t="s">
        <v>765</v>
      </c>
      <c r="K1068" s="337"/>
      <c r="L1068" s="337"/>
      <c r="M1068" s="337" t="s">
        <v>825</v>
      </c>
      <c r="N1068" s="337" t="s">
        <v>781</v>
      </c>
      <c r="O1068" s="337" t="e">
        <v>#N/A</v>
      </c>
      <c r="P1068" s="337"/>
      <c r="Q1068" s="337" t="s">
        <v>842</v>
      </c>
      <c r="R1068" s="343">
        <v>-7405.64</v>
      </c>
    </row>
    <row r="1069" spans="1:18" x14ac:dyDescent="0.2">
      <c r="A1069" s="342" t="s">
        <v>738</v>
      </c>
      <c r="B1069" s="337" t="s">
        <v>789</v>
      </c>
      <c r="C1069" s="337" t="s">
        <v>796</v>
      </c>
      <c r="D1069" s="337" t="s">
        <v>739</v>
      </c>
      <c r="E1069" s="337" t="s">
        <v>790</v>
      </c>
      <c r="F1069" s="337" t="s">
        <v>771</v>
      </c>
      <c r="G1069" s="337" t="s">
        <v>852</v>
      </c>
      <c r="H1069" s="337" t="s">
        <v>853</v>
      </c>
      <c r="I1069" s="337" t="s">
        <v>767</v>
      </c>
      <c r="J1069" s="337" t="s">
        <v>765</v>
      </c>
      <c r="K1069" s="337"/>
      <c r="L1069" s="337"/>
      <c r="M1069" s="337" t="s">
        <v>825</v>
      </c>
      <c r="N1069" s="337" t="s">
        <v>781</v>
      </c>
      <c r="O1069" s="337" t="e">
        <v>#N/A</v>
      </c>
      <c r="P1069" s="337"/>
      <c r="Q1069" s="337" t="s">
        <v>842</v>
      </c>
      <c r="R1069" s="343">
        <v>-5323.37</v>
      </c>
    </row>
    <row r="1070" spans="1:18" x14ac:dyDescent="0.2">
      <c r="A1070" s="342" t="s">
        <v>727</v>
      </c>
      <c r="B1070" s="337" t="s">
        <v>789</v>
      </c>
      <c r="C1070" s="337" t="s">
        <v>796</v>
      </c>
      <c r="D1070" s="337" t="s">
        <v>739</v>
      </c>
      <c r="E1070" s="337" t="s">
        <v>790</v>
      </c>
      <c r="F1070" s="337" t="s">
        <v>771</v>
      </c>
      <c r="G1070" s="337" t="s">
        <v>852</v>
      </c>
      <c r="H1070" s="337" t="s">
        <v>853</v>
      </c>
      <c r="I1070" s="337" t="s">
        <v>767</v>
      </c>
      <c r="J1070" s="337" t="s">
        <v>765</v>
      </c>
      <c r="K1070" s="337"/>
      <c r="L1070" s="337"/>
      <c r="M1070" s="337" t="s">
        <v>825</v>
      </c>
      <c r="N1070" s="337" t="s">
        <v>781</v>
      </c>
      <c r="O1070" s="337" t="e">
        <v>#N/A</v>
      </c>
      <c r="P1070" s="337"/>
      <c r="Q1070" s="337" t="s">
        <v>842</v>
      </c>
      <c r="R1070" s="343">
        <v>-12993.27</v>
      </c>
    </row>
    <row r="1071" spans="1:18" x14ac:dyDescent="0.2">
      <c r="A1071" s="342" t="s">
        <v>731</v>
      </c>
      <c r="B1071" s="337" t="s">
        <v>789</v>
      </c>
      <c r="C1071" s="337" t="s">
        <v>796</v>
      </c>
      <c r="D1071" s="337" t="s">
        <v>739</v>
      </c>
      <c r="E1071" s="337" t="s">
        <v>790</v>
      </c>
      <c r="F1071" s="337" t="s">
        <v>771</v>
      </c>
      <c r="G1071" s="337" t="s">
        <v>852</v>
      </c>
      <c r="H1071" s="337" t="s">
        <v>853</v>
      </c>
      <c r="I1071" s="337" t="s">
        <v>767</v>
      </c>
      <c r="J1071" s="337" t="s">
        <v>765</v>
      </c>
      <c r="K1071" s="337"/>
      <c r="L1071" s="337"/>
      <c r="M1071" s="337" t="s">
        <v>825</v>
      </c>
      <c r="N1071" s="337" t="s">
        <v>781</v>
      </c>
      <c r="O1071" s="337" t="e">
        <v>#N/A</v>
      </c>
      <c r="P1071" s="337"/>
      <c r="Q1071" s="337" t="s">
        <v>851</v>
      </c>
      <c r="R1071" s="343">
        <v>-1198.06</v>
      </c>
    </row>
    <row r="1072" spans="1:18" x14ac:dyDescent="0.2">
      <c r="A1072" s="342" t="s">
        <v>732</v>
      </c>
      <c r="B1072" s="337" t="s">
        <v>789</v>
      </c>
      <c r="C1072" s="337" t="s">
        <v>796</v>
      </c>
      <c r="D1072" s="337" t="s">
        <v>739</v>
      </c>
      <c r="E1072" s="337" t="s">
        <v>790</v>
      </c>
      <c r="F1072" s="337" t="s">
        <v>771</v>
      </c>
      <c r="G1072" s="337" t="s">
        <v>852</v>
      </c>
      <c r="H1072" s="337" t="s">
        <v>853</v>
      </c>
      <c r="I1072" s="337" t="s">
        <v>767</v>
      </c>
      <c r="J1072" s="337" t="s">
        <v>765</v>
      </c>
      <c r="K1072" s="337"/>
      <c r="L1072" s="337"/>
      <c r="M1072" s="337" t="s">
        <v>825</v>
      </c>
      <c r="N1072" s="337" t="s">
        <v>781</v>
      </c>
      <c r="O1072" s="337" t="e">
        <v>#N/A</v>
      </c>
      <c r="P1072" s="337"/>
      <c r="Q1072" s="337" t="s">
        <v>851</v>
      </c>
      <c r="R1072" s="343">
        <v>0</v>
      </c>
    </row>
    <row r="1073" spans="1:18" x14ac:dyDescent="0.2">
      <c r="A1073" s="342" t="s">
        <v>727</v>
      </c>
      <c r="B1073" s="337" t="s">
        <v>789</v>
      </c>
      <c r="C1073" s="337" t="s">
        <v>796</v>
      </c>
      <c r="D1073" s="337" t="s">
        <v>739</v>
      </c>
      <c r="E1073" s="337" t="s">
        <v>790</v>
      </c>
      <c r="F1073" s="337" t="s">
        <v>771</v>
      </c>
      <c r="G1073" s="337" t="s">
        <v>852</v>
      </c>
      <c r="H1073" s="337" t="s">
        <v>853</v>
      </c>
      <c r="I1073" s="337" t="s">
        <v>767</v>
      </c>
      <c r="J1073" s="337" t="s">
        <v>765</v>
      </c>
      <c r="K1073" s="337"/>
      <c r="L1073" s="337"/>
      <c r="M1073" s="337" t="s">
        <v>826</v>
      </c>
      <c r="N1073" s="337" t="s">
        <v>758</v>
      </c>
      <c r="O1073" s="337" t="e">
        <v>#N/A</v>
      </c>
      <c r="P1073" s="337"/>
      <c r="Q1073" s="337" t="s">
        <v>834</v>
      </c>
      <c r="R1073" s="343">
        <v>1745.4</v>
      </c>
    </row>
    <row r="1074" spans="1:18" x14ac:dyDescent="0.2">
      <c r="A1074" s="342" t="s">
        <v>728</v>
      </c>
      <c r="B1074" s="337" t="s">
        <v>789</v>
      </c>
      <c r="C1074" s="337" t="s">
        <v>796</v>
      </c>
      <c r="D1074" s="337" t="s">
        <v>739</v>
      </c>
      <c r="E1074" s="337" t="s">
        <v>790</v>
      </c>
      <c r="F1074" s="337" t="s">
        <v>771</v>
      </c>
      <c r="G1074" s="337" t="s">
        <v>852</v>
      </c>
      <c r="H1074" s="337" t="s">
        <v>853</v>
      </c>
      <c r="I1074" s="337" t="s">
        <v>767</v>
      </c>
      <c r="J1074" s="337" t="s">
        <v>765</v>
      </c>
      <c r="K1074" s="337"/>
      <c r="L1074" s="337"/>
      <c r="M1074" s="337" t="s">
        <v>826</v>
      </c>
      <c r="N1074" s="337" t="s">
        <v>758</v>
      </c>
      <c r="O1074" s="337" t="e">
        <v>#N/A</v>
      </c>
      <c r="P1074" s="337"/>
      <c r="Q1074" s="337" t="s">
        <v>847</v>
      </c>
      <c r="R1074" s="343">
        <v>-238.61</v>
      </c>
    </row>
    <row r="1075" spans="1:18" x14ac:dyDescent="0.2">
      <c r="A1075" s="342" t="s">
        <v>730</v>
      </c>
      <c r="B1075" s="337" t="s">
        <v>789</v>
      </c>
      <c r="C1075" s="337" t="s">
        <v>796</v>
      </c>
      <c r="D1075" s="337" t="s">
        <v>739</v>
      </c>
      <c r="E1075" s="337" t="s">
        <v>790</v>
      </c>
      <c r="F1075" s="337" t="s">
        <v>771</v>
      </c>
      <c r="G1075" s="337" t="s">
        <v>852</v>
      </c>
      <c r="H1075" s="337" t="s">
        <v>853</v>
      </c>
      <c r="I1075" s="337" t="s">
        <v>767</v>
      </c>
      <c r="J1075" s="337" t="s">
        <v>765</v>
      </c>
      <c r="K1075" s="337"/>
      <c r="L1075" s="337"/>
      <c r="M1075" s="337" t="s">
        <v>826</v>
      </c>
      <c r="N1075" s="337" t="s">
        <v>758</v>
      </c>
      <c r="O1075" s="337" t="e">
        <v>#N/A</v>
      </c>
      <c r="P1075" s="337"/>
      <c r="Q1075" s="337" t="s">
        <v>847</v>
      </c>
      <c r="R1075" s="343">
        <v>238.61</v>
      </c>
    </row>
    <row r="1076" spans="1:18" x14ac:dyDescent="0.2">
      <c r="A1076" s="342" t="s">
        <v>737</v>
      </c>
      <c r="B1076" s="337" t="s">
        <v>789</v>
      </c>
      <c r="C1076" s="337" t="s">
        <v>796</v>
      </c>
      <c r="D1076" s="337" t="s">
        <v>739</v>
      </c>
      <c r="E1076" s="337" t="s">
        <v>790</v>
      </c>
      <c r="F1076" s="337" t="s">
        <v>771</v>
      </c>
      <c r="G1076" s="337" t="s">
        <v>852</v>
      </c>
      <c r="H1076" s="337" t="s">
        <v>853</v>
      </c>
      <c r="I1076" s="337" t="s">
        <v>767</v>
      </c>
      <c r="J1076" s="337" t="s">
        <v>765</v>
      </c>
      <c r="K1076" s="337"/>
      <c r="L1076" s="337"/>
      <c r="M1076" s="337" t="s">
        <v>826</v>
      </c>
      <c r="N1076" s="337" t="s">
        <v>758</v>
      </c>
      <c r="O1076" s="337" t="e">
        <v>#N/A</v>
      </c>
      <c r="P1076" s="337"/>
      <c r="Q1076" s="337" t="s">
        <v>835</v>
      </c>
      <c r="R1076" s="343">
        <v>-305.25</v>
      </c>
    </row>
    <row r="1077" spans="1:18" x14ac:dyDescent="0.2">
      <c r="A1077" s="342" t="s">
        <v>738</v>
      </c>
      <c r="B1077" s="337" t="s">
        <v>789</v>
      </c>
      <c r="C1077" s="337" t="s">
        <v>796</v>
      </c>
      <c r="D1077" s="337" t="s">
        <v>739</v>
      </c>
      <c r="E1077" s="337" t="s">
        <v>790</v>
      </c>
      <c r="F1077" s="337" t="s">
        <v>771</v>
      </c>
      <c r="G1077" s="337" t="s">
        <v>852</v>
      </c>
      <c r="H1077" s="337" t="s">
        <v>853</v>
      </c>
      <c r="I1077" s="337" t="s">
        <v>767</v>
      </c>
      <c r="J1077" s="337" t="s">
        <v>765</v>
      </c>
      <c r="K1077" s="337"/>
      <c r="L1077" s="337"/>
      <c r="M1077" s="337" t="s">
        <v>826</v>
      </c>
      <c r="N1077" s="337" t="s">
        <v>758</v>
      </c>
      <c r="O1077" s="337" t="e">
        <v>#N/A</v>
      </c>
      <c r="P1077" s="337"/>
      <c r="Q1077" s="337" t="s">
        <v>835</v>
      </c>
      <c r="R1077" s="343">
        <v>0</v>
      </c>
    </row>
    <row r="1078" spans="1:18" x14ac:dyDescent="0.2">
      <c r="A1078" s="342" t="s">
        <v>728</v>
      </c>
      <c r="B1078" s="337" t="s">
        <v>789</v>
      </c>
      <c r="C1078" s="337" t="s">
        <v>796</v>
      </c>
      <c r="D1078" s="337" t="s">
        <v>739</v>
      </c>
      <c r="E1078" s="337" t="s">
        <v>790</v>
      </c>
      <c r="F1078" s="337" t="s">
        <v>771</v>
      </c>
      <c r="G1078" s="337" t="s">
        <v>852</v>
      </c>
      <c r="H1078" s="337" t="s">
        <v>853</v>
      </c>
      <c r="I1078" s="337" t="s">
        <v>767</v>
      </c>
      <c r="J1078" s="337" t="s">
        <v>765</v>
      </c>
      <c r="K1078" s="337"/>
      <c r="L1078" s="337"/>
      <c r="M1078" s="337" t="s">
        <v>826</v>
      </c>
      <c r="N1078" s="337" t="s">
        <v>758</v>
      </c>
      <c r="O1078" s="337" t="e">
        <v>#N/A</v>
      </c>
      <c r="P1078" s="337"/>
      <c r="Q1078" s="337" t="s">
        <v>839</v>
      </c>
      <c r="R1078" s="343">
        <v>-127.69</v>
      </c>
    </row>
    <row r="1079" spans="1:18" x14ac:dyDescent="0.2">
      <c r="A1079" s="342" t="s">
        <v>730</v>
      </c>
      <c r="B1079" s="337" t="s">
        <v>789</v>
      </c>
      <c r="C1079" s="337" t="s">
        <v>796</v>
      </c>
      <c r="D1079" s="337" t="s">
        <v>739</v>
      </c>
      <c r="E1079" s="337" t="s">
        <v>790</v>
      </c>
      <c r="F1079" s="337" t="s">
        <v>771</v>
      </c>
      <c r="G1079" s="337" t="s">
        <v>852</v>
      </c>
      <c r="H1079" s="337" t="s">
        <v>853</v>
      </c>
      <c r="I1079" s="337" t="s">
        <v>767</v>
      </c>
      <c r="J1079" s="337" t="s">
        <v>765</v>
      </c>
      <c r="K1079" s="337"/>
      <c r="L1079" s="337"/>
      <c r="M1079" s="337" t="s">
        <v>826</v>
      </c>
      <c r="N1079" s="337" t="s">
        <v>758</v>
      </c>
      <c r="O1079" s="337" t="e">
        <v>#N/A</v>
      </c>
      <c r="P1079" s="337"/>
      <c r="Q1079" s="337" t="s">
        <v>839</v>
      </c>
      <c r="R1079" s="343">
        <v>-1266.29</v>
      </c>
    </row>
    <row r="1080" spans="1:18" x14ac:dyDescent="0.2">
      <c r="A1080" s="342" t="s">
        <v>731</v>
      </c>
      <c r="B1080" s="337" t="s">
        <v>789</v>
      </c>
      <c r="C1080" s="337" t="s">
        <v>796</v>
      </c>
      <c r="D1080" s="337" t="s">
        <v>739</v>
      </c>
      <c r="E1080" s="337" t="s">
        <v>790</v>
      </c>
      <c r="F1080" s="337" t="s">
        <v>771</v>
      </c>
      <c r="G1080" s="337" t="s">
        <v>852</v>
      </c>
      <c r="H1080" s="337" t="s">
        <v>853</v>
      </c>
      <c r="I1080" s="337" t="s">
        <v>767</v>
      </c>
      <c r="J1080" s="337" t="s">
        <v>765</v>
      </c>
      <c r="K1080" s="337"/>
      <c r="L1080" s="337"/>
      <c r="M1080" s="337" t="s">
        <v>826</v>
      </c>
      <c r="N1080" s="337" t="s">
        <v>758</v>
      </c>
      <c r="O1080" s="337" t="e">
        <v>#N/A</v>
      </c>
      <c r="P1080" s="337"/>
      <c r="Q1080" s="337" t="s">
        <v>839</v>
      </c>
      <c r="R1080" s="343">
        <v>1083.77</v>
      </c>
    </row>
    <row r="1081" spans="1:18" x14ac:dyDescent="0.2">
      <c r="A1081" s="342" t="s">
        <v>732</v>
      </c>
      <c r="B1081" s="337" t="s">
        <v>789</v>
      </c>
      <c r="C1081" s="337" t="s">
        <v>796</v>
      </c>
      <c r="D1081" s="337" t="s">
        <v>739</v>
      </c>
      <c r="E1081" s="337" t="s">
        <v>790</v>
      </c>
      <c r="F1081" s="337" t="s">
        <v>771</v>
      </c>
      <c r="G1081" s="337" t="s">
        <v>852</v>
      </c>
      <c r="H1081" s="337" t="s">
        <v>853</v>
      </c>
      <c r="I1081" s="337" t="s">
        <v>767</v>
      </c>
      <c r="J1081" s="337" t="s">
        <v>765</v>
      </c>
      <c r="K1081" s="337"/>
      <c r="L1081" s="337"/>
      <c r="M1081" s="337" t="s">
        <v>826</v>
      </c>
      <c r="N1081" s="337" t="s">
        <v>758</v>
      </c>
      <c r="O1081" s="337" t="e">
        <v>#N/A</v>
      </c>
      <c r="P1081" s="337"/>
      <c r="Q1081" s="337" t="s">
        <v>839</v>
      </c>
      <c r="R1081" s="343">
        <v>-953.52</v>
      </c>
    </row>
    <row r="1082" spans="1:18" x14ac:dyDescent="0.2">
      <c r="A1082" s="342" t="s">
        <v>726</v>
      </c>
      <c r="B1082" s="337" t="s">
        <v>789</v>
      </c>
      <c r="C1082" s="337" t="s">
        <v>796</v>
      </c>
      <c r="D1082" s="337" t="s">
        <v>739</v>
      </c>
      <c r="E1082" s="337" t="s">
        <v>790</v>
      </c>
      <c r="F1082" s="337" t="s">
        <v>771</v>
      </c>
      <c r="G1082" s="337" t="s">
        <v>852</v>
      </c>
      <c r="H1082" s="337" t="s">
        <v>853</v>
      </c>
      <c r="I1082" s="337" t="s">
        <v>767</v>
      </c>
      <c r="J1082" s="337" t="s">
        <v>765</v>
      </c>
      <c r="K1082" s="337"/>
      <c r="L1082" s="337"/>
      <c r="M1082" s="337" t="s">
        <v>826</v>
      </c>
      <c r="N1082" s="337" t="s">
        <v>758</v>
      </c>
      <c r="O1082" s="337" t="e">
        <v>#N/A</v>
      </c>
      <c r="P1082" s="337"/>
      <c r="Q1082" s="337" t="s">
        <v>839</v>
      </c>
      <c r="R1082" s="343">
        <v>-109.46</v>
      </c>
    </row>
    <row r="1083" spans="1:18" x14ac:dyDescent="0.2">
      <c r="A1083" s="342" t="s">
        <v>733</v>
      </c>
      <c r="B1083" s="337" t="s">
        <v>789</v>
      </c>
      <c r="C1083" s="337" t="s">
        <v>796</v>
      </c>
      <c r="D1083" s="337" t="s">
        <v>739</v>
      </c>
      <c r="E1083" s="337" t="s">
        <v>790</v>
      </c>
      <c r="F1083" s="337" t="s">
        <v>771</v>
      </c>
      <c r="G1083" s="337" t="s">
        <v>852</v>
      </c>
      <c r="H1083" s="337" t="s">
        <v>853</v>
      </c>
      <c r="I1083" s="337" t="s">
        <v>767</v>
      </c>
      <c r="J1083" s="337" t="s">
        <v>765</v>
      </c>
      <c r="K1083" s="337"/>
      <c r="L1083" s="337"/>
      <c r="M1083" s="337" t="s">
        <v>826</v>
      </c>
      <c r="N1083" s="337" t="s">
        <v>758</v>
      </c>
      <c r="O1083" s="337" t="e">
        <v>#N/A</v>
      </c>
      <c r="P1083" s="337"/>
      <c r="Q1083" s="337" t="s">
        <v>839</v>
      </c>
      <c r="R1083" s="343">
        <v>-23090.98</v>
      </c>
    </row>
    <row r="1084" spans="1:18" x14ac:dyDescent="0.2">
      <c r="A1084" s="342" t="s">
        <v>734</v>
      </c>
      <c r="B1084" s="337" t="s">
        <v>789</v>
      </c>
      <c r="C1084" s="337" t="s">
        <v>796</v>
      </c>
      <c r="D1084" s="337" t="s">
        <v>739</v>
      </c>
      <c r="E1084" s="337" t="s">
        <v>790</v>
      </c>
      <c r="F1084" s="337" t="s">
        <v>771</v>
      </c>
      <c r="G1084" s="337" t="s">
        <v>852</v>
      </c>
      <c r="H1084" s="337" t="s">
        <v>853</v>
      </c>
      <c r="I1084" s="337" t="s">
        <v>767</v>
      </c>
      <c r="J1084" s="337" t="s">
        <v>765</v>
      </c>
      <c r="K1084" s="337"/>
      <c r="L1084" s="337"/>
      <c r="M1084" s="337" t="s">
        <v>826</v>
      </c>
      <c r="N1084" s="337" t="s">
        <v>758</v>
      </c>
      <c r="O1084" s="337" t="e">
        <v>#N/A</v>
      </c>
      <c r="P1084" s="337"/>
      <c r="Q1084" s="337" t="s">
        <v>839</v>
      </c>
      <c r="R1084" s="343">
        <v>-1257.52</v>
      </c>
    </row>
    <row r="1085" spans="1:18" x14ac:dyDescent="0.2">
      <c r="A1085" s="342" t="s">
        <v>735</v>
      </c>
      <c r="B1085" s="337" t="s">
        <v>789</v>
      </c>
      <c r="C1085" s="337" t="s">
        <v>796</v>
      </c>
      <c r="D1085" s="337" t="s">
        <v>739</v>
      </c>
      <c r="E1085" s="337" t="s">
        <v>790</v>
      </c>
      <c r="F1085" s="337" t="s">
        <v>771</v>
      </c>
      <c r="G1085" s="337" t="s">
        <v>852</v>
      </c>
      <c r="H1085" s="337" t="s">
        <v>853</v>
      </c>
      <c r="I1085" s="337" t="s">
        <v>767</v>
      </c>
      <c r="J1085" s="337" t="s">
        <v>765</v>
      </c>
      <c r="K1085" s="337"/>
      <c r="L1085" s="337"/>
      <c r="M1085" s="337" t="s">
        <v>826</v>
      </c>
      <c r="N1085" s="337" t="s">
        <v>758</v>
      </c>
      <c r="O1085" s="337" t="e">
        <v>#N/A</v>
      </c>
      <c r="P1085" s="337"/>
      <c r="Q1085" s="337" t="s">
        <v>839</v>
      </c>
      <c r="R1085" s="343">
        <v>-1154.04</v>
      </c>
    </row>
    <row r="1086" spans="1:18" x14ac:dyDescent="0.2">
      <c r="A1086" s="342" t="s">
        <v>736</v>
      </c>
      <c r="B1086" s="337" t="s">
        <v>789</v>
      </c>
      <c r="C1086" s="337" t="s">
        <v>796</v>
      </c>
      <c r="D1086" s="337" t="s">
        <v>739</v>
      </c>
      <c r="E1086" s="337" t="s">
        <v>790</v>
      </c>
      <c r="F1086" s="337" t="s">
        <v>771</v>
      </c>
      <c r="G1086" s="337" t="s">
        <v>852</v>
      </c>
      <c r="H1086" s="337" t="s">
        <v>853</v>
      </c>
      <c r="I1086" s="337" t="s">
        <v>767</v>
      </c>
      <c r="J1086" s="337" t="s">
        <v>765</v>
      </c>
      <c r="K1086" s="337"/>
      <c r="L1086" s="337"/>
      <c r="M1086" s="337" t="s">
        <v>826</v>
      </c>
      <c r="N1086" s="337" t="s">
        <v>758</v>
      </c>
      <c r="O1086" s="337" t="e">
        <v>#N/A</v>
      </c>
      <c r="P1086" s="337"/>
      <c r="Q1086" s="337" t="s">
        <v>839</v>
      </c>
      <c r="R1086" s="343">
        <v>-171.89</v>
      </c>
    </row>
    <row r="1087" spans="1:18" x14ac:dyDescent="0.2">
      <c r="A1087" s="342" t="s">
        <v>737</v>
      </c>
      <c r="B1087" s="337" t="s">
        <v>789</v>
      </c>
      <c r="C1087" s="337" t="s">
        <v>796</v>
      </c>
      <c r="D1087" s="337" t="s">
        <v>739</v>
      </c>
      <c r="E1087" s="337" t="s">
        <v>790</v>
      </c>
      <c r="F1087" s="337" t="s">
        <v>771</v>
      </c>
      <c r="G1087" s="337" t="s">
        <v>852</v>
      </c>
      <c r="H1087" s="337" t="s">
        <v>853</v>
      </c>
      <c r="I1087" s="337" t="s">
        <v>767</v>
      </c>
      <c r="J1087" s="337" t="s">
        <v>765</v>
      </c>
      <c r="K1087" s="337"/>
      <c r="L1087" s="337"/>
      <c r="M1087" s="337" t="s">
        <v>826</v>
      </c>
      <c r="N1087" s="337" t="s">
        <v>758</v>
      </c>
      <c r="O1087" s="337" t="e">
        <v>#N/A</v>
      </c>
      <c r="P1087" s="337"/>
      <c r="Q1087" s="337" t="s">
        <v>839</v>
      </c>
      <c r="R1087" s="343">
        <v>0</v>
      </c>
    </row>
    <row r="1088" spans="1:18" x14ac:dyDescent="0.2">
      <c r="A1088" s="342" t="s">
        <v>738</v>
      </c>
      <c r="B1088" s="337" t="s">
        <v>789</v>
      </c>
      <c r="C1088" s="337" t="s">
        <v>796</v>
      </c>
      <c r="D1088" s="337" t="s">
        <v>739</v>
      </c>
      <c r="E1088" s="337" t="s">
        <v>790</v>
      </c>
      <c r="F1088" s="337" t="s">
        <v>771</v>
      </c>
      <c r="G1088" s="337" t="s">
        <v>852</v>
      </c>
      <c r="H1088" s="337" t="s">
        <v>853</v>
      </c>
      <c r="I1088" s="337" t="s">
        <v>767</v>
      </c>
      <c r="J1088" s="337" t="s">
        <v>765</v>
      </c>
      <c r="K1088" s="337"/>
      <c r="L1088" s="337"/>
      <c r="M1088" s="337" t="s">
        <v>826</v>
      </c>
      <c r="N1088" s="337" t="s">
        <v>758</v>
      </c>
      <c r="O1088" s="337" t="e">
        <v>#N/A</v>
      </c>
      <c r="P1088" s="337"/>
      <c r="Q1088" s="337" t="s">
        <v>839</v>
      </c>
      <c r="R1088" s="343">
        <v>-57.64</v>
      </c>
    </row>
    <row r="1089" spans="1:18" x14ac:dyDescent="0.2">
      <c r="A1089" s="342" t="s">
        <v>727</v>
      </c>
      <c r="B1089" s="337" t="s">
        <v>789</v>
      </c>
      <c r="C1089" s="337" t="s">
        <v>796</v>
      </c>
      <c r="D1089" s="337" t="s">
        <v>739</v>
      </c>
      <c r="E1089" s="337" t="s">
        <v>790</v>
      </c>
      <c r="F1089" s="337" t="s">
        <v>771</v>
      </c>
      <c r="G1089" s="337" t="s">
        <v>852</v>
      </c>
      <c r="H1089" s="337" t="s">
        <v>853</v>
      </c>
      <c r="I1089" s="337" t="s">
        <v>767</v>
      </c>
      <c r="J1089" s="337" t="s">
        <v>765</v>
      </c>
      <c r="K1089" s="337"/>
      <c r="L1089" s="337"/>
      <c r="M1089" s="337" t="s">
        <v>826</v>
      </c>
      <c r="N1089" s="337" t="s">
        <v>758</v>
      </c>
      <c r="O1089" s="337" t="e">
        <v>#N/A</v>
      </c>
      <c r="P1089" s="337"/>
      <c r="Q1089" s="337" t="s">
        <v>839</v>
      </c>
      <c r="R1089" s="343">
        <v>-135.83000000000001</v>
      </c>
    </row>
    <row r="1090" spans="1:18" x14ac:dyDescent="0.2">
      <c r="A1090" s="342" t="s">
        <v>728</v>
      </c>
      <c r="B1090" s="337" t="s">
        <v>789</v>
      </c>
      <c r="C1090" s="337" t="s">
        <v>796</v>
      </c>
      <c r="D1090" s="337" t="s">
        <v>739</v>
      </c>
      <c r="E1090" s="337" t="s">
        <v>790</v>
      </c>
      <c r="F1090" s="337" t="s">
        <v>771</v>
      </c>
      <c r="G1090" s="337" t="s">
        <v>852</v>
      </c>
      <c r="H1090" s="337" t="s">
        <v>853</v>
      </c>
      <c r="I1090" s="337" t="s">
        <v>767</v>
      </c>
      <c r="J1090" s="337" t="s">
        <v>765</v>
      </c>
      <c r="K1090" s="337"/>
      <c r="L1090" s="337"/>
      <c r="M1090" s="337" t="s">
        <v>826</v>
      </c>
      <c r="N1090" s="337" t="s">
        <v>758</v>
      </c>
      <c r="O1090" s="337" t="e">
        <v>#N/A</v>
      </c>
      <c r="P1090" s="337"/>
      <c r="Q1090" s="337" t="s">
        <v>840</v>
      </c>
      <c r="R1090" s="343">
        <v>-61.09</v>
      </c>
    </row>
    <row r="1091" spans="1:18" x14ac:dyDescent="0.2">
      <c r="A1091" s="342" t="s">
        <v>730</v>
      </c>
      <c r="B1091" s="337" t="s">
        <v>789</v>
      </c>
      <c r="C1091" s="337" t="s">
        <v>796</v>
      </c>
      <c r="D1091" s="337" t="s">
        <v>739</v>
      </c>
      <c r="E1091" s="337" t="s">
        <v>790</v>
      </c>
      <c r="F1091" s="337" t="s">
        <v>771</v>
      </c>
      <c r="G1091" s="337" t="s">
        <v>852</v>
      </c>
      <c r="H1091" s="337" t="s">
        <v>853</v>
      </c>
      <c r="I1091" s="337" t="s">
        <v>767</v>
      </c>
      <c r="J1091" s="337" t="s">
        <v>765</v>
      </c>
      <c r="K1091" s="337"/>
      <c r="L1091" s="337"/>
      <c r="M1091" s="337" t="s">
        <v>826</v>
      </c>
      <c r="N1091" s="337" t="s">
        <v>758</v>
      </c>
      <c r="O1091" s="337" t="e">
        <v>#N/A</v>
      </c>
      <c r="P1091" s="337"/>
      <c r="Q1091" s="337" t="s">
        <v>840</v>
      </c>
      <c r="R1091" s="343">
        <v>-1802.08</v>
      </c>
    </row>
    <row r="1092" spans="1:18" x14ac:dyDescent="0.2">
      <c r="A1092" s="342" t="s">
        <v>731</v>
      </c>
      <c r="B1092" s="337" t="s">
        <v>789</v>
      </c>
      <c r="C1092" s="337" t="s">
        <v>796</v>
      </c>
      <c r="D1092" s="337" t="s">
        <v>739</v>
      </c>
      <c r="E1092" s="337" t="s">
        <v>790</v>
      </c>
      <c r="F1092" s="337" t="s">
        <v>771</v>
      </c>
      <c r="G1092" s="337" t="s">
        <v>852</v>
      </c>
      <c r="H1092" s="337" t="s">
        <v>853</v>
      </c>
      <c r="I1092" s="337" t="s">
        <v>767</v>
      </c>
      <c r="J1092" s="337" t="s">
        <v>765</v>
      </c>
      <c r="K1092" s="337"/>
      <c r="L1092" s="337"/>
      <c r="M1092" s="337" t="s">
        <v>826</v>
      </c>
      <c r="N1092" s="337" t="s">
        <v>758</v>
      </c>
      <c r="O1092" s="337" t="e">
        <v>#N/A</v>
      </c>
      <c r="P1092" s="337"/>
      <c r="Q1092" s="337" t="s">
        <v>840</v>
      </c>
      <c r="R1092" s="343">
        <v>-1406.53</v>
      </c>
    </row>
    <row r="1093" spans="1:18" x14ac:dyDescent="0.2">
      <c r="A1093" s="342" t="s">
        <v>732</v>
      </c>
      <c r="B1093" s="337" t="s">
        <v>789</v>
      </c>
      <c r="C1093" s="337" t="s">
        <v>796</v>
      </c>
      <c r="D1093" s="337" t="s">
        <v>739</v>
      </c>
      <c r="E1093" s="337" t="s">
        <v>790</v>
      </c>
      <c r="F1093" s="337" t="s">
        <v>771</v>
      </c>
      <c r="G1093" s="337" t="s">
        <v>852</v>
      </c>
      <c r="H1093" s="337" t="s">
        <v>853</v>
      </c>
      <c r="I1093" s="337" t="s">
        <v>767</v>
      </c>
      <c r="J1093" s="337" t="s">
        <v>765</v>
      </c>
      <c r="K1093" s="337"/>
      <c r="L1093" s="337"/>
      <c r="M1093" s="337" t="s">
        <v>826</v>
      </c>
      <c r="N1093" s="337" t="s">
        <v>758</v>
      </c>
      <c r="O1093" s="337" t="e">
        <v>#N/A</v>
      </c>
      <c r="P1093" s="337"/>
      <c r="Q1093" s="337" t="s">
        <v>840</v>
      </c>
      <c r="R1093" s="343">
        <v>-0.56000000000000005</v>
      </c>
    </row>
    <row r="1094" spans="1:18" x14ac:dyDescent="0.2">
      <c r="A1094" s="342" t="s">
        <v>733</v>
      </c>
      <c r="B1094" s="337" t="s">
        <v>789</v>
      </c>
      <c r="C1094" s="337" t="s">
        <v>796</v>
      </c>
      <c r="D1094" s="337" t="s">
        <v>739</v>
      </c>
      <c r="E1094" s="337" t="s">
        <v>790</v>
      </c>
      <c r="F1094" s="337" t="s">
        <v>771</v>
      </c>
      <c r="G1094" s="337" t="s">
        <v>852</v>
      </c>
      <c r="H1094" s="337" t="s">
        <v>853</v>
      </c>
      <c r="I1094" s="337" t="s">
        <v>767</v>
      </c>
      <c r="J1094" s="337" t="s">
        <v>765</v>
      </c>
      <c r="K1094" s="337"/>
      <c r="L1094" s="337"/>
      <c r="M1094" s="337" t="s">
        <v>826</v>
      </c>
      <c r="N1094" s="337" t="s">
        <v>758</v>
      </c>
      <c r="O1094" s="337" t="e">
        <v>#N/A</v>
      </c>
      <c r="P1094" s="337"/>
      <c r="Q1094" s="337" t="s">
        <v>840</v>
      </c>
      <c r="R1094" s="343">
        <v>-1280.24</v>
      </c>
    </row>
    <row r="1095" spans="1:18" x14ac:dyDescent="0.2">
      <c r="A1095" s="342" t="s">
        <v>734</v>
      </c>
      <c r="B1095" s="337" t="s">
        <v>789</v>
      </c>
      <c r="C1095" s="337" t="s">
        <v>796</v>
      </c>
      <c r="D1095" s="337" t="s">
        <v>739</v>
      </c>
      <c r="E1095" s="337" t="s">
        <v>790</v>
      </c>
      <c r="F1095" s="337" t="s">
        <v>771</v>
      </c>
      <c r="G1095" s="337" t="s">
        <v>852</v>
      </c>
      <c r="H1095" s="337" t="s">
        <v>853</v>
      </c>
      <c r="I1095" s="337" t="s">
        <v>767</v>
      </c>
      <c r="J1095" s="337" t="s">
        <v>765</v>
      </c>
      <c r="K1095" s="337"/>
      <c r="L1095" s="337"/>
      <c r="M1095" s="337" t="s">
        <v>826</v>
      </c>
      <c r="N1095" s="337" t="s">
        <v>758</v>
      </c>
      <c r="O1095" s="337" t="e">
        <v>#N/A</v>
      </c>
      <c r="P1095" s="337"/>
      <c r="Q1095" s="337" t="s">
        <v>840</v>
      </c>
      <c r="R1095" s="343">
        <v>0</v>
      </c>
    </row>
    <row r="1096" spans="1:18" x14ac:dyDescent="0.2">
      <c r="A1096" s="342" t="s">
        <v>735</v>
      </c>
      <c r="B1096" s="337" t="s">
        <v>789</v>
      </c>
      <c r="C1096" s="337" t="s">
        <v>796</v>
      </c>
      <c r="D1096" s="337" t="s">
        <v>739</v>
      </c>
      <c r="E1096" s="337" t="s">
        <v>790</v>
      </c>
      <c r="F1096" s="337" t="s">
        <v>771</v>
      </c>
      <c r="G1096" s="337" t="s">
        <v>852</v>
      </c>
      <c r="H1096" s="337" t="s">
        <v>853</v>
      </c>
      <c r="I1096" s="337" t="s">
        <v>767</v>
      </c>
      <c r="J1096" s="337" t="s">
        <v>765</v>
      </c>
      <c r="K1096" s="337"/>
      <c r="L1096" s="337"/>
      <c r="M1096" s="337" t="s">
        <v>826</v>
      </c>
      <c r="N1096" s="337" t="s">
        <v>758</v>
      </c>
      <c r="O1096" s="337" t="e">
        <v>#N/A</v>
      </c>
      <c r="P1096" s="337"/>
      <c r="Q1096" s="337" t="s">
        <v>840</v>
      </c>
      <c r="R1096" s="343">
        <v>-2734.76</v>
      </c>
    </row>
    <row r="1097" spans="1:18" x14ac:dyDescent="0.2">
      <c r="A1097" s="342" t="s">
        <v>736</v>
      </c>
      <c r="B1097" s="337" t="s">
        <v>789</v>
      </c>
      <c r="C1097" s="337" t="s">
        <v>796</v>
      </c>
      <c r="D1097" s="337" t="s">
        <v>739</v>
      </c>
      <c r="E1097" s="337" t="s">
        <v>790</v>
      </c>
      <c r="F1097" s="337" t="s">
        <v>771</v>
      </c>
      <c r="G1097" s="337" t="s">
        <v>852</v>
      </c>
      <c r="H1097" s="337" t="s">
        <v>853</v>
      </c>
      <c r="I1097" s="337" t="s">
        <v>767</v>
      </c>
      <c r="J1097" s="337" t="s">
        <v>765</v>
      </c>
      <c r="K1097" s="337"/>
      <c r="L1097" s="337"/>
      <c r="M1097" s="337" t="s">
        <v>826</v>
      </c>
      <c r="N1097" s="337" t="s">
        <v>758</v>
      </c>
      <c r="O1097" s="337" t="e">
        <v>#N/A</v>
      </c>
      <c r="P1097" s="337"/>
      <c r="Q1097" s="337" t="s">
        <v>840</v>
      </c>
      <c r="R1097" s="343">
        <v>-1979.41</v>
      </c>
    </row>
    <row r="1098" spans="1:18" x14ac:dyDescent="0.2">
      <c r="A1098" s="342" t="s">
        <v>737</v>
      </c>
      <c r="B1098" s="337" t="s">
        <v>789</v>
      </c>
      <c r="C1098" s="337" t="s">
        <v>796</v>
      </c>
      <c r="D1098" s="337" t="s">
        <v>739</v>
      </c>
      <c r="E1098" s="337" t="s">
        <v>790</v>
      </c>
      <c r="F1098" s="337" t="s">
        <v>771</v>
      </c>
      <c r="G1098" s="337" t="s">
        <v>852</v>
      </c>
      <c r="H1098" s="337" t="s">
        <v>853</v>
      </c>
      <c r="I1098" s="337" t="s">
        <v>767</v>
      </c>
      <c r="J1098" s="337" t="s">
        <v>765</v>
      </c>
      <c r="K1098" s="337"/>
      <c r="L1098" s="337"/>
      <c r="M1098" s="337" t="s">
        <v>826</v>
      </c>
      <c r="N1098" s="337" t="s">
        <v>758</v>
      </c>
      <c r="O1098" s="337" t="e">
        <v>#N/A</v>
      </c>
      <c r="P1098" s="337"/>
      <c r="Q1098" s="337" t="s">
        <v>840</v>
      </c>
      <c r="R1098" s="343">
        <v>-5316</v>
      </c>
    </row>
    <row r="1099" spans="1:18" x14ac:dyDescent="0.2">
      <c r="A1099" s="342" t="s">
        <v>738</v>
      </c>
      <c r="B1099" s="337" t="s">
        <v>789</v>
      </c>
      <c r="C1099" s="337" t="s">
        <v>796</v>
      </c>
      <c r="D1099" s="337" t="s">
        <v>739</v>
      </c>
      <c r="E1099" s="337" t="s">
        <v>790</v>
      </c>
      <c r="F1099" s="337" t="s">
        <v>771</v>
      </c>
      <c r="G1099" s="337" t="s">
        <v>852</v>
      </c>
      <c r="H1099" s="337" t="s">
        <v>853</v>
      </c>
      <c r="I1099" s="337" t="s">
        <v>767</v>
      </c>
      <c r="J1099" s="337" t="s">
        <v>765</v>
      </c>
      <c r="K1099" s="337"/>
      <c r="L1099" s="337"/>
      <c r="M1099" s="337" t="s">
        <v>826</v>
      </c>
      <c r="N1099" s="337" t="s">
        <v>758</v>
      </c>
      <c r="O1099" s="337" t="e">
        <v>#N/A</v>
      </c>
      <c r="P1099" s="337"/>
      <c r="Q1099" s="337" t="s">
        <v>840</v>
      </c>
      <c r="R1099" s="343">
        <v>-2158.8000000000002</v>
      </c>
    </row>
    <row r="1100" spans="1:18" x14ac:dyDescent="0.2">
      <c r="A1100" s="342" t="s">
        <v>727</v>
      </c>
      <c r="B1100" s="337" t="s">
        <v>789</v>
      </c>
      <c r="C1100" s="337" t="s">
        <v>796</v>
      </c>
      <c r="D1100" s="337" t="s">
        <v>739</v>
      </c>
      <c r="E1100" s="337" t="s">
        <v>790</v>
      </c>
      <c r="F1100" s="337" t="s">
        <v>771</v>
      </c>
      <c r="G1100" s="337" t="s">
        <v>852</v>
      </c>
      <c r="H1100" s="337" t="s">
        <v>853</v>
      </c>
      <c r="I1100" s="337" t="s">
        <v>767</v>
      </c>
      <c r="J1100" s="337" t="s">
        <v>765</v>
      </c>
      <c r="K1100" s="337"/>
      <c r="L1100" s="337"/>
      <c r="M1100" s="337" t="s">
        <v>826</v>
      </c>
      <c r="N1100" s="337" t="s">
        <v>758</v>
      </c>
      <c r="O1100" s="337" t="e">
        <v>#N/A</v>
      </c>
      <c r="P1100" s="337"/>
      <c r="Q1100" s="337" t="s">
        <v>840</v>
      </c>
      <c r="R1100" s="343">
        <v>-1159.58</v>
      </c>
    </row>
    <row r="1101" spans="1:18" x14ac:dyDescent="0.2">
      <c r="A1101" s="342" t="s">
        <v>728</v>
      </c>
      <c r="B1101" s="337" t="s">
        <v>789</v>
      </c>
      <c r="C1101" s="337" t="s">
        <v>796</v>
      </c>
      <c r="D1101" s="337" t="s">
        <v>739</v>
      </c>
      <c r="E1101" s="337" t="s">
        <v>790</v>
      </c>
      <c r="F1101" s="337" t="s">
        <v>771</v>
      </c>
      <c r="G1101" s="337" t="s">
        <v>852</v>
      </c>
      <c r="H1101" s="337" t="s">
        <v>853</v>
      </c>
      <c r="I1101" s="337" t="s">
        <v>767</v>
      </c>
      <c r="J1101" s="337" t="s">
        <v>765</v>
      </c>
      <c r="K1101" s="337"/>
      <c r="L1101" s="337"/>
      <c r="M1101" s="337" t="s">
        <v>826</v>
      </c>
      <c r="N1101" s="337" t="s">
        <v>758</v>
      </c>
      <c r="O1101" s="337" t="e">
        <v>#N/A</v>
      </c>
      <c r="P1101" s="337"/>
      <c r="Q1101" s="337" t="s">
        <v>845</v>
      </c>
      <c r="R1101" s="343">
        <v>0</v>
      </c>
    </row>
    <row r="1102" spans="1:18" x14ac:dyDescent="0.2">
      <c r="A1102" s="342" t="s">
        <v>728</v>
      </c>
      <c r="B1102" s="337" t="s">
        <v>789</v>
      </c>
      <c r="C1102" s="337" t="s">
        <v>796</v>
      </c>
      <c r="D1102" s="337" t="s">
        <v>739</v>
      </c>
      <c r="E1102" s="337" t="s">
        <v>790</v>
      </c>
      <c r="F1102" s="337" t="s">
        <v>771</v>
      </c>
      <c r="G1102" s="337" t="s">
        <v>852</v>
      </c>
      <c r="H1102" s="337" t="s">
        <v>853</v>
      </c>
      <c r="I1102" s="337" t="s">
        <v>767</v>
      </c>
      <c r="J1102" s="337" t="s">
        <v>765</v>
      </c>
      <c r="K1102" s="337"/>
      <c r="L1102" s="337"/>
      <c r="M1102" s="337" t="s">
        <v>826</v>
      </c>
      <c r="N1102" s="337" t="s">
        <v>758</v>
      </c>
      <c r="O1102" s="337" t="e">
        <v>#N/A</v>
      </c>
      <c r="P1102" s="337"/>
      <c r="Q1102" s="337" t="s">
        <v>842</v>
      </c>
      <c r="R1102" s="343">
        <v>-146.62</v>
      </c>
    </row>
    <row r="1103" spans="1:18" x14ac:dyDescent="0.2">
      <c r="A1103" s="342" t="s">
        <v>730</v>
      </c>
      <c r="B1103" s="337" t="s">
        <v>789</v>
      </c>
      <c r="C1103" s="337" t="s">
        <v>796</v>
      </c>
      <c r="D1103" s="337" t="s">
        <v>739</v>
      </c>
      <c r="E1103" s="337" t="s">
        <v>790</v>
      </c>
      <c r="F1103" s="337" t="s">
        <v>771</v>
      </c>
      <c r="G1103" s="337" t="s">
        <v>852</v>
      </c>
      <c r="H1103" s="337" t="s">
        <v>853</v>
      </c>
      <c r="I1103" s="337" t="s">
        <v>767</v>
      </c>
      <c r="J1103" s="337" t="s">
        <v>765</v>
      </c>
      <c r="K1103" s="337"/>
      <c r="L1103" s="337"/>
      <c r="M1103" s="337" t="s">
        <v>826</v>
      </c>
      <c r="N1103" s="337" t="s">
        <v>758</v>
      </c>
      <c r="O1103" s="337" t="e">
        <v>#N/A</v>
      </c>
      <c r="P1103" s="337"/>
      <c r="Q1103" s="337" t="s">
        <v>842</v>
      </c>
      <c r="R1103" s="343">
        <v>-272.27999999999997</v>
      </c>
    </row>
    <row r="1104" spans="1:18" x14ac:dyDescent="0.2">
      <c r="A1104" s="342" t="s">
        <v>731</v>
      </c>
      <c r="B1104" s="337" t="s">
        <v>789</v>
      </c>
      <c r="C1104" s="337" t="s">
        <v>796</v>
      </c>
      <c r="D1104" s="337" t="s">
        <v>739</v>
      </c>
      <c r="E1104" s="337" t="s">
        <v>790</v>
      </c>
      <c r="F1104" s="337" t="s">
        <v>771</v>
      </c>
      <c r="G1104" s="337" t="s">
        <v>852</v>
      </c>
      <c r="H1104" s="337" t="s">
        <v>853</v>
      </c>
      <c r="I1104" s="337" t="s">
        <v>767</v>
      </c>
      <c r="J1104" s="337" t="s">
        <v>765</v>
      </c>
      <c r="K1104" s="337"/>
      <c r="L1104" s="337"/>
      <c r="M1104" s="337" t="s">
        <v>826</v>
      </c>
      <c r="N1104" s="337" t="s">
        <v>758</v>
      </c>
      <c r="O1104" s="337" t="e">
        <v>#N/A</v>
      </c>
      <c r="P1104" s="337"/>
      <c r="Q1104" s="337" t="s">
        <v>842</v>
      </c>
      <c r="R1104" s="343">
        <v>-1537.66</v>
      </c>
    </row>
    <row r="1105" spans="1:18" x14ac:dyDescent="0.2">
      <c r="A1105" s="342" t="s">
        <v>732</v>
      </c>
      <c r="B1105" s="337" t="s">
        <v>789</v>
      </c>
      <c r="C1105" s="337" t="s">
        <v>796</v>
      </c>
      <c r="D1105" s="337" t="s">
        <v>739</v>
      </c>
      <c r="E1105" s="337" t="s">
        <v>790</v>
      </c>
      <c r="F1105" s="337" t="s">
        <v>771</v>
      </c>
      <c r="G1105" s="337" t="s">
        <v>852</v>
      </c>
      <c r="H1105" s="337" t="s">
        <v>853</v>
      </c>
      <c r="I1105" s="337" t="s">
        <v>767</v>
      </c>
      <c r="J1105" s="337" t="s">
        <v>765</v>
      </c>
      <c r="K1105" s="337"/>
      <c r="L1105" s="337"/>
      <c r="M1105" s="337" t="s">
        <v>826</v>
      </c>
      <c r="N1105" s="337" t="s">
        <v>758</v>
      </c>
      <c r="O1105" s="337" t="e">
        <v>#N/A</v>
      </c>
      <c r="P1105" s="337"/>
      <c r="Q1105" s="337" t="s">
        <v>842</v>
      </c>
      <c r="R1105" s="343">
        <v>-3133.33</v>
      </c>
    </row>
    <row r="1106" spans="1:18" x14ac:dyDescent="0.2">
      <c r="A1106" s="342" t="s">
        <v>726</v>
      </c>
      <c r="B1106" s="337" t="s">
        <v>789</v>
      </c>
      <c r="C1106" s="337" t="s">
        <v>796</v>
      </c>
      <c r="D1106" s="337" t="s">
        <v>739</v>
      </c>
      <c r="E1106" s="337" t="s">
        <v>790</v>
      </c>
      <c r="F1106" s="337" t="s">
        <v>771</v>
      </c>
      <c r="G1106" s="337" t="s">
        <v>852</v>
      </c>
      <c r="H1106" s="337" t="s">
        <v>853</v>
      </c>
      <c r="I1106" s="337" t="s">
        <v>767</v>
      </c>
      <c r="J1106" s="337" t="s">
        <v>765</v>
      </c>
      <c r="K1106" s="337"/>
      <c r="L1106" s="337"/>
      <c r="M1106" s="337" t="s">
        <v>826</v>
      </c>
      <c r="N1106" s="337" t="s">
        <v>758</v>
      </c>
      <c r="O1106" s="337" t="e">
        <v>#N/A</v>
      </c>
      <c r="P1106" s="337"/>
      <c r="Q1106" s="337" t="s">
        <v>842</v>
      </c>
      <c r="R1106" s="343">
        <v>-4356.07</v>
      </c>
    </row>
    <row r="1107" spans="1:18" x14ac:dyDescent="0.2">
      <c r="A1107" s="342" t="s">
        <v>733</v>
      </c>
      <c r="B1107" s="337" t="s">
        <v>789</v>
      </c>
      <c r="C1107" s="337" t="s">
        <v>796</v>
      </c>
      <c r="D1107" s="337" t="s">
        <v>739</v>
      </c>
      <c r="E1107" s="337" t="s">
        <v>790</v>
      </c>
      <c r="F1107" s="337" t="s">
        <v>771</v>
      </c>
      <c r="G1107" s="337" t="s">
        <v>852</v>
      </c>
      <c r="H1107" s="337" t="s">
        <v>853</v>
      </c>
      <c r="I1107" s="337" t="s">
        <v>767</v>
      </c>
      <c r="J1107" s="337" t="s">
        <v>765</v>
      </c>
      <c r="K1107" s="337"/>
      <c r="L1107" s="337"/>
      <c r="M1107" s="337" t="s">
        <v>826</v>
      </c>
      <c r="N1107" s="337" t="s">
        <v>758</v>
      </c>
      <c r="O1107" s="337" t="e">
        <v>#N/A</v>
      </c>
      <c r="P1107" s="337"/>
      <c r="Q1107" s="337" t="s">
        <v>842</v>
      </c>
      <c r="R1107" s="343">
        <v>-2252.52</v>
      </c>
    </row>
    <row r="1108" spans="1:18" x14ac:dyDescent="0.2">
      <c r="A1108" s="342" t="s">
        <v>734</v>
      </c>
      <c r="B1108" s="337" t="s">
        <v>789</v>
      </c>
      <c r="C1108" s="337" t="s">
        <v>796</v>
      </c>
      <c r="D1108" s="337" t="s">
        <v>739</v>
      </c>
      <c r="E1108" s="337" t="s">
        <v>790</v>
      </c>
      <c r="F1108" s="337" t="s">
        <v>771</v>
      </c>
      <c r="G1108" s="337" t="s">
        <v>852</v>
      </c>
      <c r="H1108" s="337" t="s">
        <v>853</v>
      </c>
      <c r="I1108" s="337" t="s">
        <v>767</v>
      </c>
      <c r="J1108" s="337" t="s">
        <v>765</v>
      </c>
      <c r="K1108" s="337"/>
      <c r="L1108" s="337"/>
      <c r="M1108" s="337" t="s">
        <v>826</v>
      </c>
      <c r="N1108" s="337" t="s">
        <v>758</v>
      </c>
      <c r="O1108" s="337" t="e">
        <v>#N/A</v>
      </c>
      <c r="P1108" s="337"/>
      <c r="Q1108" s="337" t="s">
        <v>842</v>
      </c>
      <c r="R1108" s="343">
        <v>-1885.86</v>
      </c>
    </row>
    <row r="1109" spans="1:18" x14ac:dyDescent="0.2">
      <c r="A1109" s="342" t="s">
        <v>735</v>
      </c>
      <c r="B1109" s="337" t="s">
        <v>789</v>
      </c>
      <c r="C1109" s="337" t="s">
        <v>796</v>
      </c>
      <c r="D1109" s="337" t="s">
        <v>739</v>
      </c>
      <c r="E1109" s="337" t="s">
        <v>790</v>
      </c>
      <c r="F1109" s="337" t="s">
        <v>771</v>
      </c>
      <c r="G1109" s="337" t="s">
        <v>852</v>
      </c>
      <c r="H1109" s="337" t="s">
        <v>853</v>
      </c>
      <c r="I1109" s="337" t="s">
        <v>767</v>
      </c>
      <c r="J1109" s="337" t="s">
        <v>765</v>
      </c>
      <c r="K1109" s="337"/>
      <c r="L1109" s="337"/>
      <c r="M1109" s="337" t="s">
        <v>826</v>
      </c>
      <c r="N1109" s="337" t="s">
        <v>758</v>
      </c>
      <c r="O1109" s="337" t="e">
        <v>#N/A</v>
      </c>
      <c r="P1109" s="337"/>
      <c r="Q1109" s="337" t="s">
        <v>842</v>
      </c>
      <c r="R1109" s="343">
        <v>-1832.14</v>
      </c>
    </row>
    <row r="1110" spans="1:18" x14ac:dyDescent="0.2">
      <c r="A1110" s="342" t="s">
        <v>736</v>
      </c>
      <c r="B1110" s="337" t="s">
        <v>789</v>
      </c>
      <c r="C1110" s="337" t="s">
        <v>796</v>
      </c>
      <c r="D1110" s="337" t="s">
        <v>739</v>
      </c>
      <c r="E1110" s="337" t="s">
        <v>790</v>
      </c>
      <c r="F1110" s="337" t="s">
        <v>771</v>
      </c>
      <c r="G1110" s="337" t="s">
        <v>852</v>
      </c>
      <c r="H1110" s="337" t="s">
        <v>853</v>
      </c>
      <c r="I1110" s="337" t="s">
        <v>767</v>
      </c>
      <c r="J1110" s="337" t="s">
        <v>765</v>
      </c>
      <c r="K1110" s="337"/>
      <c r="L1110" s="337"/>
      <c r="M1110" s="337" t="s">
        <v>826</v>
      </c>
      <c r="N1110" s="337" t="s">
        <v>758</v>
      </c>
      <c r="O1110" s="337" t="e">
        <v>#N/A</v>
      </c>
      <c r="P1110" s="337"/>
      <c r="Q1110" s="337" t="s">
        <v>842</v>
      </c>
      <c r="R1110" s="343">
        <v>-2456.9899999999998</v>
      </c>
    </row>
    <row r="1111" spans="1:18" x14ac:dyDescent="0.2">
      <c r="A1111" s="342" t="s">
        <v>737</v>
      </c>
      <c r="B1111" s="337" t="s">
        <v>789</v>
      </c>
      <c r="C1111" s="337" t="s">
        <v>796</v>
      </c>
      <c r="D1111" s="337" t="s">
        <v>739</v>
      </c>
      <c r="E1111" s="337" t="s">
        <v>790</v>
      </c>
      <c r="F1111" s="337" t="s">
        <v>771</v>
      </c>
      <c r="G1111" s="337" t="s">
        <v>852</v>
      </c>
      <c r="H1111" s="337" t="s">
        <v>853</v>
      </c>
      <c r="I1111" s="337" t="s">
        <v>767</v>
      </c>
      <c r="J1111" s="337" t="s">
        <v>765</v>
      </c>
      <c r="K1111" s="337"/>
      <c r="L1111" s="337"/>
      <c r="M1111" s="337" t="s">
        <v>826</v>
      </c>
      <c r="N1111" s="337" t="s">
        <v>758</v>
      </c>
      <c r="O1111" s="337" t="e">
        <v>#N/A</v>
      </c>
      <c r="P1111" s="337"/>
      <c r="Q1111" s="337" t="s">
        <v>842</v>
      </c>
      <c r="R1111" s="343">
        <v>-7243.36</v>
      </c>
    </row>
    <row r="1112" spans="1:18" x14ac:dyDescent="0.2">
      <c r="A1112" s="342" t="s">
        <v>738</v>
      </c>
      <c r="B1112" s="337" t="s">
        <v>789</v>
      </c>
      <c r="C1112" s="337" t="s">
        <v>796</v>
      </c>
      <c r="D1112" s="337" t="s">
        <v>739</v>
      </c>
      <c r="E1112" s="337" t="s">
        <v>790</v>
      </c>
      <c r="F1112" s="337" t="s">
        <v>771</v>
      </c>
      <c r="G1112" s="337" t="s">
        <v>852</v>
      </c>
      <c r="H1112" s="337" t="s">
        <v>853</v>
      </c>
      <c r="I1112" s="337" t="s">
        <v>767</v>
      </c>
      <c r="J1112" s="337" t="s">
        <v>765</v>
      </c>
      <c r="K1112" s="337"/>
      <c r="L1112" s="337"/>
      <c r="M1112" s="337" t="s">
        <v>826</v>
      </c>
      <c r="N1112" s="337" t="s">
        <v>758</v>
      </c>
      <c r="O1112" s="337" t="e">
        <v>#N/A</v>
      </c>
      <c r="P1112" s="337"/>
      <c r="Q1112" s="337" t="s">
        <v>842</v>
      </c>
      <c r="R1112" s="343">
        <v>-5447.22</v>
      </c>
    </row>
    <row r="1113" spans="1:18" x14ac:dyDescent="0.2">
      <c r="A1113" s="342" t="s">
        <v>727</v>
      </c>
      <c r="B1113" s="337" t="s">
        <v>789</v>
      </c>
      <c r="C1113" s="337" t="s">
        <v>796</v>
      </c>
      <c r="D1113" s="337" t="s">
        <v>739</v>
      </c>
      <c r="E1113" s="337" t="s">
        <v>790</v>
      </c>
      <c r="F1113" s="337" t="s">
        <v>771</v>
      </c>
      <c r="G1113" s="337" t="s">
        <v>852</v>
      </c>
      <c r="H1113" s="337" t="s">
        <v>853</v>
      </c>
      <c r="I1113" s="337" t="s">
        <v>767</v>
      </c>
      <c r="J1113" s="337" t="s">
        <v>765</v>
      </c>
      <c r="K1113" s="337"/>
      <c r="L1113" s="337"/>
      <c r="M1113" s="337" t="s">
        <v>826</v>
      </c>
      <c r="N1113" s="337" t="s">
        <v>758</v>
      </c>
      <c r="O1113" s="337" t="e">
        <v>#N/A</v>
      </c>
      <c r="P1113" s="337"/>
      <c r="Q1113" s="337" t="s">
        <v>842</v>
      </c>
      <c r="R1113" s="343">
        <v>-364.14</v>
      </c>
    </row>
    <row r="1114" spans="1:18" x14ac:dyDescent="0.2">
      <c r="A1114" s="342" t="s">
        <v>731</v>
      </c>
      <c r="B1114" s="337" t="s">
        <v>789</v>
      </c>
      <c r="C1114" s="337" t="s">
        <v>796</v>
      </c>
      <c r="D1114" s="337" t="s">
        <v>739</v>
      </c>
      <c r="E1114" s="337" t="s">
        <v>790</v>
      </c>
      <c r="F1114" s="337" t="s">
        <v>771</v>
      </c>
      <c r="G1114" s="337" t="s">
        <v>852</v>
      </c>
      <c r="H1114" s="337" t="s">
        <v>853</v>
      </c>
      <c r="I1114" s="337" t="s">
        <v>767</v>
      </c>
      <c r="J1114" s="337" t="s">
        <v>765</v>
      </c>
      <c r="K1114" s="337"/>
      <c r="L1114" s="337"/>
      <c r="M1114" s="337" t="s">
        <v>826</v>
      </c>
      <c r="N1114" s="337" t="s">
        <v>758</v>
      </c>
      <c r="O1114" s="337" t="e">
        <v>#N/A</v>
      </c>
      <c r="P1114" s="337"/>
      <c r="Q1114" s="337" t="s">
        <v>851</v>
      </c>
      <c r="R1114" s="343">
        <v>-489.24</v>
      </c>
    </row>
    <row r="1115" spans="1:18" x14ac:dyDescent="0.2">
      <c r="A1115" s="342" t="s">
        <v>732</v>
      </c>
      <c r="B1115" s="337" t="s">
        <v>789</v>
      </c>
      <c r="C1115" s="337" t="s">
        <v>796</v>
      </c>
      <c r="D1115" s="337" t="s">
        <v>739</v>
      </c>
      <c r="E1115" s="337" t="s">
        <v>790</v>
      </c>
      <c r="F1115" s="337" t="s">
        <v>771</v>
      </c>
      <c r="G1115" s="337" t="s">
        <v>852</v>
      </c>
      <c r="H1115" s="337" t="s">
        <v>853</v>
      </c>
      <c r="I1115" s="337" t="s">
        <v>767</v>
      </c>
      <c r="J1115" s="337" t="s">
        <v>765</v>
      </c>
      <c r="K1115" s="337"/>
      <c r="L1115" s="337"/>
      <c r="M1115" s="337" t="s">
        <v>826</v>
      </c>
      <c r="N1115" s="337" t="s">
        <v>758</v>
      </c>
      <c r="O1115" s="337" t="e">
        <v>#N/A</v>
      </c>
      <c r="P1115" s="337"/>
      <c r="Q1115" s="337" t="s">
        <v>851</v>
      </c>
      <c r="R1115" s="343">
        <v>0</v>
      </c>
    </row>
    <row r="1116" spans="1:18" x14ac:dyDescent="0.2">
      <c r="A1116" s="342" t="s">
        <v>728</v>
      </c>
      <c r="B1116" s="337" t="s">
        <v>789</v>
      </c>
      <c r="C1116" s="337" t="s">
        <v>796</v>
      </c>
      <c r="D1116" s="337" t="s">
        <v>739</v>
      </c>
      <c r="E1116" s="337" t="s">
        <v>790</v>
      </c>
      <c r="F1116" s="337" t="s">
        <v>771</v>
      </c>
      <c r="G1116" s="337" t="s">
        <v>852</v>
      </c>
      <c r="H1116" s="337" t="s">
        <v>853</v>
      </c>
      <c r="I1116" s="337" t="s">
        <v>767</v>
      </c>
      <c r="J1116" s="337" t="s">
        <v>765</v>
      </c>
      <c r="K1116" s="337"/>
      <c r="L1116" s="337"/>
      <c r="M1116" s="337" t="s">
        <v>827</v>
      </c>
      <c r="N1116" s="337" t="s">
        <v>828</v>
      </c>
      <c r="O1116" s="337" t="e">
        <v>#N/A</v>
      </c>
      <c r="P1116" s="337"/>
      <c r="Q1116" s="337" t="s">
        <v>843</v>
      </c>
      <c r="R1116" s="343">
        <v>-14119.14</v>
      </c>
    </row>
    <row r="1117" spans="1:18" x14ac:dyDescent="0.2">
      <c r="A1117" s="342" t="s">
        <v>730</v>
      </c>
      <c r="B1117" s="337" t="s">
        <v>789</v>
      </c>
      <c r="C1117" s="337" t="s">
        <v>796</v>
      </c>
      <c r="D1117" s="337" t="s">
        <v>739</v>
      </c>
      <c r="E1117" s="337" t="s">
        <v>790</v>
      </c>
      <c r="F1117" s="337" t="s">
        <v>771</v>
      </c>
      <c r="G1117" s="337" t="s">
        <v>852</v>
      </c>
      <c r="H1117" s="337" t="s">
        <v>853</v>
      </c>
      <c r="I1117" s="337" t="s">
        <v>767</v>
      </c>
      <c r="J1117" s="337" t="s">
        <v>765</v>
      </c>
      <c r="K1117" s="337"/>
      <c r="L1117" s="337"/>
      <c r="M1117" s="337" t="s">
        <v>827</v>
      </c>
      <c r="N1117" s="337" t="s">
        <v>828</v>
      </c>
      <c r="O1117" s="337" t="e">
        <v>#N/A</v>
      </c>
      <c r="P1117" s="337"/>
      <c r="Q1117" s="337" t="s">
        <v>843</v>
      </c>
      <c r="R1117" s="343">
        <v>-43430.8</v>
      </c>
    </row>
    <row r="1118" spans="1:18" x14ac:dyDescent="0.2">
      <c r="A1118" s="342" t="s">
        <v>731</v>
      </c>
      <c r="B1118" s="337" t="s">
        <v>789</v>
      </c>
      <c r="C1118" s="337" t="s">
        <v>796</v>
      </c>
      <c r="D1118" s="337" t="s">
        <v>739</v>
      </c>
      <c r="E1118" s="337" t="s">
        <v>790</v>
      </c>
      <c r="F1118" s="337" t="s">
        <v>771</v>
      </c>
      <c r="G1118" s="337" t="s">
        <v>852</v>
      </c>
      <c r="H1118" s="337" t="s">
        <v>853</v>
      </c>
      <c r="I1118" s="337" t="s">
        <v>767</v>
      </c>
      <c r="J1118" s="337" t="s">
        <v>765</v>
      </c>
      <c r="K1118" s="337"/>
      <c r="L1118" s="337"/>
      <c r="M1118" s="337" t="s">
        <v>827</v>
      </c>
      <c r="N1118" s="337" t="s">
        <v>828</v>
      </c>
      <c r="O1118" s="337" t="e">
        <v>#N/A</v>
      </c>
      <c r="P1118" s="337"/>
      <c r="Q1118" s="337" t="s">
        <v>843</v>
      </c>
      <c r="R1118" s="343">
        <v>-38399.519999999997</v>
      </c>
    </row>
    <row r="1119" spans="1:18" x14ac:dyDescent="0.2">
      <c r="A1119" s="342" t="s">
        <v>732</v>
      </c>
      <c r="B1119" s="337" t="s">
        <v>789</v>
      </c>
      <c r="C1119" s="337" t="s">
        <v>796</v>
      </c>
      <c r="D1119" s="337" t="s">
        <v>739</v>
      </c>
      <c r="E1119" s="337" t="s">
        <v>790</v>
      </c>
      <c r="F1119" s="337" t="s">
        <v>771</v>
      </c>
      <c r="G1119" s="337" t="s">
        <v>852</v>
      </c>
      <c r="H1119" s="337" t="s">
        <v>853</v>
      </c>
      <c r="I1119" s="337" t="s">
        <v>767</v>
      </c>
      <c r="J1119" s="337" t="s">
        <v>765</v>
      </c>
      <c r="K1119" s="337"/>
      <c r="L1119" s="337"/>
      <c r="M1119" s="337" t="s">
        <v>827</v>
      </c>
      <c r="N1119" s="337" t="s">
        <v>828</v>
      </c>
      <c r="O1119" s="337" t="e">
        <v>#N/A</v>
      </c>
      <c r="P1119" s="337"/>
      <c r="Q1119" s="337" t="s">
        <v>843</v>
      </c>
      <c r="R1119" s="343">
        <v>-30635.21</v>
      </c>
    </row>
    <row r="1120" spans="1:18" x14ac:dyDescent="0.2">
      <c r="A1120" s="342" t="s">
        <v>726</v>
      </c>
      <c r="B1120" s="337" t="s">
        <v>789</v>
      </c>
      <c r="C1120" s="337" t="s">
        <v>796</v>
      </c>
      <c r="D1120" s="337" t="s">
        <v>739</v>
      </c>
      <c r="E1120" s="337" t="s">
        <v>790</v>
      </c>
      <c r="F1120" s="337" t="s">
        <v>771</v>
      </c>
      <c r="G1120" s="337" t="s">
        <v>852</v>
      </c>
      <c r="H1120" s="337" t="s">
        <v>853</v>
      </c>
      <c r="I1120" s="337" t="s">
        <v>767</v>
      </c>
      <c r="J1120" s="337" t="s">
        <v>765</v>
      </c>
      <c r="K1120" s="337"/>
      <c r="L1120" s="337"/>
      <c r="M1120" s="337" t="s">
        <v>827</v>
      </c>
      <c r="N1120" s="337" t="s">
        <v>828</v>
      </c>
      <c r="O1120" s="337" t="e">
        <v>#N/A</v>
      </c>
      <c r="P1120" s="337"/>
      <c r="Q1120" s="337" t="s">
        <v>843</v>
      </c>
      <c r="R1120" s="343">
        <v>-43787.839999999997</v>
      </c>
    </row>
    <row r="1121" spans="1:18" x14ac:dyDescent="0.2">
      <c r="A1121" s="342" t="s">
        <v>733</v>
      </c>
      <c r="B1121" s="337" t="s">
        <v>789</v>
      </c>
      <c r="C1121" s="337" t="s">
        <v>796</v>
      </c>
      <c r="D1121" s="337" t="s">
        <v>739</v>
      </c>
      <c r="E1121" s="337" t="s">
        <v>790</v>
      </c>
      <c r="F1121" s="337" t="s">
        <v>771</v>
      </c>
      <c r="G1121" s="337" t="s">
        <v>852</v>
      </c>
      <c r="H1121" s="337" t="s">
        <v>853</v>
      </c>
      <c r="I1121" s="337" t="s">
        <v>767</v>
      </c>
      <c r="J1121" s="337" t="s">
        <v>765</v>
      </c>
      <c r="K1121" s="337"/>
      <c r="L1121" s="337"/>
      <c r="M1121" s="337" t="s">
        <v>827</v>
      </c>
      <c r="N1121" s="337" t="s">
        <v>828</v>
      </c>
      <c r="O1121" s="337" t="e">
        <v>#N/A</v>
      </c>
      <c r="P1121" s="337"/>
      <c r="Q1121" s="337" t="s">
        <v>843</v>
      </c>
      <c r="R1121" s="343">
        <v>-27363.39</v>
      </c>
    </row>
    <row r="1122" spans="1:18" x14ac:dyDescent="0.2">
      <c r="A1122" s="342" t="s">
        <v>734</v>
      </c>
      <c r="B1122" s="337" t="s">
        <v>789</v>
      </c>
      <c r="C1122" s="337" t="s">
        <v>796</v>
      </c>
      <c r="D1122" s="337" t="s">
        <v>739</v>
      </c>
      <c r="E1122" s="337" t="s">
        <v>790</v>
      </c>
      <c r="F1122" s="337" t="s">
        <v>771</v>
      </c>
      <c r="G1122" s="337" t="s">
        <v>852</v>
      </c>
      <c r="H1122" s="337" t="s">
        <v>853</v>
      </c>
      <c r="I1122" s="337" t="s">
        <v>767</v>
      </c>
      <c r="J1122" s="337" t="s">
        <v>765</v>
      </c>
      <c r="K1122" s="337"/>
      <c r="L1122" s="337"/>
      <c r="M1122" s="337" t="s">
        <v>827</v>
      </c>
      <c r="N1122" s="337" t="s">
        <v>828</v>
      </c>
      <c r="O1122" s="337" t="e">
        <v>#N/A</v>
      </c>
      <c r="P1122" s="337"/>
      <c r="Q1122" s="337" t="s">
        <v>834</v>
      </c>
      <c r="R1122" s="343">
        <v>-66551.64</v>
      </c>
    </row>
    <row r="1123" spans="1:18" x14ac:dyDescent="0.2">
      <c r="A1123" s="342" t="s">
        <v>735</v>
      </c>
      <c r="B1123" s="337" t="s">
        <v>789</v>
      </c>
      <c r="C1123" s="337" t="s">
        <v>796</v>
      </c>
      <c r="D1123" s="337" t="s">
        <v>739</v>
      </c>
      <c r="E1123" s="337" t="s">
        <v>790</v>
      </c>
      <c r="F1123" s="337" t="s">
        <v>771</v>
      </c>
      <c r="G1123" s="337" t="s">
        <v>852</v>
      </c>
      <c r="H1123" s="337" t="s">
        <v>853</v>
      </c>
      <c r="I1123" s="337" t="s">
        <v>767</v>
      </c>
      <c r="J1123" s="337" t="s">
        <v>765</v>
      </c>
      <c r="K1123" s="337"/>
      <c r="L1123" s="337"/>
      <c r="M1123" s="337" t="s">
        <v>827</v>
      </c>
      <c r="N1123" s="337" t="s">
        <v>828</v>
      </c>
      <c r="O1123" s="337" t="e">
        <v>#N/A</v>
      </c>
      <c r="P1123" s="337"/>
      <c r="Q1123" s="337" t="s">
        <v>834</v>
      </c>
      <c r="R1123" s="343">
        <v>0</v>
      </c>
    </row>
    <row r="1124" spans="1:18" x14ac:dyDescent="0.2">
      <c r="A1124" s="342" t="s">
        <v>726</v>
      </c>
      <c r="B1124" s="337" t="s">
        <v>789</v>
      </c>
      <c r="C1124" s="337" t="s">
        <v>796</v>
      </c>
      <c r="D1124" s="337" t="s">
        <v>739</v>
      </c>
      <c r="E1124" s="337" t="s">
        <v>790</v>
      </c>
      <c r="F1124" s="337" t="s">
        <v>771</v>
      </c>
      <c r="G1124" s="337" t="s">
        <v>852</v>
      </c>
      <c r="H1124" s="337" t="s">
        <v>853</v>
      </c>
      <c r="I1124" s="337" t="s">
        <v>767</v>
      </c>
      <c r="J1124" s="337" t="s">
        <v>765</v>
      </c>
      <c r="K1124" s="337"/>
      <c r="L1124" s="337"/>
      <c r="M1124" s="337" t="s">
        <v>827</v>
      </c>
      <c r="N1124" s="337" t="s">
        <v>828</v>
      </c>
      <c r="O1124" s="337" t="e">
        <v>#N/A</v>
      </c>
      <c r="P1124" s="337"/>
      <c r="Q1124" s="337" t="s">
        <v>840</v>
      </c>
      <c r="R1124" s="343">
        <v>-10.23</v>
      </c>
    </row>
    <row r="1125" spans="1:18" x14ac:dyDescent="0.2">
      <c r="A1125" s="342" t="s">
        <v>735</v>
      </c>
      <c r="B1125" s="337" t="s">
        <v>789</v>
      </c>
      <c r="C1125" s="337" t="s">
        <v>796</v>
      </c>
      <c r="D1125" s="337" t="s">
        <v>739</v>
      </c>
      <c r="E1125" s="337" t="s">
        <v>790</v>
      </c>
      <c r="F1125" s="337" t="s">
        <v>771</v>
      </c>
      <c r="G1125" s="337" t="s">
        <v>852</v>
      </c>
      <c r="H1125" s="337" t="s">
        <v>853</v>
      </c>
      <c r="I1125" s="337" t="s">
        <v>767</v>
      </c>
      <c r="J1125" s="337" t="s">
        <v>765</v>
      </c>
      <c r="K1125" s="337"/>
      <c r="L1125" s="337"/>
      <c r="M1125" s="337" t="s">
        <v>827</v>
      </c>
      <c r="N1125" s="337" t="s">
        <v>828</v>
      </c>
      <c r="O1125" s="337" t="e">
        <v>#N/A</v>
      </c>
      <c r="P1125" s="337"/>
      <c r="Q1125" s="337" t="s">
        <v>840</v>
      </c>
      <c r="R1125" s="343">
        <v>-60566.82</v>
      </c>
    </row>
    <row r="1126" spans="1:18" x14ac:dyDescent="0.2">
      <c r="A1126" s="342" t="s">
        <v>736</v>
      </c>
      <c r="B1126" s="337" t="s">
        <v>789</v>
      </c>
      <c r="C1126" s="337" t="s">
        <v>796</v>
      </c>
      <c r="D1126" s="337" t="s">
        <v>739</v>
      </c>
      <c r="E1126" s="337" t="s">
        <v>790</v>
      </c>
      <c r="F1126" s="337" t="s">
        <v>771</v>
      </c>
      <c r="G1126" s="337" t="s">
        <v>852</v>
      </c>
      <c r="H1126" s="337" t="s">
        <v>853</v>
      </c>
      <c r="I1126" s="337" t="s">
        <v>767</v>
      </c>
      <c r="J1126" s="337" t="s">
        <v>765</v>
      </c>
      <c r="K1126" s="337"/>
      <c r="L1126" s="337"/>
      <c r="M1126" s="337" t="s">
        <v>827</v>
      </c>
      <c r="N1126" s="337" t="s">
        <v>828</v>
      </c>
      <c r="O1126" s="337" t="e">
        <v>#N/A</v>
      </c>
      <c r="P1126" s="337"/>
      <c r="Q1126" s="337" t="s">
        <v>840</v>
      </c>
      <c r="R1126" s="343">
        <v>-44640.49</v>
      </c>
    </row>
    <row r="1127" spans="1:18" x14ac:dyDescent="0.2">
      <c r="A1127" s="342" t="s">
        <v>737</v>
      </c>
      <c r="B1127" s="337" t="s">
        <v>789</v>
      </c>
      <c r="C1127" s="337" t="s">
        <v>796</v>
      </c>
      <c r="D1127" s="337" t="s">
        <v>739</v>
      </c>
      <c r="E1127" s="337" t="s">
        <v>790</v>
      </c>
      <c r="F1127" s="337" t="s">
        <v>771</v>
      </c>
      <c r="G1127" s="337" t="s">
        <v>852</v>
      </c>
      <c r="H1127" s="337" t="s">
        <v>853</v>
      </c>
      <c r="I1127" s="337" t="s">
        <v>767</v>
      </c>
      <c r="J1127" s="337" t="s">
        <v>765</v>
      </c>
      <c r="K1127" s="337"/>
      <c r="L1127" s="337"/>
      <c r="M1127" s="337" t="s">
        <v>827</v>
      </c>
      <c r="N1127" s="337" t="s">
        <v>828</v>
      </c>
      <c r="O1127" s="337" t="e">
        <v>#N/A</v>
      </c>
      <c r="P1127" s="337"/>
      <c r="Q1127" s="337" t="s">
        <v>840</v>
      </c>
      <c r="R1127" s="343">
        <v>-15005.8</v>
      </c>
    </row>
    <row r="1128" spans="1:18" x14ac:dyDescent="0.2">
      <c r="A1128" s="342" t="s">
        <v>738</v>
      </c>
      <c r="B1128" s="337" t="s">
        <v>789</v>
      </c>
      <c r="C1128" s="337" t="s">
        <v>796</v>
      </c>
      <c r="D1128" s="337" t="s">
        <v>739</v>
      </c>
      <c r="E1128" s="337" t="s">
        <v>790</v>
      </c>
      <c r="F1128" s="337" t="s">
        <v>771</v>
      </c>
      <c r="G1128" s="337" t="s">
        <v>852</v>
      </c>
      <c r="H1128" s="337" t="s">
        <v>853</v>
      </c>
      <c r="I1128" s="337" t="s">
        <v>767</v>
      </c>
      <c r="J1128" s="337" t="s">
        <v>765</v>
      </c>
      <c r="K1128" s="337"/>
      <c r="L1128" s="337"/>
      <c r="M1128" s="337" t="s">
        <v>827</v>
      </c>
      <c r="N1128" s="337" t="s">
        <v>828</v>
      </c>
      <c r="O1128" s="337" t="e">
        <v>#N/A</v>
      </c>
      <c r="P1128" s="337"/>
      <c r="Q1128" s="337" t="s">
        <v>840</v>
      </c>
      <c r="R1128" s="343">
        <v>207.96</v>
      </c>
    </row>
    <row r="1129" spans="1:18" x14ac:dyDescent="0.2">
      <c r="A1129" s="342" t="s">
        <v>727</v>
      </c>
      <c r="B1129" s="337" t="s">
        <v>789</v>
      </c>
      <c r="C1129" s="337" t="s">
        <v>796</v>
      </c>
      <c r="D1129" s="337" t="s">
        <v>739</v>
      </c>
      <c r="E1129" s="337" t="s">
        <v>790</v>
      </c>
      <c r="F1129" s="337" t="s">
        <v>771</v>
      </c>
      <c r="G1129" s="337" t="s">
        <v>852</v>
      </c>
      <c r="H1129" s="337" t="s">
        <v>853</v>
      </c>
      <c r="I1129" s="337" t="s">
        <v>767</v>
      </c>
      <c r="J1129" s="337" t="s">
        <v>765</v>
      </c>
      <c r="K1129" s="337"/>
      <c r="L1129" s="337"/>
      <c r="M1129" s="337" t="s">
        <v>827</v>
      </c>
      <c r="N1129" s="337" t="s">
        <v>828</v>
      </c>
      <c r="O1129" s="337" t="e">
        <v>#N/A</v>
      </c>
      <c r="P1129" s="337"/>
      <c r="Q1129" s="337" t="s">
        <v>840</v>
      </c>
      <c r="R1129" s="343">
        <v>-485.71</v>
      </c>
    </row>
    <row r="1130" spans="1:18" x14ac:dyDescent="0.2">
      <c r="A1130" s="342" t="s">
        <v>735</v>
      </c>
      <c r="B1130" s="337" t="s">
        <v>789</v>
      </c>
      <c r="C1130" s="337" t="s">
        <v>796</v>
      </c>
      <c r="D1130" s="337" t="s">
        <v>739</v>
      </c>
      <c r="E1130" s="337" t="s">
        <v>790</v>
      </c>
      <c r="F1130" s="337" t="s">
        <v>771</v>
      </c>
      <c r="G1130" s="337" t="s">
        <v>852</v>
      </c>
      <c r="H1130" s="337" t="s">
        <v>853</v>
      </c>
      <c r="I1130" s="337" t="s">
        <v>767</v>
      </c>
      <c r="J1130" s="337" t="s">
        <v>765</v>
      </c>
      <c r="K1130" s="337"/>
      <c r="L1130" s="337"/>
      <c r="M1130" s="337" t="s">
        <v>827</v>
      </c>
      <c r="N1130" s="337" t="s">
        <v>828</v>
      </c>
      <c r="O1130" s="337" t="e">
        <v>#N/A</v>
      </c>
      <c r="P1130" s="337"/>
      <c r="Q1130" s="337" t="s">
        <v>841</v>
      </c>
      <c r="R1130" s="343">
        <v>-1313.5</v>
      </c>
    </row>
    <row r="1131" spans="1:18" x14ac:dyDescent="0.2">
      <c r="A1131" s="342" t="s">
        <v>736</v>
      </c>
      <c r="B1131" s="337" t="s">
        <v>789</v>
      </c>
      <c r="C1131" s="337" t="s">
        <v>796</v>
      </c>
      <c r="D1131" s="337" t="s">
        <v>739</v>
      </c>
      <c r="E1131" s="337" t="s">
        <v>790</v>
      </c>
      <c r="F1131" s="337" t="s">
        <v>771</v>
      </c>
      <c r="G1131" s="337" t="s">
        <v>852</v>
      </c>
      <c r="H1131" s="337" t="s">
        <v>853</v>
      </c>
      <c r="I1131" s="337" t="s">
        <v>767</v>
      </c>
      <c r="J1131" s="337" t="s">
        <v>765</v>
      </c>
      <c r="K1131" s="337"/>
      <c r="L1131" s="337"/>
      <c r="M1131" s="337" t="s">
        <v>827</v>
      </c>
      <c r="N1131" s="337" t="s">
        <v>828</v>
      </c>
      <c r="O1131" s="337" t="e">
        <v>#N/A</v>
      </c>
      <c r="P1131" s="337"/>
      <c r="Q1131" s="337" t="s">
        <v>841</v>
      </c>
      <c r="R1131" s="343">
        <v>-122719.99</v>
      </c>
    </row>
    <row r="1132" spans="1:18" x14ac:dyDescent="0.2">
      <c r="A1132" s="342" t="s">
        <v>737</v>
      </c>
      <c r="B1132" s="337" t="s">
        <v>789</v>
      </c>
      <c r="C1132" s="337" t="s">
        <v>796</v>
      </c>
      <c r="D1132" s="337" t="s">
        <v>739</v>
      </c>
      <c r="E1132" s="337" t="s">
        <v>790</v>
      </c>
      <c r="F1132" s="337" t="s">
        <v>771</v>
      </c>
      <c r="G1132" s="337" t="s">
        <v>852</v>
      </c>
      <c r="H1132" s="337" t="s">
        <v>853</v>
      </c>
      <c r="I1132" s="337" t="s">
        <v>767</v>
      </c>
      <c r="J1132" s="337" t="s">
        <v>765</v>
      </c>
      <c r="K1132" s="337"/>
      <c r="L1132" s="337"/>
      <c r="M1132" s="337" t="s">
        <v>827</v>
      </c>
      <c r="N1132" s="337" t="s">
        <v>828</v>
      </c>
      <c r="O1132" s="337" t="e">
        <v>#N/A</v>
      </c>
      <c r="P1132" s="337"/>
      <c r="Q1132" s="337" t="s">
        <v>841</v>
      </c>
      <c r="R1132" s="343">
        <v>-1436.68</v>
      </c>
    </row>
    <row r="1133" spans="1:18" x14ac:dyDescent="0.2">
      <c r="A1133" s="342" t="s">
        <v>730</v>
      </c>
      <c r="B1133" s="337" t="s">
        <v>789</v>
      </c>
      <c r="C1133" s="337" t="s">
        <v>796</v>
      </c>
      <c r="D1133" s="337" t="s">
        <v>739</v>
      </c>
      <c r="E1133" s="337" t="s">
        <v>790</v>
      </c>
      <c r="F1133" s="337" t="s">
        <v>771</v>
      </c>
      <c r="G1133" s="337" t="s">
        <v>852</v>
      </c>
      <c r="H1133" s="337" t="s">
        <v>853</v>
      </c>
      <c r="I1133" s="337" t="s">
        <v>767</v>
      </c>
      <c r="J1133" s="337" t="s">
        <v>765</v>
      </c>
      <c r="K1133" s="337"/>
      <c r="L1133" s="337"/>
      <c r="M1133" s="337" t="s">
        <v>827</v>
      </c>
      <c r="N1133" s="337" t="s">
        <v>828</v>
      </c>
      <c r="O1133" s="337" t="e">
        <v>#N/A</v>
      </c>
      <c r="P1133" s="337"/>
      <c r="Q1133" s="337" t="s">
        <v>845</v>
      </c>
      <c r="R1133" s="343">
        <v>-22798.77</v>
      </c>
    </row>
    <row r="1134" spans="1:18" x14ac:dyDescent="0.2">
      <c r="A1134" s="342" t="s">
        <v>731</v>
      </c>
      <c r="B1134" s="337" t="s">
        <v>789</v>
      </c>
      <c r="C1134" s="337" t="s">
        <v>796</v>
      </c>
      <c r="D1134" s="337" t="s">
        <v>739</v>
      </c>
      <c r="E1134" s="337" t="s">
        <v>790</v>
      </c>
      <c r="F1134" s="337" t="s">
        <v>771</v>
      </c>
      <c r="G1134" s="337" t="s">
        <v>852</v>
      </c>
      <c r="H1134" s="337" t="s">
        <v>853</v>
      </c>
      <c r="I1134" s="337" t="s">
        <v>767</v>
      </c>
      <c r="J1134" s="337" t="s">
        <v>765</v>
      </c>
      <c r="K1134" s="337"/>
      <c r="L1134" s="337"/>
      <c r="M1134" s="337" t="s">
        <v>827</v>
      </c>
      <c r="N1134" s="337" t="s">
        <v>828</v>
      </c>
      <c r="O1134" s="337" t="e">
        <v>#N/A</v>
      </c>
      <c r="P1134" s="337"/>
      <c r="Q1134" s="337" t="s">
        <v>845</v>
      </c>
      <c r="R1134" s="343">
        <v>-21463.97</v>
      </c>
    </row>
    <row r="1135" spans="1:18" x14ac:dyDescent="0.2">
      <c r="A1135" s="342" t="s">
        <v>732</v>
      </c>
      <c r="B1135" s="337" t="s">
        <v>789</v>
      </c>
      <c r="C1135" s="337" t="s">
        <v>796</v>
      </c>
      <c r="D1135" s="337" t="s">
        <v>739</v>
      </c>
      <c r="E1135" s="337" t="s">
        <v>790</v>
      </c>
      <c r="F1135" s="337" t="s">
        <v>771</v>
      </c>
      <c r="G1135" s="337" t="s">
        <v>852</v>
      </c>
      <c r="H1135" s="337" t="s">
        <v>853</v>
      </c>
      <c r="I1135" s="337" t="s">
        <v>767</v>
      </c>
      <c r="J1135" s="337" t="s">
        <v>765</v>
      </c>
      <c r="K1135" s="337"/>
      <c r="L1135" s="337"/>
      <c r="M1135" s="337" t="s">
        <v>827</v>
      </c>
      <c r="N1135" s="337" t="s">
        <v>828</v>
      </c>
      <c r="O1135" s="337" t="e">
        <v>#N/A</v>
      </c>
      <c r="P1135" s="337"/>
      <c r="Q1135" s="337" t="s">
        <v>845</v>
      </c>
      <c r="R1135" s="343">
        <v>0</v>
      </c>
    </row>
    <row r="1136" spans="1:18" x14ac:dyDescent="0.2">
      <c r="A1136" s="342" t="s">
        <v>734</v>
      </c>
      <c r="B1136" s="337" t="s">
        <v>789</v>
      </c>
      <c r="C1136" s="337" t="s">
        <v>796</v>
      </c>
      <c r="D1136" s="337" t="s">
        <v>739</v>
      </c>
      <c r="E1136" s="337" t="s">
        <v>790</v>
      </c>
      <c r="F1136" s="337" t="s">
        <v>771</v>
      </c>
      <c r="G1136" s="337" t="s">
        <v>852</v>
      </c>
      <c r="H1136" s="337" t="s">
        <v>853</v>
      </c>
      <c r="I1136" s="337" t="s">
        <v>767</v>
      </c>
      <c r="J1136" s="337" t="s">
        <v>765</v>
      </c>
      <c r="K1136" s="337"/>
      <c r="L1136" s="337"/>
      <c r="M1136" s="337" t="s">
        <v>827</v>
      </c>
      <c r="N1136" s="337" t="s">
        <v>828</v>
      </c>
      <c r="O1136" s="337" t="e">
        <v>#N/A</v>
      </c>
      <c r="P1136" s="337"/>
      <c r="Q1136" s="337" t="s">
        <v>845</v>
      </c>
      <c r="R1136" s="343">
        <v>-10704.27</v>
      </c>
    </row>
    <row r="1137" spans="1:18" x14ac:dyDescent="0.2">
      <c r="A1137" s="342" t="s">
        <v>735</v>
      </c>
      <c r="B1137" s="337" t="s">
        <v>789</v>
      </c>
      <c r="C1137" s="337" t="s">
        <v>796</v>
      </c>
      <c r="D1137" s="337" t="s">
        <v>739</v>
      </c>
      <c r="E1137" s="337" t="s">
        <v>790</v>
      </c>
      <c r="F1137" s="337" t="s">
        <v>771</v>
      </c>
      <c r="G1137" s="337" t="s">
        <v>852</v>
      </c>
      <c r="H1137" s="337" t="s">
        <v>853</v>
      </c>
      <c r="I1137" s="337" t="s">
        <v>767</v>
      </c>
      <c r="J1137" s="337" t="s">
        <v>765</v>
      </c>
      <c r="K1137" s="337"/>
      <c r="L1137" s="337"/>
      <c r="M1137" s="337" t="s">
        <v>827</v>
      </c>
      <c r="N1137" s="337" t="s">
        <v>828</v>
      </c>
      <c r="O1137" s="337" t="e">
        <v>#N/A</v>
      </c>
      <c r="P1137" s="337"/>
      <c r="Q1137" s="337" t="s">
        <v>845</v>
      </c>
      <c r="R1137" s="343">
        <v>-75738.45</v>
      </c>
    </row>
    <row r="1138" spans="1:18" x14ac:dyDescent="0.2">
      <c r="A1138" s="342" t="s">
        <v>736</v>
      </c>
      <c r="B1138" s="337" t="s">
        <v>789</v>
      </c>
      <c r="C1138" s="337" t="s">
        <v>796</v>
      </c>
      <c r="D1138" s="337" t="s">
        <v>739</v>
      </c>
      <c r="E1138" s="337" t="s">
        <v>790</v>
      </c>
      <c r="F1138" s="337" t="s">
        <v>771</v>
      </c>
      <c r="G1138" s="337" t="s">
        <v>852</v>
      </c>
      <c r="H1138" s="337" t="s">
        <v>853</v>
      </c>
      <c r="I1138" s="337" t="s">
        <v>767</v>
      </c>
      <c r="J1138" s="337" t="s">
        <v>765</v>
      </c>
      <c r="K1138" s="337"/>
      <c r="L1138" s="337"/>
      <c r="M1138" s="337" t="s">
        <v>827</v>
      </c>
      <c r="N1138" s="337" t="s">
        <v>828</v>
      </c>
      <c r="O1138" s="337" t="e">
        <v>#N/A</v>
      </c>
      <c r="P1138" s="337"/>
      <c r="Q1138" s="337" t="s">
        <v>845</v>
      </c>
      <c r="R1138" s="343">
        <v>-183248.99</v>
      </c>
    </row>
    <row r="1139" spans="1:18" x14ac:dyDescent="0.2">
      <c r="A1139" s="342" t="s">
        <v>737</v>
      </c>
      <c r="B1139" s="337" t="s">
        <v>789</v>
      </c>
      <c r="C1139" s="337" t="s">
        <v>796</v>
      </c>
      <c r="D1139" s="337" t="s">
        <v>739</v>
      </c>
      <c r="E1139" s="337" t="s">
        <v>790</v>
      </c>
      <c r="F1139" s="337" t="s">
        <v>771</v>
      </c>
      <c r="G1139" s="337" t="s">
        <v>852</v>
      </c>
      <c r="H1139" s="337" t="s">
        <v>853</v>
      </c>
      <c r="I1139" s="337" t="s">
        <v>767</v>
      </c>
      <c r="J1139" s="337" t="s">
        <v>765</v>
      </c>
      <c r="K1139" s="337"/>
      <c r="L1139" s="337"/>
      <c r="M1139" s="337" t="s">
        <v>827</v>
      </c>
      <c r="N1139" s="337" t="s">
        <v>828</v>
      </c>
      <c r="O1139" s="337" t="e">
        <v>#N/A</v>
      </c>
      <c r="P1139" s="337"/>
      <c r="Q1139" s="337" t="s">
        <v>845</v>
      </c>
      <c r="R1139" s="343">
        <v>-87840.42</v>
      </c>
    </row>
    <row r="1140" spans="1:18" x14ac:dyDescent="0.2">
      <c r="A1140" s="342" t="s">
        <v>738</v>
      </c>
      <c r="B1140" s="337" t="s">
        <v>789</v>
      </c>
      <c r="C1140" s="337" t="s">
        <v>796</v>
      </c>
      <c r="D1140" s="337" t="s">
        <v>739</v>
      </c>
      <c r="E1140" s="337" t="s">
        <v>790</v>
      </c>
      <c r="F1140" s="337" t="s">
        <v>771</v>
      </c>
      <c r="G1140" s="337" t="s">
        <v>852</v>
      </c>
      <c r="H1140" s="337" t="s">
        <v>853</v>
      </c>
      <c r="I1140" s="337" t="s">
        <v>767</v>
      </c>
      <c r="J1140" s="337" t="s">
        <v>765</v>
      </c>
      <c r="K1140" s="337"/>
      <c r="L1140" s="337"/>
      <c r="M1140" s="337" t="s">
        <v>827</v>
      </c>
      <c r="N1140" s="337" t="s">
        <v>828</v>
      </c>
      <c r="O1140" s="337" t="e">
        <v>#N/A</v>
      </c>
      <c r="P1140" s="337"/>
      <c r="Q1140" s="337" t="s">
        <v>845</v>
      </c>
      <c r="R1140" s="343">
        <v>0</v>
      </c>
    </row>
    <row r="1141" spans="1:18" x14ac:dyDescent="0.2">
      <c r="A1141" s="342" t="s">
        <v>727</v>
      </c>
      <c r="B1141" s="337" t="s">
        <v>789</v>
      </c>
      <c r="C1141" s="337" t="s">
        <v>796</v>
      </c>
      <c r="D1141" s="337" t="s">
        <v>739</v>
      </c>
      <c r="E1141" s="337" t="s">
        <v>790</v>
      </c>
      <c r="F1141" s="337" t="s">
        <v>771</v>
      </c>
      <c r="G1141" s="337" t="s">
        <v>852</v>
      </c>
      <c r="H1141" s="337" t="s">
        <v>853</v>
      </c>
      <c r="I1141" s="337" t="s">
        <v>767</v>
      </c>
      <c r="J1141" s="337" t="s">
        <v>765</v>
      </c>
      <c r="K1141" s="337"/>
      <c r="L1141" s="337"/>
      <c r="M1141" s="337" t="s">
        <v>827</v>
      </c>
      <c r="N1141" s="337" t="s">
        <v>828</v>
      </c>
      <c r="O1141" s="337" t="e">
        <v>#N/A</v>
      </c>
      <c r="P1141" s="337"/>
      <c r="Q1141" s="337" t="s">
        <v>845</v>
      </c>
      <c r="R1141" s="343">
        <v>-61006.23</v>
      </c>
    </row>
    <row r="1142" spans="1:18" x14ac:dyDescent="0.2">
      <c r="A1142" s="342" t="s">
        <v>726</v>
      </c>
      <c r="B1142" s="337" t="s">
        <v>789</v>
      </c>
      <c r="C1142" s="337" t="s">
        <v>796</v>
      </c>
      <c r="D1142" s="337" t="s">
        <v>739</v>
      </c>
      <c r="E1142" s="337" t="s">
        <v>790</v>
      </c>
      <c r="F1142" s="337" t="s">
        <v>771</v>
      </c>
      <c r="G1142" s="337" t="s">
        <v>852</v>
      </c>
      <c r="H1142" s="337" t="s">
        <v>853</v>
      </c>
      <c r="I1142" s="337" t="s">
        <v>767</v>
      </c>
      <c r="J1142" s="337" t="s">
        <v>765</v>
      </c>
      <c r="K1142" s="337"/>
      <c r="L1142" s="337"/>
      <c r="M1142" s="337" t="s">
        <v>827</v>
      </c>
      <c r="N1142" s="337" t="s">
        <v>828</v>
      </c>
      <c r="O1142" s="337" t="e">
        <v>#N/A</v>
      </c>
      <c r="P1142" s="337"/>
      <c r="Q1142" s="337" t="s">
        <v>842</v>
      </c>
      <c r="R1142" s="343">
        <v>-3115.12</v>
      </c>
    </row>
    <row r="1143" spans="1:18" x14ac:dyDescent="0.2">
      <c r="A1143" s="342" t="s">
        <v>727</v>
      </c>
      <c r="B1143" s="337" t="s">
        <v>789</v>
      </c>
      <c r="C1143" s="337" t="s">
        <v>796</v>
      </c>
      <c r="D1143" s="337" t="s">
        <v>739</v>
      </c>
      <c r="E1143" s="337" t="s">
        <v>790</v>
      </c>
      <c r="F1143" s="337" t="s">
        <v>771</v>
      </c>
      <c r="G1143" s="337" t="s">
        <v>852</v>
      </c>
      <c r="H1143" s="337" t="s">
        <v>853</v>
      </c>
      <c r="I1143" s="337" t="s">
        <v>767</v>
      </c>
      <c r="J1143" s="337" t="s">
        <v>765</v>
      </c>
      <c r="K1143" s="337"/>
      <c r="L1143" s="337"/>
      <c r="M1143" s="337" t="s">
        <v>827</v>
      </c>
      <c r="N1143" s="337" t="s">
        <v>828</v>
      </c>
      <c r="O1143" s="337" t="e">
        <v>#N/A</v>
      </c>
      <c r="P1143" s="337"/>
      <c r="Q1143" s="337" t="s">
        <v>842</v>
      </c>
      <c r="R1143" s="343">
        <v>-4428.41</v>
      </c>
    </row>
    <row r="1144" spans="1:18" x14ac:dyDescent="0.2">
      <c r="A1144" s="342" t="s">
        <v>728</v>
      </c>
      <c r="B1144" s="337" t="s">
        <v>789</v>
      </c>
      <c r="C1144" s="337" t="s">
        <v>796</v>
      </c>
      <c r="D1144" s="337" t="s">
        <v>739</v>
      </c>
      <c r="E1144" s="337" t="s">
        <v>790</v>
      </c>
      <c r="F1144" s="337" t="s">
        <v>771</v>
      </c>
      <c r="G1144" s="337" t="s">
        <v>852</v>
      </c>
      <c r="H1144" s="337" t="s">
        <v>853</v>
      </c>
      <c r="I1144" s="337" t="s">
        <v>767</v>
      </c>
      <c r="J1144" s="337" t="s">
        <v>765</v>
      </c>
      <c r="K1144" s="337"/>
      <c r="L1144" s="337"/>
      <c r="M1144" s="337" t="s">
        <v>827</v>
      </c>
      <c r="N1144" s="337" t="s">
        <v>828</v>
      </c>
      <c r="O1144" s="337" t="e">
        <v>#N/A</v>
      </c>
      <c r="P1144" s="337"/>
      <c r="Q1144" s="337" t="s">
        <v>846</v>
      </c>
      <c r="R1144" s="343">
        <v>-4348.55</v>
      </c>
    </row>
    <row r="1145" spans="1:18" x14ac:dyDescent="0.2">
      <c r="A1145" s="342" t="s">
        <v>730</v>
      </c>
      <c r="B1145" s="337" t="s">
        <v>789</v>
      </c>
      <c r="C1145" s="337" t="s">
        <v>796</v>
      </c>
      <c r="D1145" s="337" t="s">
        <v>739</v>
      </c>
      <c r="E1145" s="337" t="s">
        <v>790</v>
      </c>
      <c r="F1145" s="337" t="s">
        <v>771</v>
      </c>
      <c r="G1145" s="337" t="s">
        <v>852</v>
      </c>
      <c r="H1145" s="337" t="s">
        <v>853</v>
      </c>
      <c r="I1145" s="337" t="s">
        <v>767</v>
      </c>
      <c r="J1145" s="337" t="s">
        <v>765</v>
      </c>
      <c r="K1145" s="337"/>
      <c r="L1145" s="337"/>
      <c r="M1145" s="337" t="s">
        <v>827</v>
      </c>
      <c r="N1145" s="337" t="s">
        <v>828</v>
      </c>
      <c r="O1145" s="337" t="e">
        <v>#N/A</v>
      </c>
      <c r="P1145" s="337"/>
      <c r="Q1145" s="337" t="s">
        <v>846</v>
      </c>
      <c r="R1145" s="343">
        <v>-211987.56</v>
      </c>
    </row>
    <row r="1146" spans="1:18" x14ac:dyDescent="0.2">
      <c r="A1146" s="342" t="s">
        <v>731</v>
      </c>
      <c r="B1146" s="337" t="s">
        <v>789</v>
      </c>
      <c r="C1146" s="337" t="s">
        <v>796</v>
      </c>
      <c r="D1146" s="337" t="s">
        <v>739</v>
      </c>
      <c r="E1146" s="337" t="s">
        <v>790</v>
      </c>
      <c r="F1146" s="337" t="s">
        <v>771</v>
      </c>
      <c r="G1146" s="337" t="s">
        <v>852</v>
      </c>
      <c r="H1146" s="337" t="s">
        <v>853</v>
      </c>
      <c r="I1146" s="337" t="s">
        <v>767</v>
      </c>
      <c r="J1146" s="337" t="s">
        <v>765</v>
      </c>
      <c r="K1146" s="337"/>
      <c r="L1146" s="337"/>
      <c r="M1146" s="337" t="s">
        <v>827</v>
      </c>
      <c r="N1146" s="337" t="s">
        <v>828</v>
      </c>
      <c r="O1146" s="337" t="e">
        <v>#N/A</v>
      </c>
      <c r="P1146" s="337"/>
      <c r="Q1146" s="337" t="s">
        <v>846</v>
      </c>
      <c r="R1146" s="343">
        <v>-34772.230000000003</v>
      </c>
    </row>
    <row r="1147" spans="1:18" x14ac:dyDescent="0.2">
      <c r="A1147" s="342" t="s">
        <v>732</v>
      </c>
      <c r="B1147" s="337" t="s">
        <v>789</v>
      </c>
      <c r="C1147" s="337" t="s">
        <v>796</v>
      </c>
      <c r="D1147" s="337" t="s">
        <v>739</v>
      </c>
      <c r="E1147" s="337" t="s">
        <v>790</v>
      </c>
      <c r="F1147" s="337" t="s">
        <v>771</v>
      </c>
      <c r="G1147" s="337" t="s">
        <v>852</v>
      </c>
      <c r="H1147" s="337" t="s">
        <v>853</v>
      </c>
      <c r="I1147" s="337" t="s">
        <v>767</v>
      </c>
      <c r="J1147" s="337" t="s">
        <v>765</v>
      </c>
      <c r="K1147" s="337"/>
      <c r="L1147" s="337"/>
      <c r="M1147" s="337" t="s">
        <v>827</v>
      </c>
      <c r="N1147" s="337" t="s">
        <v>828</v>
      </c>
      <c r="O1147" s="337" t="e">
        <v>#N/A</v>
      </c>
      <c r="P1147" s="337"/>
      <c r="Q1147" s="337" t="s">
        <v>846</v>
      </c>
      <c r="R1147" s="343">
        <v>-42573.25</v>
      </c>
    </row>
    <row r="1148" spans="1:18" x14ac:dyDescent="0.2">
      <c r="A1148" s="342" t="s">
        <v>726</v>
      </c>
      <c r="B1148" s="337" t="s">
        <v>789</v>
      </c>
      <c r="C1148" s="337" t="s">
        <v>796</v>
      </c>
      <c r="D1148" s="337" t="s">
        <v>739</v>
      </c>
      <c r="E1148" s="337" t="s">
        <v>790</v>
      </c>
      <c r="F1148" s="337" t="s">
        <v>771</v>
      </c>
      <c r="G1148" s="337" t="s">
        <v>852</v>
      </c>
      <c r="H1148" s="337" t="s">
        <v>853</v>
      </c>
      <c r="I1148" s="337" t="s">
        <v>767</v>
      </c>
      <c r="J1148" s="337" t="s">
        <v>765</v>
      </c>
      <c r="K1148" s="337"/>
      <c r="L1148" s="337"/>
      <c r="M1148" s="337" t="s">
        <v>827</v>
      </c>
      <c r="N1148" s="337" t="s">
        <v>828</v>
      </c>
      <c r="O1148" s="337" t="e">
        <v>#N/A</v>
      </c>
      <c r="P1148" s="337"/>
      <c r="Q1148" s="337" t="s">
        <v>846</v>
      </c>
      <c r="R1148" s="343">
        <v>0</v>
      </c>
    </row>
    <row r="1149" spans="1:18" x14ac:dyDescent="0.2">
      <c r="A1149" s="342" t="s">
        <v>733</v>
      </c>
      <c r="B1149" s="337" t="s">
        <v>789</v>
      </c>
      <c r="C1149" s="337" t="s">
        <v>796</v>
      </c>
      <c r="D1149" s="337" t="s">
        <v>739</v>
      </c>
      <c r="E1149" s="337" t="s">
        <v>790</v>
      </c>
      <c r="F1149" s="337" t="s">
        <v>771</v>
      </c>
      <c r="G1149" s="337" t="s">
        <v>852</v>
      </c>
      <c r="H1149" s="337" t="s">
        <v>853</v>
      </c>
      <c r="I1149" s="337" t="s">
        <v>767</v>
      </c>
      <c r="J1149" s="337" t="s">
        <v>765</v>
      </c>
      <c r="K1149" s="337"/>
      <c r="L1149" s="337"/>
      <c r="M1149" s="337" t="s">
        <v>827</v>
      </c>
      <c r="N1149" s="337" t="s">
        <v>828</v>
      </c>
      <c r="O1149" s="337" t="e">
        <v>#N/A</v>
      </c>
      <c r="P1149" s="337"/>
      <c r="Q1149" s="337" t="s">
        <v>846</v>
      </c>
      <c r="R1149" s="343">
        <v>-349.36</v>
      </c>
    </row>
    <row r="1150" spans="1:18" x14ac:dyDescent="0.2">
      <c r="A1150" s="342" t="s">
        <v>734</v>
      </c>
      <c r="B1150" s="337" t="s">
        <v>789</v>
      </c>
      <c r="C1150" s="337" t="s">
        <v>796</v>
      </c>
      <c r="D1150" s="337" t="s">
        <v>739</v>
      </c>
      <c r="E1150" s="337" t="s">
        <v>790</v>
      </c>
      <c r="F1150" s="337" t="s">
        <v>771</v>
      </c>
      <c r="G1150" s="337" t="s">
        <v>852</v>
      </c>
      <c r="H1150" s="337" t="s">
        <v>853</v>
      </c>
      <c r="I1150" s="337" t="s">
        <v>767</v>
      </c>
      <c r="J1150" s="337" t="s">
        <v>765</v>
      </c>
      <c r="K1150" s="337"/>
      <c r="L1150" s="337"/>
      <c r="M1150" s="337" t="s">
        <v>827</v>
      </c>
      <c r="N1150" s="337" t="s">
        <v>828</v>
      </c>
      <c r="O1150" s="337" t="e">
        <v>#N/A</v>
      </c>
      <c r="P1150" s="337"/>
      <c r="Q1150" s="337" t="s">
        <v>846</v>
      </c>
      <c r="R1150" s="343">
        <v>0</v>
      </c>
    </row>
    <row r="1151" spans="1:18" x14ac:dyDescent="0.2">
      <c r="A1151" s="342" t="s">
        <v>734</v>
      </c>
      <c r="B1151" s="337" t="s">
        <v>789</v>
      </c>
      <c r="C1151" s="337" t="s">
        <v>796</v>
      </c>
      <c r="D1151" s="337" t="s">
        <v>739</v>
      </c>
      <c r="E1151" s="337" t="s">
        <v>790</v>
      </c>
      <c r="F1151" s="337" t="s">
        <v>771</v>
      </c>
      <c r="G1151" s="337" t="s">
        <v>852</v>
      </c>
      <c r="H1151" s="337" t="s">
        <v>853</v>
      </c>
      <c r="I1151" s="337" t="s">
        <v>767</v>
      </c>
      <c r="J1151" s="337" t="s">
        <v>765</v>
      </c>
      <c r="K1151" s="337"/>
      <c r="L1151" s="337"/>
      <c r="M1151" s="337" t="s">
        <v>827</v>
      </c>
      <c r="N1151" s="337" t="s">
        <v>828</v>
      </c>
      <c r="O1151" s="337" t="e">
        <v>#N/A</v>
      </c>
      <c r="P1151" s="337"/>
      <c r="Q1151" s="337" t="s">
        <v>855</v>
      </c>
      <c r="R1151" s="343">
        <v>-390153.61</v>
      </c>
    </row>
    <row r="1152" spans="1:18" x14ac:dyDescent="0.2">
      <c r="A1152" s="342" t="s">
        <v>735</v>
      </c>
      <c r="B1152" s="337" t="s">
        <v>789</v>
      </c>
      <c r="C1152" s="337" t="s">
        <v>796</v>
      </c>
      <c r="D1152" s="337" t="s">
        <v>739</v>
      </c>
      <c r="E1152" s="337" t="s">
        <v>790</v>
      </c>
      <c r="F1152" s="337" t="s">
        <v>771</v>
      </c>
      <c r="G1152" s="337" t="s">
        <v>852</v>
      </c>
      <c r="H1152" s="337" t="s">
        <v>853</v>
      </c>
      <c r="I1152" s="337" t="s">
        <v>767</v>
      </c>
      <c r="J1152" s="337" t="s">
        <v>765</v>
      </c>
      <c r="K1152" s="337"/>
      <c r="L1152" s="337"/>
      <c r="M1152" s="337" t="s">
        <v>827</v>
      </c>
      <c r="N1152" s="337" t="s">
        <v>828</v>
      </c>
      <c r="O1152" s="337" t="e">
        <v>#N/A</v>
      </c>
      <c r="P1152" s="337"/>
      <c r="Q1152" s="337" t="s">
        <v>855</v>
      </c>
      <c r="R1152" s="343">
        <v>-642.87</v>
      </c>
    </row>
    <row r="1153" spans="1:18" x14ac:dyDescent="0.2">
      <c r="A1153" s="342" t="s">
        <v>736</v>
      </c>
      <c r="B1153" s="337" t="s">
        <v>789</v>
      </c>
      <c r="C1153" s="337" t="s">
        <v>796</v>
      </c>
      <c r="D1153" s="337" t="s">
        <v>739</v>
      </c>
      <c r="E1153" s="337" t="s">
        <v>790</v>
      </c>
      <c r="F1153" s="337" t="s">
        <v>771</v>
      </c>
      <c r="G1153" s="337" t="s">
        <v>852</v>
      </c>
      <c r="H1153" s="337" t="s">
        <v>853</v>
      </c>
      <c r="I1153" s="337" t="s">
        <v>767</v>
      </c>
      <c r="J1153" s="337" t="s">
        <v>765</v>
      </c>
      <c r="K1153" s="337"/>
      <c r="L1153" s="337"/>
      <c r="M1153" s="337" t="s">
        <v>827</v>
      </c>
      <c r="N1153" s="337" t="s">
        <v>828</v>
      </c>
      <c r="O1153" s="337" t="e">
        <v>#N/A</v>
      </c>
      <c r="P1153" s="337"/>
      <c r="Q1153" s="337" t="s">
        <v>855</v>
      </c>
      <c r="R1153" s="343">
        <v>-722573.82</v>
      </c>
    </row>
    <row r="1154" spans="1:18" x14ac:dyDescent="0.2">
      <c r="A1154" s="342" t="s">
        <v>737</v>
      </c>
      <c r="B1154" s="337" t="s">
        <v>789</v>
      </c>
      <c r="C1154" s="337" t="s">
        <v>796</v>
      </c>
      <c r="D1154" s="337" t="s">
        <v>739</v>
      </c>
      <c r="E1154" s="337" t="s">
        <v>790</v>
      </c>
      <c r="F1154" s="337" t="s">
        <v>771</v>
      </c>
      <c r="G1154" s="337" t="s">
        <v>852</v>
      </c>
      <c r="H1154" s="337" t="s">
        <v>853</v>
      </c>
      <c r="I1154" s="337" t="s">
        <v>767</v>
      </c>
      <c r="J1154" s="337" t="s">
        <v>765</v>
      </c>
      <c r="K1154" s="337"/>
      <c r="L1154" s="337"/>
      <c r="M1154" s="337" t="s">
        <v>827</v>
      </c>
      <c r="N1154" s="337" t="s">
        <v>828</v>
      </c>
      <c r="O1154" s="337" t="e">
        <v>#N/A</v>
      </c>
      <c r="P1154" s="337"/>
      <c r="Q1154" s="337" t="s">
        <v>855</v>
      </c>
      <c r="R1154" s="343">
        <v>-21926.93</v>
      </c>
    </row>
    <row r="1155" spans="1:18" x14ac:dyDescent="0.2">
      <c r="A1155" s="342" t="s">
        <v>738</v>
      </c>
      <c r="B1155" s="337" t="s">
        <v>789</v>
      </c>
      <c r="C1155" s="337" t="s">
        <v>796</v>
      </c>
      <c r="D1155" s="337" t="s">
        <v>739</v>
      </c>
      <c r="E1155" s="337" t="s">
        <v>790</v>
      </c>
      <c r="F1155" s="337" t="s">
        <v>771</v>
      </c>
      <c r="G1155" s="337" t="s">
        <v>852</v>
      </c>
      <c r="H1155" s="337" t="s">
        <v>853</v>
      </c>
      <c r="I1155" s="337" t="s">
        <v>767</v>
      </c>
      <c r="J1155" s="337" t="s">
        <v>765</v>
      </c>
      <c r="K1155" s="337"/>
      <c r="L1155" s="337"/>
      <c r="M1155" s="337" t="s">
        <v>827</v>
      </c>
      <c r="N1155" s="337" t="s">
        <v>828</v>
      </c>
      <c r="O1155" s="337" t="e">
        <v>#N/A</v>
      </c>
      <c r="P1155" s="337"/>
      <c r="Q1155" s="337" t="s">
        <v>855</v>
      </c>
      <c r="R1155" s="343">
        <v>-45001.83</v>
      </c>
    </row>
    <row r="1156" spans="1:18" x14ac:dyDescent="0.2">
      <c r="A1156" s="342" t="s">
        <v>727</v>
      </c>
      <c r="B1156" s="337" t="s">
        <v>789</v>
      </c>
      <c r="C1156" s="337" t="s">
        <v>796</v>
      </c>
      <c r="D1156" s="337" t="s">
        <v>739</v>
      </c>
      <c r="E1156" s="337" t="s">
        <v>790</v>
      </c>
      <c r="F1156" s="337" t="s">
        <v>771</v>
      </c>
      <c r="G1156" s="337" t="s">
        <v>852</v>
      </c>
      <c r="H1156" s="337" t="s">
        <v>853</v>
      </c>
      <c r="I1156" s="337" t="s">
        <v>767</v>
      </c>
      <c r="J1156" s="337" t="s">
        <v>765</v>
      </c>
      <c r="K1156" s="337"/>
      <c r="L1156" s="337"/>
      <c r="M1156" s="337" t="s">
        <v>827</v>
      </c>
      <c r="N1156" s="337" t="s">
        <v>828</v>
      </c>
      <c r="O1156" s="337" t="e">
        <v>#N/A</v>
      </c>
      <c r="P1156" s="337"/>
      <c r="Q1156" s="337" t="s">
        <v>855</v>
      </c>
      <c r="R1156" s="343">
        <v>-16924.580000000002</v>
      </c>
    </row>
    <row r="1157" spans="1:18" x14ac:dyDescent="0.2">
      <c r="A1157" s="342" t="s">
        <v>732</v>
      </c>
      <c r="B1157" s="337" t="s">
        <v>789</v>
      </c>
      <c r="C1157" s="337" t="s">
        <v>796</v>
      </c>
      <c r="D1157" s="337" t="s">
        <v>739</v>
      </c>
      <c r="E1157" s="337" t="s">
        <v>790</v>
      </c>
      <c r="F1157" s="337" t="s">
        <v>771</v>
      </c>
      <c r="G1157" s="337" t="s">
        <v>852</v>
      </c>
      <c r="H1157" s="337" t="s">
        <v>853</v>
      </c>
      <c r="I1157" s="337" t="s">
        <v>767</v>
      </c>
      <c r="J1157" s="337" t="s">
        <v>765</v>
      </c>
      <c r="K1157" s="337"/>
      <c r="L1157" s="337"/>
      <c r="M1157" s="337" t="s">
        <v>829</v>
      </c>
      <c r="N1157" s="337" t="s">
        <v>830</v>
      </c>
      <c r="O1157" s="337" t="e">
        <v>#N/A</v>
      </c>
      <c r="P1157" s="337"/>
      <c r="Q1157" s="337" t="s">
        <v>856</v>
      </c>
      <c r="R1157" s="343">
        <v>-2894.41</v>
      </c>
    </row>
    <row r="1158" spans="1:18" x14ac:dyDescent="0.2">
      <c r="A1158" s="342" t="s">
        <v>726</v>
      </c>
      <c r="B1158" s="337" t="s">
        <v>789</v>
      </c>
      <c r="C1158" s="337" t="s">
        <v>796</v>
      </c>
      <c r="D1158" s="337" t="s">
        <v>739</v>
      </c>
      <c r="E1158" s="337" t="s">
        <v>790</v>
      </c>
      <c r="F1158" s="337" t="s">
        <v>771</v>
      </c>
      <c r="G1158" s="337" t="s">
        <v>852</v>
      </c>
      <c r="H1158" s="337" t="s">
        <v>853</v>
      </c>
      <c r="I1158" s="337" t="s">
        <v>767</v>
      </c>
      <c r="J1158" s="337" t="s">
        <v>765</v>
      </c>
      <c r="K1158" s="337"/>
      <c r="L1158" s="337"/>
      <c r="M1158" s="337" t="s">
        <v>829</v>
      </c>
      <c r="N1158" s="337" t="s">
        <v>830</v>
      </c>
      <c r="O1158" s="337" t="e">
        <v>#N/A</v>
      </c>
      <c r="P1158" s="337"/>
      <c r="Q1158" s="337" t="s">
        <v>856</v>
      </c>
      <c r="R1158" s="343">
        <v>-536.45000000000005</v>
      </c>
    </row>
    <row r="1159" spans="1:18" x14ac:dyDescent="0.2">
      <c r="A1159" s="342" t="s">
        <v>733</v>
      </c>
      <c r="B1159" s="337" t="s">
        <v>789</v>
      </c>
      <c r="C1159" s="337" t="s">
        <v>796</v>
      </c>
      <c r="D1159" s="337" t="s">
        <v>739</v>
      </c>
      <c r="E1159" s="337" t="s">
        <v>790</v>
      </c>
      <c r="F1159" s="337" t="s">
        <v>771</v>
      </c>
      <c r="G1159" s="337" t="s">
        <v>852</v>
      </c>
      <c r="H1159" s="337" t="s">
        <v>853</v>
      </c>
      <c r="I1159" s="337" t="s">
        <v>767</v>
      </c>
      <c r="J1159" s="337" t="s">
        <v>765</v>
      </c>
      <c r="K1159" s="337"/>
      <c r="L1159" s="337"/>
      <c r="M1159" s="337" t="s">
        <v>829</v>
      </c>
      <c r="N1159" s="337" t="s">
        <v>830</v>
      </c>
      <c r="O1159" s="337" t="e">
        <v>#N/A</v>
      </c>
      <c r="P1159" s="337"/>
      <c r="Q1159" s="337" t="s">
        <v>856</v>
      </c>
      <c r="R1159" s="343">
        <v>0</v>
      </c>
    </row>
    <row r="1160" spans="1:18" x14ac:dyDescent="0.2">
      <c r="A1160" s="342" t="s">
        <v>734</v>
      </c>
      <c r="B1160" s="337" t="s">
        <v>789</v>
      </c>
      <c r="C1160" s="337" t="s">
        <v>796</v>
      </c>
      <c r="D1160" s="337" t="s">
        <v>739</v>
      </c>
      <c r="E1160" s="337" t="s">
        <v>790</v>
      </c>
      <c r="F1160" s="337" t="s">
        <v>771</v>
      </c>
      <c r="G1160" s="337" t="s">
        <v>852</v>
      </c>
      <c r="H1160" s="337" t="s">
        <v>853</v>
      </c>
      <c r="I1160" s="337" t="s">
        <v>767</v>
      </c>
      <c r="J1160" s="337" t="s">
        <v>765</v>
      </c>
      <c r="K1160" s="337"/>
      <c r="L1160" s="337"/>
      <c r="M1160" s="337" t="s">
        <v>829</v>
      </c>
      <c r="N1160" s="337" t="s">
        <v>830</v>
      </c>
      <c r="O1160" s="337" t="e">
        <v>#N/A</v>
      </c>
      <c r="P1160" s="337"/>
      <c r="Q1160" s="337" t="s">
        <v>856</v>
      </c>
      <c r="R1160" s="343">
        <v>-260.14999999999998</v>
      </c>
    </row>
    <row r="1161" spans="1:18" x14ac:dyDescent="0.2">
      <c r="A1161" s="342" t="s">
        <v>735</v>
      </c>
      <c r="B1161" s="337" t="s">
        <v>789</v>
      </c>
      <c r="C1161" s="337" t="s">
        <v>796</v>
      </c>
      <c r="D1161" s="337" t="s">
        <v>739</v>
      </c>
      <c r="E1161" s="337" t="s">
        <v>790</v>
      </c>
      <c r="F1161" s="337" t="s">
        <v>771</v>
      </c>
      <c r="G1161" s="337" t="s">
        <v>852</v>
      </c>
      <c r="H1161" s="337" t="s">
        <v>853</v>
      </c>
      <c r="I1161" s="337" t="s">
        <v>767</v>
      </c>
      <c r="J1161" s="337" t="s">
        <v>765</v>
      </c>
      <c r="K1161" s="337"/>
      <c r="L1161" s="337"/>
      <c r="M1161" s="337" t="s">
        <v>829</v>
      </c>
      <c r="N1161" s="337" t="s">
        <v>830</v>
      </c>
      <c r="O1161" s="337" t="e">
        <v>#N/A</v>
      </c>
      <c r="P1161" s="337"/>
      <c r="Q1161" s="337" t="s">
        <v>856</v>
      </c>
      <c r="R1161" s="343">
        <v>-361.74</v>
      </c>
    </row>
    <row r="1162" spans="1:18" x14ac:dyDescent="0.2">
      <c r="A1162" s="342" t="s">
        <v>736</v>
      </c>
      <c r="B1162" s="337" t="s">
        <v>789</v>
      </c>
      <c r="C1162" s="337" t="s">
        <v>796</v>
      </c>
      <c r="D1162" s="337" t="s">
        <v>739</v>
      </c>
      <c r="E1162" s="337" t="s">
        <v>790</v>
      </c>
      <c r="F1162" s="337" t="s">
        <v>771</v>
      </c>
      <c r="G1162" s="337" t="s">
        <v>852</v>
      </c>
      <c r="H1162" s="337" t="s">
        <v>853</v>
      </c>
      <c r="I1162" s="337" t="s">
        <v>767</v>
      </c>
      <c r="J1162" s="337" t="s">
        <v>765</v>
      </c>
      <c r="K1162" s="337"/>
      <c r="L1162" s="337"/>
      <c r="M1162" s="337" t="s">
        <v>829</v>
      </c>
      <c r="N1162" s="337" t="s">
        <v>830</v>
      </c>
      <c r="O1162" s="337" t="e">
        <v>#N/A</v>
      </c>
      <c r="P1162" s="337"/>
      <c r="Q1162" s="337" t="s">
        <v>856</v>
      </c>
      <c r="R1162" s="343">
        <v>-298.79000000000002</v>
      </c>
    </row>
    <row r="1163" spans="1:18" x14ac:dyDescent="0.2">
      <c r="A1163" s="342" t="s">
        <v>737</v>
      </c>
      <c r="B1163" s="337" t="s">
        <v>789</v>
      </c>
      <c r="C1163" s="337" t="s">
        <v>796</v>
      </c>
      <c r="D1163" s="337" t="s">
        <v>739</v>
      </c>
      <c r="E1163" s="337" t="s">
        <v>790</v>
      </c>
      <c r="F1163" s="337" t="s">
        <v>771</v>
      </c>
      <c r="G1163" s="337" t="s">
        <v>852</v>
      </c>
      <c r="H1163" s="337" t="s">
        <v>853</v>
      </c>
      <c r="I1163" s="337" t="s">
        <v>767</v>
      </c>
      <c r="J1163" s="337" t="s">
        <v>765</v>
      </c>
      <c r="K1163" s="337"/>
      <c r="L1163" s="337"/>
      <c r="M1163" s="337" t="s">
        <v>829</v>
      </c>
      <c r="N1163" s="337" t="s">
        <v>830</v>
      </c>
      <c r="O1163" s="337" t="e">
        <v>#N/A</v>
      </c>
      <c r="P1163" s="337"/>
      <c r="Q1163" s="337" t="s">
        <v>856</v>
      </c>
      <c r="R1163" s="343">
        <v>0</v>
      </c>
    </row>
    <row r="1164" spans="1:18" x14ac:dyDescent="0.2">
      <c r="A1164" s="342" t="s">
        <v>738</v>
      </c>
      <c r="B1164" s="337" t="s">
        <v>789</v>
      </c>
      <c r="C1164" s="337" t="s">
        <v>796</v>
      </c>
      <c r="D1164" s="337" t="s">
        <v>739</v>
      </c>
      <c r="E1164" s="337" t="s">
        <v>790</v>
      </c>
      <c r="F1164" s="337" t="s">
        <v>771</v>
      </c>
      <c r="G1164" s="337" t="s">
        <v>852</v>
      </c>
      <c r="H1164" s="337" t="s">
        <v>853</v>
      </c>
      <c r="I1164" s="337" t="s">
        <v>767</v>
      </c>
      <c r="J1164" s="337" t="s">
        <v>765</v>
      </c>
      <c r="K1164" s="337"/>
      <c r="L1164" s="337"/>
      <c r="M1164" s="337" t="s">
        <v>829</v>
      </c>
      <c r="N1164" s="337" t="s">
        <v>830</v>
      </c>
      <c r="O1164" s="337" t="e">
        <v>#N/A</v>
      </c>
      <c r="P1164" s="337"/>
      <c r="Q1164" s="337" t="s">
        <v>856</v>
      </c>
      <c r="R1164" s="343">
        <v>-1208.22</v>
      </c>
    </row>
    <row r="1165" spans="1:18" x14ac:dyDescent="0.2">
      <c r="A1165" s="342" t="s">
        <v>727</v>
      </c>
      <c r="B1165" s="337" t="s">
        <v>789</v>
      </c>
      <c r="C1165" s="337" t="s">
        <v>796</v>
      </c>
      <c r="D1165" s="337" t="s">
        <v>739</v>
      </c>
      <c r="E1165" s="337" t="s">
        <v>790</v>
      </c>
      <c r="F1165" s="337" t="s">
        <v>771</v>
      </c>
      <c r="G1165" s="337" t="s">
        <v>852</v>
      </c>
      <c r="H1165" s="337" t="s">
        <v>853</v>
      </c>
      <c r="I1165" s="337" t="s">
        <v>767</v>
      </c>
      <c r="J1165" s="337" t="s">
        <v>765</v>
      </c>
      <c r="K1165" s="337"/>
      <c r="L1165" s="337"/>
      <c r="M1165" s="337" t="s">
        <v>829</v>
      </c>
      <c r="N1165" s="337" t="s">
        <v>830</v>
      </c>
      <c r="O1165" s="337" t="e">
        <v>#N/A</v>
      </c>
      <c r="P1165" s="337"/>
      <c r="Q1165" s="337" t="s">
        <v>856</v>
      </c>
      <c r="R1165" s="343">
        <v>0</v>
      </c>
    </row>
    <row r="1166" spans="1:18" x14ac:dyDescent="0.2">
      <c r="A1166" s="342" t="s">
        <v>728</v>
      </c>
      <c r="B1166" s="337" t="s">
        <v>789</v>
      </c>
      <c r="C1166" s="337" t="s">
        <v>796</v>
      </c>
      <c r="D1166" s="337" t="s">
        <v>739</v>
      </c>
      <c r="E1166" s="337" t="s">
        <v>790</v>
      </c>
      <c r="F1166" s="337" t="s">
        <v>771</v>
      </c>
      <c r="G1166" s="337" t="s">
        <v>852</v>
      </c>
      <c r="H1166" s="337" t="s">
        <v>853</v>
      </c>
      <c r="I1166" s="337" t="s">
        <v>831</v>
      </c>
      <c r="J1166" s="337" t="s">
        <v>766</v>
      </c>
      <c r="K1166" s="337"/>
      <c r="L1166" s="337"/>
      <c r="M1166" s="337" t="s">
        <v>808</v>
      </c>
      <c r="N1166" s="337" t="s">
        <v>809</v>
      </c>
      <c r="O1166" s="337" t="e">
        <v>#N/A</v>
      </c>
      <c r="P1166" s="337"/>
      <c r="Q1166" s="337" t="s">
        <v>848</v>
      </c>
      <c r="R1166" s="343">
        <v>-319738.92</v>
      </c>
    </row>
    <row r="1167" spans="1:18" x14ac:dyDescent="0.2">
      <c r="A1167" s="342" t="s">
        <v>730</v>
      </c>
      <c r="B1167" s="337" t="s">
        <v>789</v>
      </c>
      <c r="C1167" s="337" t="s">
        <v>796</v>
      </c>
      <c r="D1167" s="337" t="s">
        <v>739</v>
      </c>
      <c r="E1167" s="337" t="s">
        <v>790</v>
      </c>
      <c r="F1167" s="337" t="s">
        <v>771</v>
      </c>
      <c r="G1167" s="337" t="s">
        <v>852</v>
      </c>
      <c r="H1167" s="337" t="s">
        <v>853</v>
      </c>
      <c r="I1167" s="337" t="s">
        <v>831</v>
      </c>
      <c r="J1167" s="337" t="s">
        <v>766</v>
      </c>
      <c r="K1167" s="337"/>
      <c r="L1167" s="337"/>
      <c r="M1167" s="337" t="s">
        <v>808</v>
      </c>
      <c r="N1167" s="337" t="s">
        <v>809</v>
      </c>
      <c r="O1167" s="337" t="e">
        <v>#N/A</v>
      </c>
      <c r="P1167" s="337"/>
      <c r="Q1167" s="337" t="s">
        <v>848</v>
      </c>
      <c r="R1167" s="343">
        <v>-23268.84</v>
      </c>
    </row>
    <row r="1168" spans="1:18" x14ac:dyDescent="0.2">
      <c r="A1168" s="342" t="s">
        <v>731</v>
      </c>
      <c r="B1168" s="337" t="s">
        <v>789</v>
      </c>
      <c r="C1168" s="337" t="s">
        <v>796</v>
      </c>
      <c r="D1168" s="337" t="s">
        <v>739</v>
      </c>
      <c r="E1168" s="337" t="s">
        <v>790</v>
      </c>
      <c r="F1168" s="337" t="s">
        <v>771</v>
      </c>
      <c r="G1168" s="337" t="s">
        <v>852</v>
      </c>
      <c r="H1168" s="337" t="s">
        <v>853</v>
      </c>
      <c r="I1168" s="337" t="s">
        <v>831</v>
      </c>
      <c r="J1168" s="337" t="s">
        <v>766</v>
      </c>
      <c r="K1168" s="337"/>
      <c r="L1168" s="337"/>
      <c r="M1168" s="337" t="s">
        <v>832</v>
      </c>
      <c r="N1168" s="337" t="s">
        <v>833</v>
      </c>
      <c r="O1168" s="337" t="e">
        <v>#N/A</v>
      </c>
      <c r="P1168" s="337"/>
      <c r="Q1168" s="337" t="s">
        <v>848</v>
      </c>
      <c r="R1168" s="343">
        <v>-217420.21</v>
      </c>
    </row>
    <row r="1169" spans="1:18" x14ac:dyDescent="0.2">
      <c r="A1169" s="342" t="s">
        <v>732</v>
      </c>
      <c r="B1169" s="337" t="s">
        <v>789</v>
      </c>
      <c r="C1169" s="337" t="s">
        <v>796</v>
      </c>
      <c r="D1169" s="337" t="s">
        <v>739</v>
      </c>
      <c r="E1169" s="337" t="s">
        <v>790</v>
      </c>
      <c r="F1169" s="337" t="s">
        <v>771</v>
      </c>
      <c r="G1169" s="337" t="s">
        <v>852</v>
      </c>
      <c r="H1169" s="337" t="s">
        <v>853</v>
      </c>
      <c r="I1169" s="337" t="s">
        <v>831</v>
      </c>
      <c r="J1169" s="337" t="s">
        <v>766</v>
      </c>
      <c r="K1169" s="337"/>
      <c r="L1169" s="337"/>
      <c r="M1169" s="337" t="s">
        <v>832</v>
      </c>
      <c r="N1169" s="337" t="s">
        <v>833</v>
      </c>
      <c r="O1169" s="337" t="e">
        <v>#N/A</v>
      </c>
      <c r="P1169" s="337"/>
      <c r="Q1169" s="337" t="s">
        <v>848</v>
      </c>
      <c r="R1169" s="343">
        <v>-223442.25</v>
      </c>
    </row>
    <row r="1170" spans="1:18" x14ac:dyDescent="0.2">
      <c r="A1170" s="342" t="s">
        <v>726</v>
      </c>
      <c r="B1170" s="337" t="s">
        <v>789</v>
      </c>
      <c r="C1170" s="337" t="s">
        <v>796</v>
      </c>
      <c r="D1170" s="337" t="s">
        <v>739</v>
      </c>
      <c r="E1170" s="337" t="s">
        <v>790</v>
      </c>
      <c r="F1170" s="337" t="s">
        <v>771</v>
      </c>
      <c r="G1170" s="337" t="s">
        <v>852</v>
      </c>
      <c r="H1170" s="337" t="s">
        <v>853</v>
      </c>
      <c r="I1170" s="337" t="s">
        <v>831</v>
      </c>
      <c r="J1170" s="337" t="s">
        <v>766</v>
      </c>
      <c r="K1170" s="337"/>
      <c r="L1170" s="337"/>
      <c r="M1170" s="337" t="s">
        <v>832</v>
      </c>
      <c r="N1170" s="337" t="s">
        <v>833</v>
      </c>
      <c r="O1170" s="337" t="e">
        <v>#N/A</v>
      </c>
      <c r="P1170" s="337"/>
      <c r="Q1170" s="337" t="s">
        <v>848</v>
      </c>
      <c r="R1170" s="343">
        <v>-316538.14</v>
      </c>
    </row>
    <row r="1171" spans="1:18" x14ac:dyDescent="0.2">
      <c r="A1171" s="342" t="s">
        <v>733</v>
      </c>
      <c r="B1171" s="337" t="s">
        <v>789</v>
      </c>
      <c r="C1171" s="337" t="s">
        <v>796</v>
      </c>
      <c r="D1171" s="337" t="s">
        <v>739</v>
      </c>
      <c r="E1171" s="337" t="s">
        <v>790</v>
      </c>
      <c r="F1171" s="337" t="s">
        <v>771</v>
      </c>
      <c r="G1171" s="337" t="s">
        <v>852</v>
      </c>
      <c r="H1171" s="337" t="s">
        <v>853</v>
      </c>
      <c r="I1171" s="337" t="s">
        <v>831</v>
      </c>
      <c r="J1171" s="337" t="s">
        <v>766</v>
      </c>
      <c r="K1171" s="337"/>
      <c r="L1171" s="337"/>
      <c r="M1171" s="337" t="s">
        <v>832</v>
      </c>
      <c r="N1171" s="337" t="s">
        <v>833</v>
      </c>
      <c r="O1171" s="337" t="e">
        <v>#N/A</v>
      </c>
      <c r="P1171" s="337"/>
      <c r="Q1171" s="337" t="s">
        <v>848</v>
      </c>
      <c r="R1171" s="343">
        <v>-399362.14</v>
      </c>
    </row>
    <row r="1172" spans="1:18" x14ac:dyDescent="0.2">
      <c r="A1172" s="342" t="s">
        <v>734</v>
      </c>
      <c r="B1172" s="337" t="s">
        <v>789</v>
      </c>
      <c r="C1172" s="337" t="s">
        <v>796</v>
      </c>
      <c r="D1172" s="337" t="s">
        <v>739</v>
      </c>
      <c r="E1172" s="337" t="s">
        <v>790</v>
      </c>
      <c r="F1172" s="337" t="s">
        <v>771</v>
      </c>
      <c r="G1172" s="337" t="s">
        <v>852</v>
      </c>
      <c r="H1172" s="337" t="s">
        <v>853</v>
      </c>
      <c r="I1172" s="337" t="s">
        <v>831</v>
      </c>
      <c r="J1172" s="337" t="s">
        <v>766</v>
      </c>
      <c r="K1172" s="337"/>
      <c r="L1172" s="337"/>
      <c r="M1172" s="337" t="s">
        <v>832</v>
      </c>
      <c r="N1172" s="337" t="s">
        <v>833</v>
      </c>
      <c r="O1172" s="337" t="e">
        <v>#N/A</v>
      </c>
      <c r="P1172" s="337"/>
      <c r="Q1172" s="337" t="s">
        <v>848</v>
      </c>
      <c r="R1172" s="343">
        <v>-199796.83</v>
      </c>
    </row>
    <row r="1173" spans="1:18" x14ac:dyDescent="0.2">
      <c r="A1173" s="342" t="s">
        <v>735</v>
      </c>
      <c r="B1173" s="337" t="s">
        <v>789</v>
      </c>
      <c r="C1173" s="337" t="s">
        <v>796</v>
      </c>
      <c r="D1173" s="337" t="s">
        <v>739</v>
      </c>
      <c r="E1173" s="337" t="s">
        <v>790</v>
      </c>
      <c r="F1173" s="337" t="s">
        <v>771</v>
      </c>
      <c r="G1173" s="337" t="s">
        <v>852</v>
      </c>
      <c r="H1173" s="337" t="s">
        <v>853</v>
      </c>
      <c r="I1173" s="337" t="s">
        <v>831</v>
      </c>
      <c r="J1173" s="337" t="s">
        <v>766</v>
      </c>
      <c r="K1173" s="337"/>
      <c r="L1173" s="337"/>
      <c r="M1173" s="337" t="s">
        <v>832</v>
      </c>
      <c r="N1173" s="337" t="s">
        <v>833</v>
      </c>
      <c r="O1173" s="337" t="e">
        <v>#N/A</v>
      </c>
      <c r="P1173" s="337"/>
      <c r="Q1173" s="337" t="s">
        <v>848</v>
      </c>
      <c r="R1173" s="343">
        <v>-182488.1</v>
      </c>
    </row>
    <row r="1174" spans="1:18" x14ac:dyDescent="0.2">
      <c r="A1174" s="342" t="s">
        <v>736</v>
      </c>
      <c r="B1174" s="337" t="s">
        <v>789</v>
      </c>
      <c r="C1174" s="337" t="s">
        <v>796</v>
      </c>
      <c r="D1174" s="337" t="s">
        <v>739</v>
      </c>
      <c r="E1174" s="337" t="s">
        <v>790</v>
      </c>
      <c r="F1174" s="337" t="s">
        <v>771</v>
      </c>
      <c r="G1174" s="337" t="s">
        <v>852</v>
      </c>
      <c r="H1174" s="337" t="s">
        <v>853</v>
      </c>
      <c r="I1174" s="337" t="s">
        <v>831</v>
      </c>
      <c r="J1174" s="337" t="s">
        <v>766</v>
      </c>
      <c r="K1174" s="337"/>
      <c r="L1174" s="337"/>
      <c r="M1174" s="337" t="s">
        <v>832</v>
      </c>
      <c r="N1174" s="337" t="s">
        <v>833</v>
      </c>
      <c r="O1174" s="337" t="e">
        <v>#N/A</v>
      </c>
      <c r="P1174" s="337"/>
      <c r="Q1174" s="337" t="s">
        <v>848</v>
      </c>
      <c r="R1174" s="343">
        <v>-176424.39</v>
      </c>
    </row>
    <row r="1175" spans="1:18" x14ac:dyDescent="0.2">
      <c r="A1175" s="342" t="s">
        <v>737</v>
      </c>
      <c r="B1175" s="337" t="s">
        <v>789</v>
      </c>
      <c r="C1175" s="337" t="s">
        <v>796</v>
      </c>
      <c r="D1175" s="337" t="s">
        <v>739</v>
      </c>
      <c r="E1175" s="337" t="s">
        <v>790</v>
      </c>
      <c r="F1175" s="337" t="s">
        <v>771</v>
      </c>
      <c r="G1175" s="337" t="s">
        <v>852</v>
      </c>
      <c r="H1175" s="337" t="s">
        <v>853</v>
      </c>
      <c r="I1175" s="337" t="s">
        <v>831</v>
      </c>
      <c r="J1175" s="337" t="s">
        <v>766</v>
      </c>
      <c r="K1175" s="337"/>
      <c r="L1175" s="337"/>
      <c r="M1175" s="337" t="s">
        <v>832</v>
      </c>
      <c r="N1175" s="337" t="s">
        <v>833</v>
      </c>
      <c r="O1175" s="337" t="e">
        <v>#N/A</v>
      </c>
      <c r="P1175" s="337"/>
      <c r="Q1175" s="337" t="s">
        <v>848</v>
      </c>
      <c r="R1175" s="343">
        <v>-176424.39</v>
      </c>
    </row>
    <row r="1176" spans="1:18" x14ac:dyDescent="0.2">
      <c r="A1176" s="342" t="s">
        <v>738</v>
      </c>
      <c r="B1176" s="337" t="s">
        <v>789</v>
      </c>
      <c r="C1176" s="337" t="s">
        <v>796</v>
      </c>
      <c r="D1176" s="337" t="s">
        <v>739</v>
      </c>
      <c r="E1176" s="337" t="s">
        <v>790</v>
      </c>
      <c r="F1176" s="337" t="s">
        <v>771</v>
      </c>
      <c r="G1176" s="337" t="s">
        <v>852</v>
      </c>
      <c r="H1176" s="337" t="s">
        <v>853</v>
      </c>
      <c r="I1176" s="337" t="s">
        <v>831</v>
      </c>
      <c r="J1176" s="337" t="s">
        <v>766</v>
      </c>
      <c r="K1176" s="337"/>
      <c r="L1176" s="337"/>
      <c r="M1176" s="337" t="s">
        <v>832</v>
      </c>
      <c r="N1176" s="337" t="s">
        <v>833</v>
      </c>
      <c r="O1176" s="337" t="e">
        <v>#N/A</v>
      </c>
      <c r="P1176" s="337"/>
      <c r="Q1176" s="337" t="s">
        <v>848</v>
      </c>
      <c r="R1176" s="343">
        <v>-189751.39</v>
      </c>
    </row>
    <row r="1177" spans="1:18" x14ac:dyDescent="0.2">
      <c r="A1177" s="342" t="s">
        <v>727</v>
      </c>
      <c r="B1177" s="337" t="s">
        <v>789</v>
      </c>
      <c r="C1177" s="337" t="s">
        <v>796</v>
      </c>
      <c r="D1177" s="337" t="s">
        <v>739</v>
      </c>
      <c r="E1177" s="337" t="s">
        <v>790</v>
      </c>
      <c r="F1177" s="337" t="s">
        <v>771</v>
      </c>
      <c r="G1177" s="337" t="s">
        <v>852</v>
      </c>
      <c r="H1177" s="337" t="s">
        <v>853</v>
      </c>
      <c r="I1177" s="337" t="s">
        <v>831</v>
      </c>
      <c r="J1177" s="337" t="s">
        <v>766</v>
      </c>
      <c r="K1177" s="337"/>
      <c r="L1177" s="337"/>
      <c r="M1177" s="337" t="s">
        <v>832</v>
      </c>
      <c r="N1177" s="337" t="s">
        <v>833</v>
      </c>
      <c r="O1177" s="337" t="e">
        <v>#N/A</v>
      </c>
      <c r="P1177" s="337"/>
      <c r="Q1177" s="337" t="s">
        <v>848</v>
      </c>
      <c r="R1177" s="343">
        <v>-169873.75</v>
      </c>
    </row>
    <row r="1178" spans="1:18" x14ac:dyDescent="0.2">
      <c r="A1178" s="342" t="s">
        <v>728</v>
      </c>
      <c r="B1178" s="337" t="s">
        <v>789</v>
      </c>
      <c r="C1178" s="337" t="s">
        <v>796</v>
      </c>
      <c r="D1178" s="337" t="s">
        <v>739</v>
      </c>
      <c r="E1178" s="337" t="s">
        <v>792</v>
      </c>
      <c r="F1178" s="337" t="s">
        <v>772</v>
      </c>
      <c r="G1178" s="337" t="s">
        <v>860</v>
      </c>
      <c r="H1178" s="337" t="s">
        <v>861</v>
      </c>
      <c r="I1178" s="337" t="s">
        <v>767</v>
      </c>
      <c r="J1178" s="337" t="s">
        <v>765</v>
      </c>
      <c r="K1178" s="337"/>
      <c r="L1178" s="337"/>
      <c r="M1178" s="337" t="s">
        <v>769</v>
      </c>
      <c r="N1178" s="337" t="s">
        <v>770</v>
      </c>
      <c r="O1178" s="337" t="e">
        <v>#N/A</v>
      </c>
      <c r="P1178" s="337"/>
      <c r="Q1178" s="337" t="s">
        <v>848</v>
      </c>
      <c r="R1178" s="343">
        <v>-43128.35</v>
      </c>
    </row>
    <row r="1179" spans="1:18" x14ac:dyDescent="0.2">
      <c r="A1179" s="342" t="s">
        <v>730</v>
      </c>
      <c r="B1179" s="337" t="s">
        <v>789</v>
      </c>
      <c r="C1179" s="337" t="s">
        <v>796</v>
      </c>
      <c r="D1179" s="337" t="s">
        <v>739</v>
      </c>
      <c r="E1179" s="337" t="s">
        <v>792</v>
      </c>
      <c r="F1179" s="337" t="s">
        <v>772</v>
      </c>
      <c r="G1179" s="337" t="s">
        <v>860</v>
      </c>
      <c r="H1179" s="337" t="s">
        <v>861</v>
      </c>
      <c r="I1179" s="337" t="s">
        <v>767</v>
      </c>
      <c r="J1179" s="337" t="s">
        <v>765</v>
      </c>
      <c r="K1179" s="337"/>
      <c r="L1179" s="337"/>
      <c r="M1179" s="337" t="s">
        <v>769</v>
      </c>
      <c r="N1179" s="337" t="s">
        <v>770</v>
      </c>
      <c r="O1179" s="337" t="e">
        <v>#N/A</v>
      </c>
      <c r="P1179" s="337"/>
      <c r="Q1179" s="337" t="s">
        <v>848</v>
      </c>
      <c r="R1179" s="343">
        <v>-43128.35</v>
      </c>
    </row>
    <row r="1180" spans="1:18" x14ac:dyDescent="0.2">
      <c r="A1180" s="342" t="s">
        <v>731</v>
      </c>
      <c r="B1180" s="337" t="s">
        <v>789</v>
      </c>
      <c r="C1180" s="337" t="s">
        <v>796</v>
      </c>
      <c r="D1180" s="337" t="s">
        <v>739</v>
      </c>
      <c r="E1180" s="337" t="s">
        <v>792</v>
      </c>
      <c r="F1180" s="337" t="s">
        <v>772</v>
      </c>
      <c r="G1180" s="337" t="s">
        <v>860</v>
      </c>
      <c r="H1180" s="337" t="s">
        <v>861</v>
      </c>
      <c r="I1180" s="337" t="s">
        <v>767</v>
      </c>
      <c r="J1180" s="337" t="s">
        <v>765</v>
      </c>
      <c r="K1180" s="337"/>
      <c r="L1180" s="337"/>
      <c r="M1180" s="337" t="s">
        <v>769</v>
      </c>
      <c r="N1180" s="337" t="s">
        <v>770</v>
      </c>
      <c r="O1180" s="337" t="e">
        <v>#N/A</v>
      </c>
      <c r="P1180" s="337"/>
      <c r="Q1180" s="337" t="s">
        <v>848</v>
      </c>
      <c r="R1180" s="343">
        <v>-43128.35</v>
      </c>
    </row>
    <row r="1181" spans="1:18" x14ac:dyDescent="0.2">
      <c r="A1181" s="342" t="s">
        <v>732</v>
      </c>
      <c r="B1181" s="337" t="s">
        <v>789</v>
      </c>
      <c r="C1181" s="337" t="s">
        <v>796</v>
      </c>
      <c r="D1181" s="337" t="s">
        <v>739</v>
      </c>
      <c r="E1181" s="337" t="s">
        <v>792</v>
      </c>
      <c r="F1181" s="337" t="s">
        <v>772</v>
      </c>
      <c r="G1181" s="337" t="s">
        <v>860</v>
      </c>
      <c r="H1181" s="337" t="s">
        <v>861</v>
      </c>
      <c r="I1181" s="337" t="s">
        <v>767</v>
      </c>
      <c r="J1181" s="337" t="s">
        <v>765</v>
      </c>
      <c r="K1181" s="337"/>
      <c r="L1181" s="337"/>
      <c r="M1181" s="337" t="s">
        <v>769</v>
      </c>
      <c r="N1181" s="337" t="s">
        <v>770</v>
      </c>
      <c r="O1181" s="337" t="e">
        <v>#N/A</v>
      </c>
      <c r="P1181" s="337"/>
      <c r="Q1181" s="337" t="s">
        <v>848</v>
      </c>
      <c r="R1181" s="343">
        <v>-43128.35</v>
      </c>
    </row>
    <row r="1182" spans="1:18" x14ac:dyDescent="0.2">
      <c r="A1182" s="342" t="s">
        <v>726</v>
      </c>
      <c r="B1182" s="337" t="s">
        <v>789</v>
      </c>
      <c r="C1182" s="337" t="s">
        <v>796</v>
      </c>
      <c r="D1182" s="337" t="s">
        <v>739</v>
      </c>
      <c r="E1182" s="337" t="s">
        <v>792</v>
      </c>
      <c r="F1182" s="337" t="s">
        <v>772</v>
      </c>
      <c r="G1182" s="337" t="s">
        <v>860</v>
      </c>
      <c r="H1182" s="337" t="s">
        <v>861</v>
      </c>
      <c r="I1182" s="337" t="s">
        <v>767</v>
      </c>
      <c r="J1182" s="337" t="s">
        <v>765</v>
      </c>
      <c r="K1182" s="337"/>
      <c r="L1182" s="337"/>
      <c r="M1182" s="337" t="s">
        <v>769</v>
      </c>
      <c r="N1182" s="337" t="s">
        <v>770</v>
      </c>
      <c r="O1182" s="337" t="e">
        <v>#N/A</v>
      </c>
      <c r="P1182" s="337"/>
      <c r="Q1182" s="337" t="s">
        <v>848</v>
      </c>
      <c r="R1182" s="343">
        <v>-43128.35</v>
      </c>
    </row>
    <row r="1183" spans="1:18" x14ac:dyDescent="0.2">
      <c r="A1183" s="342" t="s">
        <v>733</v>
      </c>
      <c r="B1183" s="337" t="s">
        <v>789</v>
      </c>
      <c r="C1183" s="337" t="s">
        <v>796</v>
      </c>
      <c r="D1183" s="337" t="s">
        <v>739</v>
      </c>
      <c r="E1183" s="337" t="s">
        <v>792</v>
      </c>
      <c r="F1183" s="337" t="s">
        <v>772</v>
      </c>
      <c r="G1183" s="337" t="s">
        <v>860</v>
      </c>
      <c r="H1183" s="337" t="s">
        <v>861</v>
      </c>
      <c r="I1183" s="337" t="s">
        <v>767</v>
      </c>
      <c r="J1183" s="337" t="s">
        <v>765</v>
      </c>
      <c r="K1183" s="337"/>
      <c r="L1183" s="337"/>
      <c r="M1183" s="337" t="s">
        <v>769</v>
      </c>
      <c r="N1183" s="337" t="s">
        <v>770</v>
      </c>
      <c r="O1183" s="337" t="e">
        <v>#N/A</v>
      </c>
      <c r="P1183" s="337"/>
      <c r="Q1183" s="337" t="s">
        <v>848</v>
      </c>
      <c r="R1183" s="343">
        <v>-43128.35</v>
      </c>
    </row>
    <row r="1184" spans="1:18" x14ac:dyDescent="0.2">
      <c r="A1184" s="342" t="s">
        <v>734</v>
      </c>
      <c r="B1184" s="337" t="s">
        <v>789</v>
      </c>
      <c r="C1184" s="337" t="s">
        <v>796</v>
      </c>
      <c r="D1184" s="337" t="s">
        <v>739</v>
      </c>
      <c r="E1184" s="337" t="s">
        <v>792</v>
      </c>
      <c r="F1184" s="337" t="s">
        <v>772</v>
      </c>
      <c r="G1184" s="337" t="s">
        <v>860</v>
      </c>
      <c r="H1184" s="337" t="s">
        <v>861</v>
      </c>
      <c r="I1184" s="337" t="s">
        <v>767</v>
      </c>
      <c r="J1184" s="337" t="s">
        <v>765</v>
      </c>
      <c r="K1184" s="337"/>
      <c r="L1184" s="337"/>
      <c r="M1184" s="337" t="s">
        <v>769</v>
      </c>
      <c r="N1184" s="337" t="s">
        <v>770</v>
      </c>
      <c r="O1184" s="337" t="e">
        <v>#N/A</v>
      </c>
      <c r="P1184" s="337"/>
      <c r="Q1184" s="337" t="s">
        <v>848</v>
      </c>
      <c r="R1184" s="343">
        <v>-44335.94</v>
      </c>
    </row>
    <row r="1185" spans="1:18" x14ac:dyDescent="0.2">
      <c r="A1185" s="342" t="s">
        <v>735</v>
      </c>
      <c r="B1185" s="337" t="s">
        <v>789</v>
      </c>
      <c r="C1185" s="337" t="s">
        <v>796</v>
      </c>
      <c r="D1185" s="337" t="s">
        <v>739</v>
      </c>
      <c r="E1185" s="337" t="s">
        <v>792</v>
      </c>
      <c r="F1185" s="337" t="s">
        <v>772</v>
      </c>
      <c r="G1185" s="337" t="s">
        <v>860</v>
      </c>
      <c r="H1185" s="337" t="s">
        <v>861</v>
      </c>
      <c r="I1185" s="337" t="s">
        <v>767</v>
      </c>
      <c r="J1185" s="337" t="s">
        <v>765</v>
      </c>
      <c r="K1185" s="337"/>
      <c r="L1185" s="337"/>
      <c r="M1185" s="337" t="s">
        <v>769</v>
      </c>
      <c r="N1185" s="337" t="s">
        <v>770</v>
      </c>
      <c r="O1185" s="337" t="e">
        <v>#N/A</v>
      </c>
      <c r="P1185" s="337"/>
      <c r="Q1185" s="337" t="s">
        <v>848</v>
      </c>
      <c r="R1185" s="343">
        <v>-44335.94</v>
      </c>
    </row>
    <row r="1186" spans="1:18" x14ac:dyDescent="0.2">
      <c r="A1186" s="342" t="s">
        <v>736</v>
      </c>
      <c r="B1186" s="337" t="s">
        <v>789</v>
      </c>
      <c r="C1186" s="337" t="s">
        <v>796</v>
      </c>
      <c r="D1186" s="337" t="s">
        <v>739</v>
      </c>
      <c r="E1186" s="337" t="s">
        <v>792</v>
      </c>
      <c r="F1186" s="337" t="s">
        <v>772</v>
      </c>
      <c r="G1186" s="337" t="s">
        <v>860</v>
      </c>
      <c r="H1186" s="337" t="s">
        <v>861</v>
      </c>
      <c r="I1186" s="337" t="s">
        <v>767</v>
      </c>
      <c r="J1186" s="337" t="s">
        <v>765</v>
      </c>
      <c r="K1186" s="337"/>
      <c r="L1186" s="337"/>
      <c r="M1186" s="337" t="s">
        <v>769</v>
      </c>
      <c r="N1186" s="337" t="s">
        <v>770</v>
      </c>
      <c r="O1186" s="337" t="e">
        <v>#N/A</v>
      </c>
      <c r="P1186" s="337"/>
      <c r="Q1186" s="337" t="s">
        <v>848</v>
      </c>
      <c r="R1186" s="343">
        <v>-44335.94</v>
      </c>
    </row>
    <row r="1187" spans="1:18" x14ac:dyDescent="0.2">
      <c r="A1187" s="342" t="s">
        <v>737</v>
      </c>
      <c r="B1187" s="337" t="s">
        <v>789</v>
      </c>
      <c r="C1187" s="337" t="s">
        <v>796</v>
      </c>
      <c r="D1187" s="337" t="s">
        <v>739</v>
      </c>
      <c r="E1187" s="337" t="s">
        <v>792</v>
      </c>
      <c r="F1187" s="337" t="s">
        <v>772</v>
      </c>
      <c r="G1187" s="337" t="s">
        <v>860</v>
      </c>
      <c r="H1187" s="337" t="s">
        <v>861</v>
      </c>
      <c r="I1187" s="337" t="s">
        <v>767</v>
      </c>
      <c r="J1187" s="337" t="s">
        <v>765</v>
      </c>
      <c r="K1187" s="337"/>
      <c r="L1187" s="337"/>
      <c r="M1187" s="337" t="s">
        <v>769</v>
      </c>
      <c r="N1187" s="337" t="s">
        <v>770</v>
      </c>
      <c r="O1187" s="337" t="e">
        <v>#N/A</v>
      </c>
      <c r="P1187" s="337"/>
      <c r="Q1187" s="337" t="s">
        <v>848</v>
      </c>
      <c r="R1187" s="343">
        <v>-44335.94</v>
      </c>
    </row>
    <row r="1188" spans="1:18" x14ac:dyDescent="0.2">
      <c r="A1188" s="342" t="s">
        <v>738</v>
      </c>
      <c r="B1188" s="337" t="s">
        <v>789</v>
      </c>
      <c r="C1188" s="337" t="s">
        <v>796</v>
      </c>
      <c r="D1188" s="337" t="s">
        <v>739</v>
      </c>
      <c r="E1188" s="337" t="s">
        <v>792</v>
      </c>
      <c r="F1188" s="337" t="s">
        <v>772</v>
      </c>
      <c r="G1188" s="337" t="s">
        <v>860</v>
      </c>
      <c r="H1188" s="337" t="s">
        <v>861</v>
      </c>
      <c r="I1188" s="337" t="s">
        <v>767</v>
      </c>
      <c r="J1188" s="337" t="s">
        <v>765</v>
      </c>
      <c r="K1188" s="337"/>
      <c r="L1188" s="337"/>
      <c r="M1188" s="337" t="s">
        <v>769</v>
      </c>
      <c r="N1188" s="337" t="s">
        <v>770</v>
      </c>
      <c r="O1188" s="337" t="e">
        <v>#N/A</v>
      </c>
      <c r="P1188" s="337"/>
      <c r="Q1188" s="337" t="s">
        <v>848</v>
      </c>
      <c r="R1188" s="343">
        <v>-44335.94</v>
      </c>
    </row>
    <row r="1189" spans="1:18" x14ac:dyDescent="0.2">
      <c r="A1189" s="342" t="s">
        <v>727</v>
      </c>
      <c r="B1189" s="337" t="s">
        <v>789</v>
      </c>
      <c r="C1189" s="337" t="s">
        <v>796</v>
      </c>
      <c r="D1189" s="337" t="s">
        <v>739</v>
      </c>
      <c r="E1189" s="337" t="s">
        <v>792</v>
      </c>
      <c r="F1189" s="337" t="s">
        <v>772</v>
      </c>
      <c r="G1189" s="337" t="s">
        <v>860</v>
      </c>
      <c r="H1189" s="337" t="s">
        <v>861</v>
      </c>
      <c r="I1189" s="337" t="s">
        <v>767</v>
      </c>
      <c r="J1189" s="337" t="s">
        <v>765</v>
      </c>
      <c r="K1189" s="337"/>
      <c r="L1189" s="337"/>
      <c r="M1189" s="337" t="s">
        <v>769</v>
      </c>
      <c r="N1189" s="337" t="s">
        <v>770</v>
      </c>
      <c r="O1189" s="337" t="e">
        <v>#N/A</v>
      </c>
      <c r="P1189" s="337"/>
      <c r="Q1189" s="337" t="s">
        <v>848</v>
      </c>
      <c r="R1189" s="343">
        <v>-44335.94</v>
      </c>
    </row>
    <row r="1190" spans="1:18" x14ac:dyDescent="0.2">
      <c r="A1190" s="342" t="s">
        <v>728</v>
      </c>
      <c r="B1190" s="337" t="s">
        <v>789</v>
      </c>
      <c r="C1190" s="337" t="s">
        <v>796</v>
      </c>
      <c r="D1190" s="337" t="s">
        <v>739</v>
      </c>
      <c r="E1190" s="337" t="s">
        <v>791</v>
      </c>
      <c r="F1190" s="337" t="s">
        <v>774</v>
      </c>
      <c r="G1190" s="337" t="s">
        <v>862</v>
      </c>
      <c r="H1190" s="337" t="s">
        <v>863</v>
      </c>
      <c r="I1190" s="337" t="s">
        <v>767</v>
      </c>
      <c r="J1190" s="337" t="s">
        <v>765</v>
      </c>
      <c r="K1190" s="337"/>
      <c r="L1190" s="337"/>
      <c r="M1190" s="337" t="s">
        <v>864</v>
      </c>
      <c r="N1190" s="337" t="s">
        <v>754</v>
      </c>
      <c r="O1190" s="337" t="e">
        <v>#N/A</v>
      </c>
      <c r="P1190" s="337"/>
      <c r="Q1190" s="337" t="s">
        <v>865</v>
      </c>
      <c r="R1190" s="343">
        <v>-59552.02</v>
      </c>
    </row>
    <row r="1191" spans="1:18" x14ac:dyDescent="0.2">
      <c r="A1191" s="342" t="s">
        <v>730</v>
      </c>
      <c r="B1191" s="337" t="s">
        <v>789</v>
      </c>
      <c r="C1191" s="337" t="s">
        <v>796</v>
      </c>
      <c r="D1191" s="337" t="s">
        <v>739</v>
      </c>
      <c r="E1191" s="337" t="s">
        <v>791</v>
      </c>
      <c r="F1191" s="337" t="s">
        <v>774</v>
      </c>
      <c r="G1191" s="337" t="s">
        <v>862</v>
      </c>
      <c r="H1191" s="337" t="s">
        <v>863</v>
      </c>
      <c r="I1191" s="337" t="s">
        <v>767</v>
      </c>
      <c r="J1191" s="337" t="s">
        <v>765</v>
      </c>
      <c r="K1191" s="337"/>
      <c r="L1191" s="337"/>
      <c r="M1191" s="337" t="s">
        <v>864</v>
      </c>
      <c r="N1191" s="337" t="s">
        <v>754</v>
      </c>
      <c r="O1191" s="337" t="e">
        <v>#N/A</v>
      </c>
      <c r="P1191" s="337"/>
      <c r="Q1191" s="337" t="s">
        <v>865</v>
      </c>
      <c r="R1191" s="343">
        <v>-59552.02</v>
      </c>
    </row>
    <row r="1192" spans="1:18" x14ac:dyDescent="0.2">
      <c r="A1192" s="342" t="s">
        <v>731</v>
      </c>
      <c r="B1192" s="337" t="s">
        <v>789</v>
      </c>
      <c r="C1192" s="337" t="s">
        <v>796</v>
      </c>
      <c r="D1192" s="337" t="s">
        <v>739</v>
      </c>
      <c r="E1192" s="337" t="s">
        <v>791</v>
      </c>
      <c r="F1192" s="337" t="s">
        <v>774</v>
      </c>
      <c r="G1192" s="337" t="s">
        <v>862</v>
      </c>
      <c r="H1192" s="337" t="s">
        <v>863</v>
      </c>
      <c r="I1192" s="337" t="s">
        <v>767</v>
      </c>
      <c r="J1192" s="337" t="s">
        <v>765</v>
      </c>
      <c r="K1192" s="337"/>
      <c r="L1192" s="337"/>
      <c r="M1192" s="337" t="s">
        <v>864</v>
      </c>
      <c r="N1192" s="337" t="s">
        <v>754</v>
      </c>
      <c r="O1192" s="337" t="e">
        <v>#N/A</v>
      </c>
      <c r="P1192" s="337"/>
      <c r="Q1192" s="337" t="s">
        <v>865</v>
      </c>
      <c r="R1192" s="343">
        <v>-59552.02</v>
      </c>
    </row>
    <row r="1193" spans="1:18" x14ac:dyDescent="0.2">
      <c r="A1193" s="342" t="s">
        <v>732</v>
      </c>
      <c r="B1193" s="337" t="s">
        <v>789</v>
      </c>
      <c r="C1193" s="337" t="s">
        <v>796</v>
      </c>
      <c r="D1193" s="337" t="s">
        <v>739</v>
      </c>
      <c r="E1193" s="337" t="s">
        <v>791</v>
      </c>
      <c r="F1193" s="337" t="s">
        <v>774</v>
      </c>
      <c r="G1193" s="337" t="s">
        <v>862</v>
      </c>
      <c r="H1193" s="337" t="s">
        <v>863</v>
      </c>
      <c r="I1193" s="337" t="s">
        <v>767</v>
      </c>
      <c r="J1193" s="337" t="s">
        <v>765</v>
      </c>
      <c r="K1193" s="337"/>
      <c r="L1193" s="337"/>
      <c r="M1193" s="337" t="s">
        <v>864</v>
      </c>
      <c r="N1193" s="337" t="s">
        <v>754</v>
      </c>
      <c r="O1193" s="337" t="e">
        <v>#N/A</v>
      </c>
      <c r="P1193" s="337"/>
      <c r="Q1193" s="337" t="s">
        <v>865</v>
      </c>
      <c r="R1193" s="343">
        <v>-59552.02</v>
      </c>
    </row>
    <row r="1194" spans="1:18" x14ac:dyDescent="0.2">
      <c r="A1194" s="342" t="s">
        <v>726</v>
      </c>
      <c r="B1194" s="337" t="s">
        <v>789</v>
      </c>
      <c r="C1194" s="337" t="s">
        <v>796</v>
      </c>
      <c r="D1194" s="337" t="s">
        <v>739</v>
      </c>
      <c r="E1194" s="337" t="s">
        <v>791</v>
      </c>
      <c r="F1194" s="337" t="s">
        <v>774</v>
      </c>
      <c r="G1194" s="337" t="s">
        <v>862</v>
      </c>
      <c r="H1194" s="337" t="s">
        <v>863</v>
      </c>
      <c r="I1194" s="337" t="s">
        <v>767</v>
      </c>
      <c r="J1194" s="337" t="s">
        <v>765</v>
      </c>
      <c r="K1194" s="337"/>
      <c r="L1194" s="337"/>
      <c r="M1194" s="337" t="s">
        <v>864</v>
      </c>
      <c r="N1194" s="337" t="s">
        <v>754</v>
      </c>
      <c r="O1194" s="337" t="e">
        <v>#N/A</v>
      </c>
      <c r="P1194" s="337"/>
      <c r="Q1194" s="337" t="s">
        <v>865</v>
      </c>
      <c r="R1194" s="343">
        <v>-59552.02</v>
      </c>
    </row>
    <row r="1195" spans="1:18" x14ac:dyDescent="0.2">
      <c r="A1195" s="342" t="s">
        <v>733</v>
      </c>
      <c r="B1195" s="337" t="s">
        <v>789</v>
      </c>
      <c r="C1195" s="337" t="s">
        <v>796</v>
      </c>
      <c r="D1195" s="337" t="s">
        <v>739</v>
      </c>
      <c r="E1195" s="337" t="s">
        <v>791</v>
      </c>
      <c r="F1195" s="337" t="s">
        <v>774</v>
      </c>
      <c r="G1195" s="337" t="s">
        <v>862</v>
      </c>
      <c r="H1195" s="337" t="s">
        <v>863</v>
      </c>
      <c r="I1195" s="337" t="s">
        <v>767</v>
      </c>
      <c r="J1195" s="337" t="s">
        <v>765</v>
      </c>
      <c r="K1195" s="337"/>
      <c r="L1195" s="337"/>
      <c r="M1195" s="337" t="s">
        <v>864</v>
      </c>
      <c r="N1195" s="337" t="s">
        <v>754</v>
      </c>
      <c r="O1195" s="337" t="e">
        <v>#N/A</v>
      </c>
      <c r="P1195" s="337"/>
      <c r="Q1195" s="337" t="s">
        <v>865</v>
      </c>
      <c r="R1195" s="343">
        <v>-59552.02</v>
      </c>
    </row>
    <row r="1196" spans="1:18" x14ac:dyDescent="0.2">
      <c r="A1196" s="342" t="s">
        <v>734</v>
      </c>
      <c r="B1196" s="337" t="s">
        <v>789</v>
      </c>
      <c r="C1196" s="337" t="s">
        <v>796</v>
      </c>
      <c r="D1196" s="337" t="s">
        <v>739</v>
      </c>
      <c r="E1196" s="337" t="s">
        <v>791</v>
      </c>
      <c r="F1196" s="337" t="s">
        <v>774</v>
      </c>
      <c r="G1196" s="337" t="s">
        <v>862</v>
      </c>
      <c r="H1196" s="337" t="s">
        <v>863</v>
      </c>
      <c r="I1196" s="337" t="s">
        <v>767</v>
      </c>
      <c r="J1196" s="337" t="s">
        <v>765</v>
      </c>
      <c r="K1196" s="337"/>
      <c r="L1196" s="337"/>
      <c r="M1196" s="337" t="s">
        <v>864</v>
      </c>
      <c r="N1196" s="337" t="s">
        <v>754</v>
      </c>
      <c r="O1196" s="337" t="e">
        <v>#N/A</v>
      </c>
      <c r="P1196" s="337"/>
      <c r="Q1196" s="337" t="s">
        <v>865</v>
      </c>
      <c r="R1196" s="343">
        <v>-61224.58</v>
      </c>
    </row>
    <row r="1197" spans="1:18" x14ac:dyDescent="0.2">
      <c r="A1197" s="342" t="s">
        <v>735</v>
      </c>
      <c r="B1197" s="337" t="s">
        <v>789</v>
      </c>
      <c r="C1197" s="337" t="s">
        <v>796</v>
      </c>
      <c r="D1197" s="337" t="s">
        <v>739</v>
      </c>
      <c r="E1197" s="337" t="s">
        <v>791</v>
      </c>
      <c r="F1197" s="337" t="s">
        <v>774</v>
      </c>
      <c r="G1197" s="337" t="s">
        <v>862</v>
      </c>
      <c r="H1197" s="337" t="s">
        <v>863</v>
      </c>
      <c r="I1197" s="337" t="s">
        <v>767</v>
      </c>
      <c r="J1197" s="337" t="s">
        <v>765</v>
      </c>
      <c r="K1197" s="337"/>
      <c r="L1197" s="337"/>
      <c r="M1197" s="337" t="s">
        <v>864</v>
      </c>
      <c r="N1197" s="337" t="s">
        <v>754</v>
      </c>
      <c r="O1197" s="337" t="e">
        <v>#N/A</v>
      </c>
      <c r="P1197" s="337"/>
      <c r="Q1197" s="337" t="s">
        <v>865</v>
      </c>
      <c r="R1197" s="343">
        <v>-61224.58</v>
      </c>
    </row>
    <row r="1198" spans="1:18" x14ac:dyDescent="0.2">
      <c r="A1198" s="342" t="s">
        <v>736</v>
      </c>
      <c r="B1198" s="337" t="s">
        <v>789</v>
      </c>
      <c r="C1198" s="337" t="s">
        <v>796</v>
      </c>
      <c r="D1198" s="337" t="s">
        <v>739</v>
      </c>
      <c r="E1198" s="337" t="s">
        <v>791</v>
      </c>
      <c r="F1198" s="337" t="s">
        <v>774</v>
      </c>
      <c r="G1198" s="337" t="s">
        <v>862</v>
      </c>
      <c r="H1198" s="337" t="s">
        <v>863</v>
      </c>
      <c r="I1198" s="337" t="s">
        <v>767</v>
      </c>
      <c r="J1198" s="337" t="s">
        <v>765</v>
      </c>
      <c r="K1198" s="337"/>
      <c r="L1198" s="337"/>
      <c r="M1198" s="337" t="s">
        <v>864</v>
      </c>
      <c r="N1198" s="337" t="s">
        <v>754</v>
      </c>
      <c r="O1198" s="337" t="e">
        <v>#N/A</v>
      </c>
      <c r="P1198" s="337"/>
      <c r="Q1198" s="337" t="s">
        <v>865</v>
      </c>
      <c r="R1198" s="343">
        <v>-61224.58</v>
      </c>
    </row>
    <row r="1199" spans="1:18" x14ac:dyDescent="0.2">
      <c r="A1199" s="342" t="s">
        <v>737</v>
      </c>
      <c r="B1199" s="337" t="s">
        <v>789</v>
      </c>
      <c r="C1199" s="337" t="s">
        <v>796</v>
      </c>
      <c r="D1199" s="337" t="s">
        <v>739</v>
      </c>
      <c r="E1199" s="337" t="s">
        <v>791</v>
      </c>
      <c r="F1199" s="337" t="s">
        <v>774</v>
      </c>
      <c r="G1199" s="337" t="s">
        <v>862</v>
      </c>
      <c r="H1199" s="337" t="s">
        <v>863</v>
      </c>
      <c r="I1199" s="337" t="s">
        <v>767</v>
      </c>
      <c r="J1199" s="337" t="s">
        <v>765</v>
      </c>
      <c r="K1199" s="337"/>
      <c r="L1199" s="337"/>
      <c r="M1199" s="337" t="s">
        <v>864</v>
      </c>
      <c r="N1199" s="337" t="s">
        <v>754</v>
      </c>
      <c r="O1199" s="337" t="e">
        <v>#N/A</v>
      </c>
      <c r="P1199" s="337"/>
      <c r="Q1199" s="337" t="s">
        <v>865</v>
      </c>
      <c r="R1199" s="343">
        <v>-61224.58</v>
      </c>
    </row>
    <row r="1200" spans="1:18" x14ac:dyDescent="0.2">
      <c r="A1200" s="342" t="s">
        <v>738</v>
      </c>
      <c r="B1200" s="337" t="s">
        <v>789</v>
      </c>
      <c r="C1200" s="337" t="s">
        <v>796</v>
      </c>
      <c r="D1200" s="337" t="s">
        <v>739</v>
      </c>
      <c r="E1200" s="337" t="s">
        <v>791</v>
      </c>
      <c r="F1200" s="337" t="s">
        <v>774</v>
      </c>
      <c r="G1200" s="337" t="s">
        <v>862</v>
      </c>
      <c r="H1200" s="337" t="s">
        <v>863</v>
      </c>
      <c r="I1200" s="337" t="s">
        <v>767</v>
      </c>
      <c r="J1200" s="337" t="s">
        <v>765</v>
      </c>
      <c r="K1200" s="337"/>
      <c r="L1200" s="337"/>
      <c r="M1200" s="337" t="s">
        <v>864</v>
      </c>
      <c r="N1200" s="337" t="s">
        <v>754</v>
      </c>
      <c r="O1200" s="337" t="e">
        <v>#N/A</v>
      </c>
      <c r="P1200" s="337"/>
      <c r="Q1200" s="337" t="s">
        <v>865</v>
      </c>
      <c r="R1200" s="343">
        <v>-61224.58</v>
      </c>
    </row>
    <row r="1201" spans="1:18" ht="13.5" thickBot="1" x14ac:dyDescent="0.25">
      <c r="A1201" s="344" t="s">
        <v>727</v>
      </c>
      <c r="B1201" s="345" t="s">
        <v>789</v>
      </c>
      <c r="C1201" s="345" t="s">
        <v>796</v>
      </c>
      <c r="D1201" s="345" t="s">
        <v>739</v>
      </c>
      <c r="E1201" s="345" t="s">
        <v>791</v>
      </c>
      <c r="F1201" s="345" t="s">
        <v>774</v>
      </c>
      <c r="G1201" s="345" t="s">
        <v>862</v>
      </c>
      <c r="H1201" s="345" t="s">
        <v>863</v>
      </c>
      <c r="I1201" s="345" t="s">
        <v>767</v>
      </c>
      <c r="J1201" s="345" t="s">
        <v>765</v>
      </c>
      <c r="K1201" s="345"/>
      <c r="L1201" s="345"/>
      <c r="M1201" s="345" t="s">
        <v>864</v>
      </c>
      <c r="N1201" s="345" t="s">
        <v>754</v>
      </c>
      <c r="O1201" s="345" t="e">
        <v>#N/A</v>
      </c>
      <c r="P1201" s="345"/>
      <c r="Q1201" s="345" t="s">
        <v>865</v>
      </c>
      <c r="R1201" s="346">
        <v>-61224.58</v>
      </c>
    </row>
    <row r="1202" spans="1:18" ht="13.5" thickBot="1" x14ac:dyDescent="0.25">
      <c r="A1202" s="337"/>
      <c r="B1202" s="337"/>
      <c r="C1202" s="337"/>
      <c r="D1202" s="337"/>
      <c r="E1202" s="337"/>
      <c r="F1202" s="337"/>
      <c r="G1202" s="337"/>
      <c r="H1202" s="337"/>
      <c r="I1202" s="337"/>
      <c r="J1202" s="337"/>
      <c r="K1202" s="337"/>
      <c r="L1202" s="337"/>
      <c r="M1202" s="337"/>
      <c r="N1202" s="337"/>
      <c r="O1202" s="337"/>
      <c r="P1202" s="337"/>
      <c r="Q1202" s="337"/>
      <c r="R1202" s="337"/>
    </row>
    <row r="1203" spans="1:18" ht="25.5" x14ac:dyDescent="0.2">
      <c r="A1203" s="338" t="s">
        <v>710</v>
      </c>
      <c r="B1203" s="339" t="s">
        <v>711</v>
      </c>
      <c r="C1203" s="339" t="s">
        <v>699</v>
      </c>
      <c r="D1203" s="339" t="s">
        <v>712</v>
      </c>
      <c r="E1203" s="339" t="s">
        <v>713</v>
      </c>
      <c r="F1203" s="339" t="s">
        <v>714</v>
      </c>
      <c r="G1203" s="339" t="s">
        <v>715</v>
      </c>
      <c r="H1203" s="339" t="s">
        <v>716</v>
      </c>
      <c r="I1203" s="339" t="s">
        <v>717</v>
      </c>
      <c r="J1203" s="339" t="s">
        <v>706</v>
      </c>
      <c r="K1203" s="339" t="s">
        <v>718</v>
      </c>
      <c r="L1203" s="339" t="s">
        <v>719</v>
      </c>
      <c r="M1203" s="339" t="s">
        <v>720</v>
      </c>
      <c r="N1203" s="339" t="s">
        <v>721</v>
      </c>
      <c r="O1203" s="340" t="s">
        <v>722</v>
      </c>
      <c r="P1203" s="339" t="s">
        <v>723</v>
      </c>
      <c r="Q1203" s="339" t="s">
        <v>724</v>
      </c>
      <c r="R1203" s="341" t="s">
        <v>725</v>
      </c>
    </row>
    <row r="1204" spans="1:18" x14ac:dyDescent="0.2">
      <c r="A1204" s="342" t="s">
        <v>730</v>
      </c>
      <c r="B1204" s="337" t="s">
        <v>793</v>
      </c>
      <c r="C1204" s="337" t="s">
        <v>795</v>
      </c>
      <c r="D1204" s="337" t="s">
        <v>798</v>
      </c>
      <c r="E1204" s="337" t="s">
        <v>790</v>
      </c>
      <c r="F1204" s="337" t="s">
        <v>771</v>
      </c>
      <c r="G1204" s="337" t="s">
        <v>799</v>
      </c>
      <c r="H1204" s="337" t="s">
        <v>800</v>
      </c>
      <c r="I1204" s="337" t="s">
        <v>866</v>
      </c>
      <c r="J1204" s="337" t="s">
        <v>707</v>
      </c>
      <c r="K1204" s="337" t="s">
        <v>867</v>
      </c>
      <c r="L1204" s="337" t="s">
        <v>868</v>
      </c>
      <c r="M1204" s="337"/>
      <c r="N1204" s="337"/>
      <c r="O1204" s="337" t="e">
        <v>#N/A</v>
      </c>
      <c r="P1204" s="337"/>
      <c r="Q1204" s="337"/>
      <c r="R1204" s="343">
        <v>-35254.99</v>
      </c>
    </row>
    <row r="1205" spans="1:18" x14ac:dyDescent="0.2">
      <c r="A1205" s="342" t="s">
        <v>730</v>
      </c>
      <c r="B1205" s="337" t="s">
        <v>793</v>
      </c>
      <c r="C1205" s="337" t="s">
        <v>795</v>
      </c>
      <c r="D1205" s="337" t="s">
        <v>869</v>
      </c>
      <c r="E1205" s="337" t="s">
        <v>790</v>
      </c>
      <c r="F1205" s="337" t="s">
        <v>771</v>
      </c>
      <c r="G1205" s="337" t="s">
        <v>799</v>
      </c>
      <c r="H1205" s="337" t="s">
        <v>800</v>
      </c>
      <c r="I1205" s="337" t="s">
        <v>866</v>
      </c>
      <c r="J1205" s="337" t="s">
        <v>707</v>
      </c>
      <c r="K1205" s="337" t="s">
        <v>867</v>
      </c>
      <c r="L1205" s="337" t="s">
        <v>868</v>
      </c>
      <c r="M1205" s="337"/>
      <c r="N1205" s="337"/>
      <c r="O1205" s="337" t="e">
        <v>#N/A</v>
      </c>
      <c r="P1205" s="337"/>
      <c r="Q1205" s="337"/>
      <c r="R1205" s="343">
        <v>-50364.27</v>
      </c>
    </row>
    <row r="1206" spans="1:18" x14ac:dyDescent="0.2">
      <c r="A1206" s="342" t="s">
        <v>730</v>
      </c>
      <c r="B1206" s="337" t="s">
        <v>789</v>
      </c>
      <c r="C1206" s="337" t="s">
        <v>796</v>
      </c>
      <c r="D1206" s="337" t="s">
        <v>798</v>
      </c>
      <c r="E1206" s="337" t="s">
        <v>790</v>
      </c>
      <c r="F1206" s="337" t="s">
        <v>771</v>
      </c>
      <c r="G1206" s="337" t="s">
        <v>852</v>
      </c>
      <c r="H1206" s="337" t="s">
        <v>853</v>
      </c>
      <c r="I1206" s="337" t="s">
        <v>866</v>
      </c>
      <c r="J1206" s="337" t="s">
        <v>707</v>
      </c>
      <c r="K1206" s="337" t="s">
        <v>867</v>
      </c>
      <c r="L1206" s="337" t="s">
        <v>868</v>
      </c>
      <c r="M1206" s="337"/>
      <c r="N1206" s="337"/>
      <c r="O1206" s="337" t="e">
        <v>#N/A</v>
      </c>
      <c r="P1206" s="337"/>
      <c r="Q1206" s="337"/>
      <c r="R1206" s="343">
        <v>35254.99</v>
      </c>
    </row>
    <row r="1207" spans="1:18" ht="13.5" thickBot="1" x14ac:dyDescent="0.25">
      <c r="A1207" s="344" t="s">
        <v>730</v>
      </c>
      <c r="B1207" s="345" t="s">
        <v>789</v>
      </c>
      <c r="C1207" s="345" t="s">
        <v>796</v>
      </c>
      <c r="D1207" s="345" t="s">
        <v>869</v>
      </c>
      <c r="E1207" s="345" t="s">
        <v>790</v>
      </c>
      <c r="F1207" s="345" t="s">
        <v>771</v>
      </c>
      <c r="G1207" s="345" t="s">
        <v>852</v>
      </c>
      <c r="H1207" s="345" t="s">
        <v>853</v>
      </c>
      <c r="I1207" s="345" t="s">
        <v>866</v>
      </c>
      <c r="J1207" s="345" t="s">
        <v>707</v>
      </c>
      <c r="K1207" s="345" t="s">
        <v>867</v>
      </c>
      <c r="L1207" s="345" t="s">
        <v>868</v>
      </c>
      <c r="M1207" s="345"/>
      <c r="N1207" s="345"/>
      <c r="O1207" s="345" t="e">
        <v>#N/A</v>
      </c>
      <c r="P1207" s="345"/>
      <c r="Q1207" s="345"/>
      <c r="R1207" s="346">
        <v>-117516.63</v>
      </c>
    </row>
    <row r="1209" spans="1:18" x14ac:dyDescent="0.2">
      <c r="R1209" s="347">
        <f>SUM(R1204:R1208)</f>
        <v>-167880.9</v>
      </c>
    </row>
  </sheetData>
  <hyperlinks>
    <hyperlink ref="B10" r:id="rId1" xr:uid="{048D74AF-F1AE-4335-9BF0-0FAC812073E5}"/>
  </hyperlinks>
  <pageMargins left="0.55555555555555558" right="0.55555555555555558" top="0.55555555555555558" bottom="0.55555558204650879" header="0.27777777777777779" footer="0"/>
  <pageSetup fitToWidth="0" fitToHeight="0" pageOrder="overThenDown"/>
  <tableParts count="2">
    <tablePart r:id="rId2"/>
    <tablePart r:id="rId3"/>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FF8B9-149D-45D2-BE25-56F8D96B7B9B}">
  <sheetPr codeName="Sheet21"/>
  <dimension ref="A1:I123"/>
  <sheetViews>
    <sheetView zoomScaleNormal="100" workbookViewId="0"/>
  </sheetViews>
  <sheetFormatPr defaultRowHeight="12.75" x14ac:dyDescent="0.2"/>
  <cols>
    <col min="1" max="1" width="10.7109375" customWidth="1"/>
    <col min="2" max="2" width="20" style="5" customWidth="1"/>
    <col min="3" max="3" width="27.42578125" customWidth="1"/>
    <col min="4" max="4" width="16.85546875" style="5" bestFit="1" customWidth="1"/>
    <col min="5" max="5" width="19.85546875" customWidth="1"/>
    <col min="6" max="6" width="21.42578125" customWidth="1"/>
    <col min="7" max="7" width="59" customWidth="1"/>
    <col min="8" max="8" width="2.85546875" customWidth="1"/>
  </cols>
  <sheetData>
    <row r="1" spans="1:9" x14ac:dyDescent="0.2">
      <c r="A1" s="6" t="s">
        <v>459</v>
      </c>
      <c r="B1" s="7" t="s">
        <v>460</v>
      </c>
      <c r="C1" s="6" t="s">
        <v>461</v>
      </c>
      <c r="D1" s="7" t="s">
        <v>462</v>
      </c>
      <c r="E1" s="6" t="s">
        <v>463</v>
      </c>
      <c r="F1" s="6" t="s">
        <v>464</v>
      </c>
      <c r="G1" s="6" t="s">
        <v>465</v>
      </c>
    </row>
    <row r="2" spans="1:9" s="10" customFormat="1" ht="25.5" x14ac:dyDescent="0.2">
      <c r="A2" s="8">
        <v>43314</v>
      </c>
      <c r="B2" s="9">
        <v>1</v>
      </c>
      <c r="C2" s="10" t="s">
        <v>489</v>
      </c>
      <c r="D2" s="9"/>
      <c r="F2" s="11" t="s">
        <v>490</v>
      </c>
      <c r="G2" s="11" t="s">
        <v>491</v>
      </c>
    </row>
    <row r="3" spans="1:9" s="10" customFormat="1" ht="25.5" x14ac:dyDescent="0.2">
      <c r="A3" s="8">
        <v>43318</v>
      </c>
      <c r="B3" s="9">
        <v>2</v>
      </c>
      <c r="C3" s="10" t="s">
        <v>474</v>
      </c>
      <c r="D3" s="9">
        <v>2.1</v>
      </c>
      <c r="E3" s="10" t="s">
        <v>492</v>
      </c>
      <c r="F3" s="10" t="s">
        <v>493</v>
      </c>
      <c r="G3" s="11" t="s">
        <v>494</v>
      </c>
      <c r="I3" s="13"/>
    </row>
    <row r="4" spans="1:9" s="10" customFormat="1" ht="25.5" x14ac:dyDescent="0.2">
      <c r="A4" s="8">
        <v>43314</v>
      </c>
      <c r="B4" s="9">
        <v>3</v>
      </c>
      <c r="C4" s="10" t="s">
        <v>495</v>
      </c>
      <c r="D4" s="9">
        <v>3.1</v>
      </c>
      <c r="E4" s="10" t="s">
        <v>496</v>
      </c>
      <c r="F4" s="10" t="s">
        <v>497</v>
      </c>
      <c r="G4" s="11" t="s">
        <v>498</v>
      </c>
      <c r="I4" s="13"/>
    </row>
    <row r="5" spans="1:9" s="10" customFormat="1" ht="26.25" customHeight="1" x14ac:dyDescent="0.2">
      <c r="A5" s="8">
        <v>43314</v>
      </c>
      <c r="B5" s="9">
        <v>4</v>
      </c>
      <c r="C5" s="10" t="s">
        <v>499</v>
      </c>
      <c r="D5" s="9" t="s">
        <v>500</v>
      </c>
      <c r="E5" s="10" t="s">
        <v>501</v>
      </c>
      <c r="F5" s="10" t="s">
        <v>502</v>
      </c>
      <c r="G5" s="11" t="s">
        <v>503</v>
      </c>
      <c r="I5" s="13"/>
    </row>
    <row r="6" spans="1:9" s="10" customFormat="1" ht="38.25" x14ac:dyDescent="0.2">
      <c r="A6" s="8">
        <v>43318</v>
      </c>
      <c r="B6" s="9">
        <v>5</v>
      </c>
      <c r="C6" s="10" t="s">
        <v>499</v>
      </c>
      <c r="D6" s="9" t="s">
        <v>500</v>
      </c>
      <c r="E6" s="10" t="s">
        <v>504</v>
      </c>
      <c r="F6" s="10" t="s">
        <v>505</v>
      </c>
      <c r="G6" s="11" t="s">
        <v>506</v>
      </c>
      <c r="I6" s="13"/>
    </row>
    <row r="7" spans="1:9" s="10" customFormat="1" ht="89.25" x14ac:dyDescent="0.2">
      <c r="A7" s="8">
        <v>43318</v>
      </c>
      <c r="B7" s="9">
        <v>6</v>
      </c>
      <c r="C7" s="10" t="s">
        <v>499</v>
      </c>
      <c r="D7" s="12" t="s">
        <v>500</v>
      </c>
      <c r="E7" s="13" t="s">
        <v>507</v>
      </c>
      <c r="F7" s="13" t="s">
        <v>508</v>
      </c>
      <c r="G7" s="14" t="s">
        <v>509</v>
      </c>
      <c r="I7" s="13"/>
    </row>
    <row r="8" spans="1:9" x14ac:dyDescent="0.2">
      <c r="A8" s="8">
        <v>43318</v>
      </c>
      <c r="B8" s="9">
        <v>7</v>
      </c>
      <c r="C8" s="10" t="s">
        <v>499</v>
      </c>
      <c r="D8" s="12" t="s">
        <v>500</v>
      </c>
      <c r="E8" s="10" t="s">
        <v>510</v>
      </c>
      <c r="F8" s="10" t="s">
        <v>511</v>
      </c>
      <c r="G8" s="10" t="s">
        <v>512</v>
      </c>
      <c r="I8" s="13"/>
    </row>
    <row r="9" spans="1:9" x14ac:dyDescent="0.2">
      <c r="A9" s="8">
        <v>43991</v>
      </c>
      <c r="B9" s="9">
        <v>8</v>
      </c>
      <c r="C9" s="10" t="s">
        <v>495</v>
      </c>
      <c r="D9" s="9">
        <v>3.1</v>
      </c>
      <c r="E9" s="10" t="s">
        <v>513</v>
      </c>
      <c r="F9" s="10" t="s">
        <v>514</v>
      </c>
      <c r="G9" s="10" t="s">
        <v>515</v>
      </c>
      <c r="I9" s="13"/>
    </row>
    <row r="10" spans="1:9" x14ac:dyDescent="0.2">
      <c r="A10" s="8">
        <v>43991</v>
      </c>
      <c r="B10" s="9">
        <v>9</v>
      </c>
      <c r="C10" s="10" t="s">
        <v>495</v>
      </c>
      <c r="D10" s="9">
        <v>3.1</v>
      </c>
      <c r="E10" s="10" t="s">
        <v>516</v>
      </c>
      <c r="F10" s="10" t="s">
        <v>511</v>
      </c>
      <c r="G10" s="13" t="s">
        <v>517</v>
      </c>
      <c r="I10" s="13"/>
    </row>
    <row r="11" spans="1:9" ht="38.25" x14ac:dyDescent="0.2">
      <c r="A11" s="8">
        <v>43991</v>
      </c>
      <c r="B11" s="9">
        <v>10</v>
      </c>
      <c r="C11" s="10" t="s">
        <v>495</v>
      </c>
      <c r="D11" s="9">
        <v>3.1</v>
      </c>
      <c r="E11" s="11" t="s">
        <v>518</v>
      </c>
      <c r="F11" s="10" t="s">
        <v>519</v>
      </c>
      <c r="G11" s="11" t="s">
        <v>520</v>
      </c>
      <c r="I11" s="13"/>
    </row>
    <row r="12" spans="1:9" x14ac:dyDescent="0.2">
      <c r="A12" s="8">
        <v>43991</v>
      </c>
      <c r="B12" s="9">
        <v>11</v>
      </c>
      <c r="C12" s="10" t="s">
        <v>521</v>
      </c>
      <c r="D12" s="12" t="s">
        <v>522</v>
      </c>
      <c r="E12" s="13" t="s">
        <v>523</v>
      </c>
      <c r="F12" s="13" t="s">
        <v>514</v>
      </c>
      <c r="G12" s="13" t="s">
        <v>524</v>
      </c>
      <c r="I12" s="13"/>
    </row>
    <row r="13" spans="1:9" ht="38.25" x14ac:dyDescent="0.2">
      <c r="A13" s="8">
        <v>44028</v>
      </c>
      <c r="B13" s="9">
        <v>12</v>
      </c>
      <c r="C13" s="13" t="s">
        <v>466</v>
      </c>
      <c r="D13" s="9" t="s">
        <v>525</v>
      </c>
      <c r="E13" s="13" t="s">
        <v>526</v>
      </c>
      <c r="F13" s="14" t="s">
        <v>527</v>
      </c>
      <c r="G13" s="14" t="s">
        <v>528</v>
      </c>
      <c r="I13" s="13"/>
    </row>
    <row r="14" spans="1:9" ht="51" x14ac:dyDescent="0.2">
      <c r="A14" s="8">
        <v>43999</v>
      </c>
      <c r="B14" s="9">
        <v>13</v>
      </c>
      <c r="C14" s="13" t="s">
        <v>529</v>
      </c>
      <c r="D14" s="12" t="s">
        <v>530</v>
      </c>
      <c r="E14" s="13" t="s">
        <v>531</v>
      </c>
      <c r="F14" s="14" t="s">
        <v>532</v>
      </c>
      <c r="G14" s="14" t="s">
        <v>533</v>
      </c>
      <c r="I14" s="13"/>
    </row>
    <row r="15" spans="1:9" x14ac:dyDescent="0.2">
      <c r="A15" s="8">
        <v>43991</v>
      </c>
      <c r="B15" s="9">
        <v>14</v>
      </c>
      <c r="C15" s="10" t="s">
        <v>499</v>
      </c>
      <c r="D15" s="9"/>
      <c r="E15" s="10"/>
      <c r="F15" s="10"/>
      <c r="G15" s="10" t="s">
        <v>534</v>
      </c>
      <c r="I15" s="13"/>
    </row>
    <row r="16" spans="1:9" x14ac:dyDescent="0.2">
      <c r="A16" s="8">
        <v>44038</v>
      </c>
      <c r="B16" s="9">
        <v>15</v>
      </c>
      <c r="C16" s="10" t="s">
        <v>535</v>
      </c>
      <c r="D16" s="12" t="s">
        <v>536</v>
      </c>
      <c r="E16" s="13" t="s">
        <v>537</v>
      </c>
      <c r="F16" s="13" t="s">
        <v>538</v>
      </c>
      <c r="G16" s="14" t="s">
        <v>539</v>
      </c>
      <c r="I16" s="13"/>
    </row>
    <row r="17" spans="1:9" x14ac:dyDescent="0.2">
      <c r="A17" s="16">
        <v>44038</v>
      </c>
      <c r="B17" s="9">
        <v>16</v>
      </c>
      <c r="C17" s="10" t="s">
        <v>495</v>
      </c>
      <c r="D17" s="9">
        <v>3.1</v>
      </c>
      <c r="E17" s="13" t="s">
        <v>540</v>
      </c>
      <c r="F17" s="10" t="s">
        <v>514</v>
      </c>
      <c r="G17" s="13" t="s">
        <v>541</v>
      </c>
      <c r="I17" s="13"/>
    </row>
    <row r="18" spans="1:9" x14ac:dyDescent="0.2">
      <c r="A18" s="16">
        <v>44038</v>
      </c>
      <c r="B18" s="9">
        <v>17</v>
      </c>
      <c r="C18" s="10" t="s">
        <v>495</v>
      </c>
      <c r="D18" s="9">
        <v>3.1</v>
      </c>
      <c r="E18" s="13" t="s">
        <v>542</v>
      </c>
      <c r="F18" s="10" t="s">
        <v>511</v>
      </c>
      <c r="G18" s="13" t="s">
        <v>543</v>
      </c>
      <c r="I18" s="13"/>
    </row>
    <row r="19" spans="1:9" x14ac:dyDescent="0.2">
      <c r="A19" s="8">
        <v>44038</v>
      </c>
      <c r="B19" s="9">
        <v>18</v>
      </c>
      <c r="C19" s="10" t="s">
        <v>535</v>
      </c>
      <c r="D19" s="12" t="s">
        <v>500</v>
      </c>
      <c r="E19" s="13" t="s">
        <v>544</v>
      </c>
      <c r="F19" s="13" t="s">
        <v>545</v>
      </c>
      <c r="G19" s="14" t="s">
        <v>546</v>
      </c>
    </row>
    <row r="20" spans="1:9" x14ac:dyDescent="0.2">
      <c r="A20" s="8">
        <v>44038</v>
      </c>
      <c r="B20" s="9">
        <v>19</v>
      </c>
      <c r="C20" s="16" t="s">
        <v>535</v>
      </c>
      <c r="D20" s="12" t="s">
        <v>536</v>
      </c>
      <c r="E20" s="13" t="s">
        <v>547</v>
      </c>
      <c r="F20" s="13" t="s">
        <v>545</v>
      </c>
      <c r="G20" s="14" t="s">
        <v>548</v>
      </c>
    </row>
    <row r="21" spans="1:9" x14ac:dyDescent="0.2">
      <c r="A21" s="8">
        <v>44038</v>
      </c>
      <c r="B21" s="9">
        <v>20</v>
      </c>
      <c r="C21" s="13" t="s">
        <v>549</v>
      </c>
      <c r="D21" s="9">
        <v>4.0999999999999996</v>
      </c>
      <c r="E21" s="13" t="s">
        <v>550</v>
      </c>
      <c r="F21" s="13" t="s">
        <v>514</v>
      </c>
      <c r="G21" s="13" t="s">
        <v>551</v>
      </c>
      <c r="I21" s="13"/>
    </row>
    <row r="22" spans="1:9" x14ac:dyDescent="0.2">
      <c r="A22" s="8">
        <v>44038</v>
      </c>
      <c r="B22" s="9">
        <v>21</v>
      </c>
      <c r="C22" s="13" t="s">
        <v>549</v>
      </c>
      <c r="D22" s="9">
        <v>4.0999999999999996</v>
      </c>
      <c r="E22" s="13" t="s">
        <v>552</v>
      </c>
      <c r="F22" s="13" t="s">
        <v>553</v>
      </c>
      <c r="G22" s="13" t="s">
        <v>554</v>
      </c>
    </row>
    <row r="23" spans="1:9" ht="25.5" x14ac:dyDescent="0.2">
      <c r="A23" s="8">
        <v>44038</v>
      </c>
      <c r="B23" s="9">
        <v>22</v>
      </c>
      <c r="C23" s="13" t="s">
        <v>549</v>
      </c>
      <c r="D23" s="9">
        <v>4.0999999999999996</v>
      </c>
      <c r="E23" s="14" t="s">
        <v>555</v>
      </c>
      <c r="F23" s="13" t="s">
        <v>511</v>
      </c>
      <c r="G23" s="14" t="s">
        <v>556</v>
      </c>
    </row>
    <row r="24" spans="1:9" ht="25.5" x14ac:dyDescent="0.2">
      <c r="A24" s="8">
        <v>44038</v>
      </c>
      <c r="B24" s="9">
        <v>23</v>
      </c>
      <c r="C24" s="16" t="s">
        <v>535</v>
      </c>
      <c r="D24" s="12" t="s">
        <v>557</v>
      </c>
      <c r="E24" s="14" t="s">
        <v>558</v>
      </c>
      <c r="F24" s="10" t="s">
        <v>505</v>
      </c>
      <c r="G24" s="14" t="s">
        <v>559</v>
      </c>
    </row>
    <row r="25" spans="1:9" x14ac:dyDescent="0.2">
      <c r="A25" s="8">
        <v>44326</v>
      </c>
      <c r="B25" s="9">
        <v>24</v>
      </c>
      <c r="C25" s="16" t="s">
        <v>466</v>
      </c>
      <c r="D25" s="12"/>
      <c r="E25" s="14" t="s">
        <v>560</v>
      </c>
      <c r="F25" s="14" t="s">
        <v>561</v>
      </c>
      <c r="G25" s="11" t="s">
        <v>562</v>
      </c>
    </row>
    <row r="26" spans="1:9" x14ac:dyDescent="0.2">
      <c r="A26" s="8">
        <v>44326</v>
      </c>
      <c r="B26" s="9">
        <v>25</v>
      </c>
      <c r="C26" s="8" t="s">
        <v>563</v>
      </c>
      <c r="D26" s="9"/>
      <c r="E26" s="11" t="s">
        <v>564</v>
      </c>
      <c r="F26" s="10" t="s">
        <v>565</v>
      </c>
      <c r="G26" s="11" t="s">
        <v>566</v>
      </c>
    </row>
    <row r="27" spans="1:9" x14ac:dyDescent="0.2">
      <c r="A27" s="8">
        <v>44326</v>
      </c>
      <c r="B27" s="9">
        <v>26</v>
      </c>
      <c r="C27" s="8" t="s">
        <v>563</v>
      </c>
      <c r="D27" s="9"/>
      <c r="E27" s="11" t="s">
        <v>567</v>
      </c>
      <c r="F27" s="10" t="s">
        <v>565</v>
      </c>
      <c r="G27" s="11" t="s">
        <v>568</v>
      </c>
    </row>
    <row r="28" spans="1:9" ht="25.5" x14ac:dyDescent="0.2">
      <c r="A28" s="8">
        <v>44326</v>
      </c>
      <c r="B28" s="9">
        <v>27</v>
      </c>
      <c r="C28" s="8" t="s">
        <v>563</v>
      </c>
      <c r="D28" s="9"/>
      <c r="E28" s="11" t="s">
        <v>569</v>
      </c>
      <c r="F28" s="10" t="s">
        <v>565</v>
      </c>
      <c r="G28" s="11" t="s">
        <v>570</v>
      </c>
    </row>
    <row r="29" spans="1:9" x14ac:dyDescent="0.2">
      <c r="A29" s="8">
        <v>44326</v>
      </c>
      <c r="B29" s="9">
        <v>28</v>
      </c>
      <c r="C29" s="8" t="s">
        <v>571</v>
      </c>
      <c r="D29" s="9"/>
      <c r="E29" s="11" t="s">
        <v>531</v>
      </c>
      <c r="F29" s="10" t="s">
        <v>572</v>
      </c>
      <c r="G29" s="11" t="s">
        <v>573</v>
      </c>
    </row>
    <row r="30" spans="1:9" ht="38.25" x14ac:dyDescent="0.2">
      <c r="A30" s="8">
        <v>44326</v>
      </c>
      <c r="B30" s="9">
        <v>29</v>
      </c>
      <c r="C30" s="8" t="s">
        <v>418</v>
      </c>
      <c r="D30" s="12"/>
      <c r="E30" s="14"/>
      <c r="F30" s="10" t="s">
        <v>574</v>
      </c>
      <c r="G30" s="11" t="s">
        <v>575</v>
      </c>
    </row>
    <row r="31" spans="1:9" ht="25.5" x14ac:dyDescent="0.2">
      <c r="A31" s="8">
        <v>44326</v>
      </c>
      <c r="B31" s="9">
        <v>30</v>
      </c>
      <c r="C31" s="13" t="s">
        <v>470</v>
      </c>
      <c r="D31" s="9">
        <v>1.2</v>
      </c>
      <c r="E31" s="13" t="s">
        <v>576</v>
      </c>
      <c r="F31" s="13" t="s">
        <v>505</v>
      </c>
      <c r="G31" s="19" t="s">
        <v>577</v>
      </c>
    </row>
    <row r="32" spans="1:9" ht="102" x14ac:dyDescent="0.2">
      <c r="A32" s="8">
        <v>44326</v>
      </c>
      <c r="B32" s="9">
        <v>31</v>
      </c>
      <c r="C32" s="13" t="s">
        <v>578</v>
      </c>
      <c r="D32" s="9">
        <v>2.1</v>
      </c>
      <c r="E32" s="11" t="s">
        <v>579</v>
      </c>
      <c r="F32" s="13" t="s">
        <v>580</v>
      </c>
      <c r="G32" s="14" t="s">
        <v>581</v>
      </c>
    </row>
    <row r="33" spans="1:7" ht="25.5" x14ac:dyDescent="0.2">
      <c r="A33" s="8">
        <v>44326</v>
      </c>
      <c r="B33" s="9">
        <v>32</v>
      </c>
      <c r="C33" s="13" t="s">
        <v>578</v>
      </c>
      <c r="D33" s="9">
        <v>2.1</v>
      </c>
      <c r="E33" s="11" t="s">
        <v>582</v>
      </c>
      <c r="F33" s="13" t="s">
        <v>511</v>
      </c>
      <c r="G33" s="14" t="s">
        <v>583</v>
      </c>
    </row>
    <row r="34" spans="1:7" ht="25.5" x14ac:dyDescent="0.2">
      <c r="A34" s="8">
        <v>44326</v>
      </c>
      <c r="B34" s="9">
        <v>33</v>
      </c>
      <c r="C34" s="13" t="s">
        <v>578</v>
      </c>
      <c r="D34" s="9">
        <v>2.1</v>
      </c>
      <c r="E34" s="10" t="s">
        <v>584</v>
      </c>
      <c r="F34" s="10" t="s">
        <v>511</v>
      </c>
      <c r="G34" s="11" t="s">
        <v>585</v>
      </c>
    </row>
    <row r="35" spans="1:7" x14ac:dyDescent="0.2">
      <c r="A35" s="8">
        <v>44326</v>
      </c>
      <c r="B35" s="9">
        <v>34</v>
      </c>
      <c r="C35" s="13" t="s">
        <v>578</v>
      </c>
      <c r="D35" s="9">
        <v>2.1</v>
      </c>
      <c r="E35" s="10" t="s">
        <v>586</v>
      </c>
      <c r="F35" s="10" t="s">
        <v>587</v>
      </c>
      <c r="G35" s="11" t="s">
        <v>588</v>
      </c>
    </row>
    <row r="36" spans="1:7" x14ac:dyDescent="0.2">
      <c r="A36" s="8">
        <v>44326</v>
      </c>
      <c r="B36" s="9">
        <v>35</v>
      </c>
      <c r="C36" s="13" t="s">
        <v>578</v>
      </c>
      <c r="D36" s="9">
        <v>2.1</v>
      </c>
      <c r="E36" s="10" t="s">
        <v>589</v>
      </c>
      <c r="F36" s="10" t="s">
        <v>505</v>
      </c>
      <c r="G36" s="11" t="s">
        <v>590</v>
      </c>
    </row>
    <row r="37" spans="1:7" ht="25.5" x14ac:dyDescent="0.2">
      <c r="A37" s="8">
        <v>44326</v>
      </c>
      <c r="B37" s="9">
        <v>36</v>
      </c>
      <c r="C37" s="13" t="s">
        <v>578</v>
      </c>
      <c r="D37" s="9">
        <v>2.1</v>
      </c>
      <c r="E37" s="10" t="s">
        <v>591</v>
      </c>
      <c r="F37" s="10" t="s">
        <v>511</v>
      </c>
      <c r="G37" s="11" t="s">
        <v>592</v>
      </c>
    </row>
    <row r="38" spans="1:7" ht="25.5" x14ac:dyDescent="0.2">
      <c r="A38" s="8">
        <v>44326</v>
      </c>
      <c r="B38" s="9">
        <v>37</v>
      </c>
      <c r="C38" s="13" t="s">
        <v>593</v>
      </c>
      <c r="D38" s="9" t="s">
        <v>594</v>
      </c>
      <c r="E38" s="10" t="s">
        <v>595</v>
      </c>
      <c r="F38" s="13" t="s">
        <v>505</v>
      </c>
      <c r="G38" s="14" t="s">
        <v>596</v>
      </c>
    </row>
    <row r="39" spans="1:7" ht="25.5" x14ac:dyDescent="0.2">
      <c r="A39" s="8">
        <v>44326</v>
      </c>
      <c r="B39" s="9">
        <v>38</v>
      </c>
      <c r="C39" s="13" t="s">
        <v>593</v>
      </c>
      <c r="D39" s="9" t="s">
        <v>594</v>
      </c>
      <c r="E39" s="13"/>
      <c r="F39" s="14" t="s">
        <v>597</v>
      </c>
      <c r="G39" s="11" t="s">
        <v>598</v>
      </c>
    </row>
    <row r="40" spans="1:7" ht="38.25" x14ac:dyDescent="0.2">
      <c r="A40" s="8">
        <v>44326</v>
      </c>
      <c r="B40" s="9">
        <v>39</v>
      </c>
      <c r="C40" s="10" t="s">
        <v>593</v>
      </c>
      <c r="D40" s="9" t="s">
        <v>594</v>
      </c>
      <c r="E40" s="10" t="s">
        <v>599</v>
      </c>
      <c r="F40" s="14" t="s">
        <v>600</v>
      </c>
      <c r="G40" s="11" t="s">
        <v>601</v>
      </c>
    </row>
    <row r="41" spans="1:7" ht="38.25" x14ac:dyDescent="0.2">
      <c r="A41" s="8">
        <v>44326</v>
      </c>
      <c r="B41" s="9">
        <v>40</v>
      </c>
      <c r="C41" s="10" t="s">
        <v>593</v>
      </c>
      <c r="D41" s="9" t="s">
        <v>594</v>
      </c>
      <c r="E41" s="10" t="s">
        <v>602</v>
      </c>
      <c r="F41" s="14" t="s">
        <v>561</v>
      </c>
      <c r="G41" s="11" t="s">
        <v>603</v>
      </c>
    </row>
    <row r="42" spans="1:7" x14ac:dyDescent="0.2">
      <c r="A42" s="8">
        <v>44326</v>
      </c>
      <c r="B42" s="9">
        <v>41</v>
      </c>
      <c r="C42" s="10" t="s">
        <v>593</v>
      </c>
      <c r="D42" s="9" t="s">
        <v>594</v>
      </c>
      <c r="E42" s="10" t="s">
        <v>604</v>
      </c>
      <c r="F42" s="11" t="s">
        <v>511</v>
      </c>
      <c r="G42" s="11" t="s">
        <v>605</v>
      </c>
    </row>
    <row r="43" spans="1:7" ht="25.5" x14ac:dyDescent="0.2">
      <c r="A43" s="8">
        <v>44326</v>
      </c>
      <c r="B43" s="9">
        <v>42</v>
      </c>
      <c r="C43" s="10" t="s">
        <v>606</v>
      </c>
      <c r="D43" s="12" t="s">
        <v>607</v>
      </c>
      <c r="E43" s="10" t="s">
        <v>608</v>
      </c>
      <c r="F43" s="14" t="s">
        <v>609</v>
      </c>
      <c r="G43" s="14" t="s">
        <v>610</v>
      </c>
    </row>
    <row r="44" spans="1:7" ht="51" x14ac:dyDescent="0.2">
      <c r="A44" s="8">
        <v>44326</v>
      </c>
      <c r="B44" s="9">
        <v>43</v>
      </c>
      <c r="C44" s="10" t="s">
        <v>611</v>
      </c>
      <c r="D44" s="9" t="s">
        <v>612</v>
      </c>
      <c r="E44" s="10" t="s">
        <v>613</v>
      </c>
      <c r="F44" s="11" t="s">
        <v>508</v>
      </c>
      <c r="G44" s="11" t="s">
        <v>614</v>
      </c>
    </row>
    <row r="45" spans="1:7" x14ac:dyDescent="0.2">
      <c r="A45" s="8">
        <v>44326</v>
      </c>
      <c r="B45" s="9">
        <v>44</v>
      </c>
      <c r="C45" s="10" t="s">
        <v>615</v>
      </c>
      <c r="D45" s="9" t="s">
        <v>616</v>
      </c>
      <c r="E45" s="10" t="s">
        <v>613</v>
      </c>
      <c r="F45" s="11" t="s">
        <v>508</v>
      </c>
      <c r="G45" s="11" t="s">
        <v>617</v>
      </c>
    </row>
    <row r="46" spans="1:7" x14ac:dyDescent="0.2">
      <c r="A46" s="8">
        <v>44326</v>
      </c>
      <c r="B46" s="9">
        <v>45</v>
      </c>
      <c r="C46" s="10" t="s">
        <v>618</v>
      </c>
      <c r="D46" s="9" t="s">
        <v>616</v>
      </c>
      <c r="E46" s="10" t="s">
        <v>619</v>
      </c>
      <c r="F46" s="11" t="s">
        <v>511</v>
      </c>
      <c r="G46" s="11" t="s">
        <v>620</v>
      </c>
    </row>
    <row r="47" spans="1:7" x14ac:dyDescent="0.2">
      <c r="A47" s="8">
        <v>44326</v>
      </c>
      <c r="B47" s="9">
        <v>46</v>
      </c>
      <c r="C47" s="10" t="s">
        <v>618</v>
      </c>
      <c r="D47" s="9" t="s">
        <v>616</v>
      </c>
      <c r="E47" s="10" t="s">
        <v>621</v>
      </c>
      <c r="F47" s="11" t="s">
        <v>622</v>
      </c>
      <c r="G47" s="11" t="s">
        <v>623</v>
      </c>
    </row>
    <row r="48" spans="1:7" x14ac:dyDescent="0.2">
      <c r="A48" s="8">
        <v>44326</v>
      </c>
      <c r="B48" s="9">
        <v>47</v>
      </c>
      <c r="C48" s="10" t="s">
        <v>624</v>
      </c>
      <c r="D48" s="9"/>
      <c r="E48" s="10" t="s">
        <v>625</v>
      </c>
      <c r="F48" s="14" t="s">
        <v>561</v>
      </c>
      <c r="G48" s="11" t="s">
        <v>626</v>
      </c>
    </row>
    <row r="49" spans="1:7" x14ac:dyDescent="0.2">
      <c r="A49" s="8">
        <v>44326</v>
      </c>
      <c r="B49" s="9">
        <v>48</v>
      </c>
      <c r="C49" s="10" t="s">
        <v>624</v>
      </c>
      <c r="D49" s="9">
        <v>3.1</v>
      </c>
      <c r="E49" s="10" t="s">
        <v>627</v>
      </c>
      <c r="F49" s="11" t="s">
        <v>628</v>
      </c>
      <c r="G49" s="11" t="s">
        <v>629</v>
      </c>
    </row>
    <row r="50" spans="1:7" x14ac:dyDescent="0.2">
      <c r="A50" s="8">
        <v>44326</v>
      </c>
      <c r="B50" s="9">
        <v>49</v>
      </c>
      <c r="C50" s="10" t="s">
        <v>624</v>
      </c>
      <c r="D50" s="9">
        <v>3.1</v>
      </c>
      <c r="E50" s="10" t="s">
        <v>630</v>
      </c>
      <c r="F50" s="11" t="s">
        <v>505</v>
      </c>
      <c r="G50" s="11" t="s">
        <v>631</v>
      </c>
    </row>
    <row r="51" spans="1:7" ht="140.25" x14ac:dyDescent="0.2">
      <c r="A51" s="8">
        <v>44326</v>
      </c>
      <c r="B51" s="9">
        <v>50</v>
      </c>
      <c r="C51" s="10" t="s">
        <v>624</v>
      </c>
      <c r="D51" s="9">
        <v>3.1</v>
      </c>
      <c r="E51" s="10" t="s">
        <v>632</v>
      </c>
      <c r="F51" s="11" t="s">
        <v>633</v>
      </c>
      <c r="G51" s="11" t="s">
        <v>634</v>
      </c>
    </row>
    <row r="52" spans="1:7" ht="25.5" x14ac:dyDescent="0.2">
      <c r="A52" s="8">
        <v>44326</v>
      </c>
      <c r="B52" s="9">
        <v>51</v>
      </c>
      <c r="C52" s="10" t="s">
        <v>624</v>
      </c>
      <c r="D52" s="9">
        <v>3.1</v>
      </c>
      <c r="E52" s="10" t="s">
        <v>635</v>
      </c>
      <c r="F52" s="11" t="s">
        <v>511</v>
      </c>
      <c r="G52" s="11" t="s">
        <v>636</v>
      </c>
    </row>
    <row r="53" spans="1:7" ht="38.25" x14ac:dyDescent="0.2">
      <c r="A53" s="8">
        <v>44326</v>
      </c>
      <c r="B53" s="9">
        <v>52</v>
      </c>
      <c r="C53" s="10" t="s">
        <v>624</v>
      </c>
      <c r="D53" s="9">
        <v>3.1</v>
      </c>
      <c r="E53" s="10" t="s">
        <v>637</v>
      </c>
      <c r="F53" s="11" t="s">
        <v>511</v>
      </c>
      <c r="G53" s="11" t="s">
        <v>638</v>
      </c>
    </row>
    <row r="54" spans="1:7" ht="51" x14ac:dyDescent="0.2">
      <c r="A54" s="8">
        <v>44326</v>
      </c>
      <c r="B54" s="9">
        <v>53</v>
      </c>
      <c r="C54" s="10" t="s">
        <v>639</v>
      </c>
      <c r="D54" s="9"/>
      <c r="E54" s="10"/>
      <c r="F54" s="11" t="s">
        <v>640</v>
      </c>
      <c r="G54" s="11" t="s">
        <v>641</v>
      </c>
    </row>
    <row r="55" spans="1:7" x14ac:dyDescent="0.2">
      <c r="A55" s="8">
        <v>44326</v>
      </c>
      <c r="B55" s="9">
        <v>54</v>
      </c>
      <c r="C55" s="10" t="s">
        <v>639</v>
      </c>
      <c r="D55" s="9" t="s">
        <v>522</v>
      </c>
      <c r="E55" s="10" t="s">
        <v>642</v>
      </c>
      <c r="F55" s="11" t="s">
        <v>643</v>
      </c>
      <c r="G55" s="11" t="s">
        <v>644</v>
      </c>
    </row>
    <row r="56" spans="1:7" x14ac:dyDescent="0.2">
      <c r="A56" s="8">
        <v>44326</v>
      </c>
      <c r="B56" s="9">
        <v>55</v>
      </c>
      <c r="C56" s="10" t="s">
        <v>639</v>
      </c>
      <c r="D56" s="9"/>
      <c r="E56" s="10" t="s">
        <v>645</v>
      </c>
      <c r="F56" s="11" t="s">
        <v>505</v>
      </c>
      <c r="G56" s="11" t="s">
        <v>646</v>
      </c>
    </row>
    <row r="57" spans="1:7" ht="51" x14ac:dyDescent="0.2">
      <c r="A57" s="8">
        <v>44326</v>
      </c>
      <c r="B57" s="9">
        <v>56</v>
      </c>
      <c r="C57" s="10" t="s">
        <v>647</v>
      </c>
      <c r="D57" s="9"/>
      <c r="E57" s="10"/>
      <c r="F57" s="11" t="s">
        <v>640</v>
      </c>
      <c r="G57" s="11" t="s">
        <v>648</v>
      </c>
    </row>
    <row r="58" spans="1:7" ht="25.5" x14ac:dyDescent="0.2">
      <c r="A58" s="8">
        <v>44326</v>
      </c>
      <c r="B58" s="9">
        <v>57</v>
      </c>
      <c r="C58" s="10" t="s">
        <v>647</v>
      </c>
      <c r="D58" s="9" t="s">
        <v>649</v>
      </c>
      <c r="E58" s="11" t="s">
        <v>650</v>
      </c>
      <c r="F58" s="11" t="s">
        <v>643</v>
      </c>
      <c r="G58" s="11" t="s">
        <v>644</v>
      </c>
    </row>
    <row r="59" spans="1:7" x14ac:dyDescent="0.2">
      <c r="A59" s="8">
        <v>44326</v>
      </c>
      <c r="B59" s="9">
        <v>58</v>
      </c>
      <c r="C59" s="10" t="s">
        <v>535</v>
      </c>
      <c r="D59" s="9" t="s">
        <v>500</v>
      </c>
      <c r="E59" s="10" t="s">
        <v>651</v>
      </c>
      <c r="F59" s="11" t="s">
        <v>561</v>
      </c>
      <c r="G59" s="11" t="s">
        <v>631</v>
      </c>
    </row>
    <row r="60" spans="1:7" x14ac:dyDescent="0.2">
      <c r="A60" s="8">
        <v>44326</v>
      </c>
      <c r="B60" s="9">
        <v>59</v>
      </c>
      <c r="C60" s="10" t="s">
        <v>535</v>
      </c>
      <c r="D60" s="9" t="s">
        <v>500</v>
      </c>
      <c r="E60" s="10" t="s">
        <v>652</v>
      </c>
      <c r="F60" s="11" t="s">
        <v>561</v>
      </c>
      <c r="G60" s="11" t="s">
        <v>631</v>
      </c>
    </row>
    <row r="61" spans="1:7" x14ac:dyDescent="0.2">
      <c r="A61" s="8">
        <v>44326</v>
      </c>
      <c r="B61" s="9">
        <v>60</v>
      </c>
      <c r="C61" s="10" t="s">
        <v>535</v>
      </c>
      <c r="D61" s="9" t="s">
        <v>500</v>
      </c>
      <c r="E61" t="s">
        <v>653</v>
      </c>
      <c r="F61" s="11" t="s">
        <v>497</v>
      </c>
      <c r="G61" s="11" t="s">
        <v>654</v>
      </c>
    </row>
    <row r="62" spans="1:7" x14ac:dyDescent="0.2">
      <c r="A62" s="8">
        <v>44326</v>
      </c>
      <c r="B62" s="9">
        <v>61</v>
      </c>
      <c r="C62" s="10" t="s">
        <v>535</v>
      </c>
      <c r="D62" s="9" t="s">
        <v>557</v>
      </c>
      <c r="E62" s="10" t="s">
        <v>655</v>
      </c>
      <c r="F62" s="11" t="s">
        <v>643</v>
      </c>
      <c r="G62" s="11" t="s">
        <v>656</v>
      </c>
    </row>
    <row r="63" spans="1:7" ht="38.25" x14ac:dyDescent="0.2">
      <c r="A63" s="8">
        <v>44326</v>
      </c>
      <c r="B63" s="9">
        <v>62</v>
      </c>
      <c r="C63" s="10" t="s">
        <v>535</v>
      </c>
      <c r="D63" s="9" t="s">
        <v>557</v>
      </c>
      <c r="E63" s="10" t="s">
        <v>657</v>
      </c>
      <c r="F63" s="11" t="s">
        <v>622</v>
      </c>
      <c r="G63" s="11" t="s">
        <v>658</v>
      </c>
    </row>
    <row r="64" spans="1:7" ht="25.5" x14ac:dyDescent="0.2">
      <c r="A64" s="8">
        <v>44326</v>
      </c>
      <c r="B64" s="9">
        <v>63</v>
      </c>
      <c r="C64" s="10" t="s">
        <v>535</v>
      </c>
      <c r="D64" s="9" t="s">
        <v>500</v>
      </c>
      <c r="E64" s="10" t="s">
        <v>544</v>
      </c>
      <c r="F64" s="11" t="s">
        <v>545</v>
      </c>
      <c r="G64" s="11" t="s">
        <v>659</v>
      </c>
    </row>
    <row r="65" spans="1:7" ht="25.5" x14ac:dyDescent="0.2">
      <c r="A65" s="8">
        <v>44326</v>
      </c>
      <c r="B65" s="9">
        <v>64</v>
      </c>
      <c r="C65" s="10" t="s">
        <v>535</v>
      </c>
      <c r="D65" s="9" t="s">
        <v>536</v>
      </c>
      <c r="E65" s="10" t="s">
        <v>660</v>
      </c>
      <c r="F65" s="11" t="s">
        <v>545</v>
      </c>
      <c r="G65" s="11" t="s">
        <v>659</v>
      </c>
    </row>
    <row r="66" spans="1:7" ht="25.5" x14ac:dyDescent="0.2">
      <c r="A66" s="8">
        <v>44326</v>
      </c>
      <c r="B66" s="9">
        <v>65</v>
      </c>
      <c r="C66" s="10" t="s">
        <v>661</v>
      </c>
      <c r="D66" s="9" t="s">
        <v>662</v>
      </c>
      <c r="E66" s="10" t="s">
        <v>663</v>
      </c>
      <c r="F66" s="11" t="s">
        <v>545</v>
      </c>
      <c r="G66" s="11" t="s">
        <v>659</v>
      </c>
    </row>
    <row r="67" spans="1:7" ht="51" x14ac:dyDescent="0.2">
      <c r="A67" s="8">
        <v>44326</v>
      </c>
      <c r="B67" s="9">
        <v>66</v>
      </c>
      <c r="C67" s="10" t="s">
        <v>664</v>
      </c>
      <c r="D67" s="9" t="s">
        <v>662</v>
      </c>
      <c r="E67" s="10" t="s">
        <v>613</v>
      </c>
      <c r="F67" s="11" t="s">
        <v>508</v>
      </c>
      <c r="G67" s="11" t="s">
        <v>614</v>
      </c>
    </row>
    <row r="68" spans="1:7" x14ac:dyDescent="0.2">
      <c r="A68" s="8">
        <v>44326</v>
      </c>
      <c r="B68" s="9">
        <v>67</v>
      </c>
      <c r="C68" s="10" t="s">
        <v>665</v>
      </c>
      <c r="D68" s="9"/>
      <c r="E68" s="10"/>
      <c r="F68" s="11" t="s">
        <v>640</v>
      </c>
      <c r="G68" t="s">
        <v>666</v>
      </c>
    </row>
    <row r="69" spans="1:7" ht="25.5" x14ac:dyDescent="0.2">
      <c r="A69" s="8">
        <v>44326</v>
      </c>
      <c r="B69" s="9">
        <v>68</v>
      </c>
      <c r="C69" s="10" t="s">
        <v>665</v>
      </c>
      <c r="D69" s="9"/>
      <c r="E69" s="10"/>
      <c r="F69" s="11" t="s">
        <v>667</v>
      </c>
      <c r="G69" s="11" t="s">
        <v>668</v>
      </c>
    </row>
    <row r="70" spans="1:7" ht="25.5" x14ac:dyDescent="0.2">
      <c r="A70" s="8">
        <v>44326</v>
      </c>
      <c r="B70" s="9">
        <v>69</v>
      </c>
      <c r="C70" s="10" t="s">
        <v>665</v>
      </c>
      <c r="D70" s="9">
        <v>4.0999999999999996</v>
      </c>
      <c r="E70" s="10" t="s">
        <v>669</v>
      </c>
      <c r="F70" s="11" t="s">
        <v>511</v>
      </c>
      <c r="G70" s="11" t="s">
        <v>670</v>
      </c>
    </row>
    <row r="71" spans="1:7" ht="25.5" x14ac:dyDescent="0.2">
      <c r="A71" s="8">
        <v>44326</v>
      </c>
      <c r="B71" s="9">
        <v>70</v>
      </c>
      <c r="C71" s="10" t="s">
        <v>665</v>
      </c>
      <c r="D71" s="9">
        <v>4.0999999999999996</v>
      </c>
      <c r="E71" s="10" t="s">
        <v>671</v>
      </c>
      <c r="F71" s="11" t="s">
        <v>580</v>
      </c>
      <c r="G71" s="11" t="s">
        <v>672</v>
      </c>
    </row>
    <row r="72" spans="1:7" x14ac:dyDescent="0.2">
      <c r="A72" s="8">
        <v>44326</v>
      </c>
      <c r="B72" s="9">
        <v>71</v>
      </c>
      <c r="C72" s="10" t="s">
        <v>665</v>
      </c>
      <c r="D72" s="9">
        <v>4.0999999999999996</v>
      </c>
      <c r="E72" s="10" t="s">
        <v>673</v>
      </c>
      <c r="F72" s="11" t="s">
        <v>674</v>
      </c>
      <c r="G72" s="11" t="s">
        <v>675</v>
      </c>
    </row>
    <row r="73" spans="1:7" x14ac:dyDescent="0.2">
      <c r="A73" s="8">
        <v>44326</v>
      </c>
      <c r="B73" s="9">
        <v>72</v>
      </c>
      <c r="C73" s="10" t="s">
        <v>665</v>
      </c>
      <c r="D73" s="9">
        <v>4.0999999999999996</v>
      </c>
      <c r="E73" s="10" t="s">
        <v>676</v>
      </c>
      <c r="F73" s="11" t="s">
        <v>511</v>
      </c>
      <c r="G73" s="11" t="s">
        <v>677</v>
      </c>
    </row>
    <row r="74" spans="1:7" ht="25.5" x14ac:dyDescent="0.2">
      <c r="A74" s="8">
        <v>44326</v>
      </c>
      <c r="B74" s="9">
        <v>73</v>
      </c>
      <c r="C74" s="10" t="s">
        <v>665</v>
      </c>
      <c r="D74" s="9">
        <v>4.0999999999999996</v>
      </c>
      <c r="E74" s="10" t="s">
        <v>678</v>
      </c>
      <c r="F74" s="11" t="s">
        <v>511</v>
      </c>
      <c r="G74" s="11" t="s">
        <v>679</v>
      </c>
    </row>
    <row r="75" spans="1:7" x14ac:dyDescent="0.2">
      <c r="A75" s="8">
        <v>44326</v>
      </c>
      <c r="B75" s="9">
        <v>74</v>
      </c>
      <c r="C75" s="10" t="s">
        <v>665</v>
      </c>
      <c r="D75" s="9"/>
      <c r="E75" s="10" t="s">
        <v>680</v>
      </c>
      <c r="F75" s="11" t="s">
        <v>561</v>
      </c>
      <c r="G75" s="11" t="s">
        <v>681</v>
      </c>
    </row>
    <row r="76" spans="1:7" ht="38.25" x14ac:dyDescent="0.2">
      <c r="A76" s="8">
        <v>44326</v>
      </c>
      <c r="B76" s="9">
        <v>75</v>
      </c>
      <c r="C76" s="10" t="s">
        <v>682</v>
      </c>
      <c r="D76" s="9">
        <v>5.0999999999999996</v>
      </c>
      <c r="E76" s="10" t="s">
        <v>683</v>
      </c>
      <c r="F76" s="11" t="s">
        <v>684</v>
      </c>
      <c r="G76" s="11" t="s">
        <v>685</v>
      </c>
    </row>
    <row r="77" spans="1:7" ht="38.25" x14ac:dyDescent="0.2">
      <c r="A77" s="8">
        <v>44326</v>
      </c>
      <c r="B77" s="9">
        <v>76</v>
      </c>
      <c r="C77" s="10" t="s">
        <v>682</v>
      </c>
      <c r="D77" s="9">
        <v>5.0999999999999996</v>
      </c>
      <c r="E77" s="10" t="s">
        <v>686</v>
      </c>
      <c r="F77" s="11" t="s">
        <v>684</v>
      </c>
      <c r="G77" s="11" t="s">
        <v>687</v>
      </c>
    </row>
    <row r="78" spans="1:7" ht="25.5" x14ac:dyDescent="0.2">
      <c r="A78" s="8">
        <v>44326</v>
      </c>
      <c r="B78" s="9">
        <v>77</v>
      </c>
      <c r="C78" s="10" t="s">
        <v>682</v>
      </c>
      <c r="D78" s="9">
        <v>5.0999999999999996</v>
      </c>
      <c r="E78" s="10" t="s">
        <v>688</v>
      </c>
      <c r="F78" s="11" t="s">
        <v>628</v>
      </c>
      <c r="G78" s="11" t="s">
        <v>689</v>
      </c>
    </row>
    <row r="79" spans="1:7" ht="25.5" x14ac:dyDescent="0.2">
      <c r="A79" s="8">
        <v>44326</v>
      </c>
      <c r="B79" s="9">
        <v>78</v>
      </c>
      <c r="C79" s="10" t="s">
        <v>682</v>
      </c>
      <c r="D79" s="9">
        <v>5.0999999999999996</v>
      </c>
      <c r="E79" s="10" t="s">
        <v>690</v>
      </c>
      <c r="F79" s="11" t="s">
        <v>505</v>
      </c>
      <c r="G79" s="14" t="s">
        <v>691</v>
      </c>
    </row>
    <row r="80" spans="1:7" ht="38.25" x14ac:dyDescent="0.2">
      <c r="A80" s="8">
        <v>44326</v>
      </c>
      <c r="B80" s="9">
        <v>79</v>
      </c>
      <c r="C80" s="10" t="s">
        <v>682</v>
      </c>
      <c r="D80" s="9">
        <v>5.0999999999999996</v>
      </c>
      <c r="E80" s="14" t="s">
        <v>692</v>
      </c>
      <c r="F80" s="14" t="s">
        <v>693</v>
      </c>
      <c r="G80" s="14" t="s">
        <v>694</v>
      </c>
    </row>
    <row r="81" spans="1:7" ht="38.25" x14ac:dyDescent="0.2">
      <c r="A81" s="8">
        <v>44326</v>
      </c>
      <c r="B81" s="9">
        <v>80</v>
      </c>
      <c r="C81" s="10" t="s">
        <v>695</v>
      </c>
      <c r="D81" s="9"/>
      <c r="E81" s="10"/>
      <c r="F81" s="11" t="s">
        <v>643</v>
      </c>
      <c r="G81" s="11" t="s">
        <v>696</v>
      </c>
    </row>
    <row r="82" spans="1:7" x14ac:dyDescent="0.2">
      <c r="A82" s="10"/>
      <c r="B82" s="9"/>
      <c r="C82" s="10"/>
      <c r="D82" s="9"/>
      <c r="E82" s="10"/>
      <c r="F82" s="10"/>
      <c r="G82" s="10"/>
    </row>
    <row r="83" spans="1:7" x14ac:dyDescent="0.2">
      <c r="A83" s="10"/>
      <c r="B83" s="9"/>
      <c r="C83" s="10"/>
      <c r="D83" s="9"/>
      <c r="E83" s="10"/>
      <c r="F83" s="11"/>
      <c r="G83" s="11"/>
    </row>
    <row r="84" spans="1:7" x14ac:dyDescent="0.2">
      <c r="A84" s="10"/>
      <c r="B84" s="9"/>
      <c r="C84" s="10"/>
      <c r="D84" s="9"/>
      <c r="E84" s="10"/>
      <c r="F84" s="11"/>
      <c r="G84" s="11"/>
    </row>
    <row r="85" spans="1:7" x14ac:dyDescent="0.2">
      <c r="A85" s="10"/>
      <c r="B85" s="9"/>
      <c r="C85" s="10"/>
      <c r="D85" s="9"/>
      <c r="E85" s="10"/>
      <c r="F85" s="11"/>
      <c r="G85" s="11"/>
    </row>
    <row r="86" spans="1:7" x14ac:dyDescent="0.2">
      <c r="A86" s="10"/>
      <c r="B86" s="9"/>
      <c r="C86" s="10"/>
      <c r="D86" s="9"/>
      <c r="E86" s="10"/>
      <c r="F86" s="11"/>
      <c r="G86" s="11"/>
    </row>
    <row r="87" spans="1:7" x14ac:dyDescent="0.2">
      <c r="A87" s="10"/>
      <c r="B87" s="9"/>
      <c r="C87" s="10"/>
      <c r="D87" s="9"/>
      <c r="E87" s="10"/>
      <c r="F87" s="11"/>
      <c r="G87" s="11"/>
    </row>
    <row r="88" spans="1:7" x14ac:dyDescent="0.2">
      <c r="A88" s="10"/>
      <c r="B88" s="9"/>
      <c r="C88" s="10"/>
      <c r="D88" s="9"/>
      <c r="E88" s="10"/>
      <c r="F88" s="11"/>
      <c r="G88" s="11"/>
    </row>
    <row r="89" spans="1:7" x14ac:dyDescent="0.2">
      <c r="A89" s="10"/>
      <c r="B89" s="9"/>
      <c r="C89" s="10"/>
      <c r="D89" s="9"/>
      <c r="E89" s="10"/>
      <c r="F89" s="11"/>
      <c r="G89" s="11"/>
    </row>
    <row r="90" spans="1:7" x14ac:dyDescent="0.2">
      <c r="A90" s="10"/>
      <c r="B90" s="9"/>
      <c r="C90" s="10"/>
      <c r="D90" s="9"/>
      <c r="E90" s="10"/>
      <c r="F90" s="11"/>
      <c r="G90" s="11"/>
    </row>
    <row r="91" spans="1:7" x14ac:dyDescent="0.2">
      <c r="A91" s="10"/>
      <c r="B91" s="9"/>
      <c r="C91" s="10"/>
      <c r="D91" s="9"/>
      <c r="E91" s="10"/>
      <c r="F91" s="11"/>
      <c r="G91" s="11"/>
    </row>
    <row r="92" spans="1:7" x14ac:dyDescent="0.2">
      <c r="A92" s="10"/>
      <c r="B92" s="9"/>
      <c r="C92" s="10"/>
      <c r="D92" s="9"/>
      <c r="E92" s="10"/>
      <c r="F92" s="11"/>
      <c r="G92" s="11"/>
    </row>
    <row r="93" spans="1:7" x14ac:dyDescent="0.2">
      <c r="A93" s="10"/>
      <c r="B93" s="9"/>
      <c r="C93" s="10"/>
      <c r="D93" s="9"/>
      <c r="E93" s="10"/>
      <c r="F93" s="11"/>
      <c r="G93" s="11"/>
    </row>
    <row r="94" spans="1:7" x14ac:dyDescent="0.2">
      <c r="A94" s="10"/>
      <c r="B94" s="9"/>
      <c r="C94" s="10"/>
      <c r="D94" s="9"/>
      <c r="E94" s="10"/>
      <c r="F94" s="11"/>
      <c r="G94" s="11"/>
    </row>
    <row r="95" spans="1:7" x14ac:dyDescent="0.2">
      <c r="A95" s="10"/>
      <c r="B95" s="9"/>
      <c r="C95" s="10"/>
      <c r="D95" s="9"/>
      <c r="E95" s="10"/>
      <c r="F95" s="11"/>
      <c r="G95" s="11"/>
    </row>
    <row r="96" spans="1:7" x14ac:dyDescent="0.2">
      <c r="A96" s="10"/>
      <c r="B96" s="9"/>
      <c r="C96" s="10"/>
      <c r="D96" s="9"/>
      <c r="E96" s="10"/>
      <c r="F96" s="11"/>
      <c r="G96" s="11"/>
    </row>
    <row r="97" spans="1:7" x14ac:dyDescent="0.2">
      <c r="A97" s="10"/>
      <c r="B97" s="9"/>
      <c r="C97" s="10"/>
      <c r="D97" s="9"/>
      <c r="E97" s="10"/>
      <c r="F97" s="11"/>
      <c r="G97" s="11"/>
    </row>
    <row r="98" spans="1:7" x14ac:dyDescent="0.2">
      <c r="A98" s="10"/>
      <c r="B98" s="9"/>
      <c r="C98" s="10"/>
      <c r="D98" s="9"/>
      <c r="E98" s="10"/>
      <c r="F98" s="11"/>
      <c r="G98" s="11"/>
    </row>
    <row r="99" spans="1:7" x14ac:dyDescent="0.2">
      <c r="A99" s="10"/>
      <c r="B99" s="9"/>
      <c r="C99" s="10"/>
      <c r="D99" s="9"/>
      <c r="E99" s="10"/>
      <c r="F99" s="11"/>
      <c r="G99" s="11"/>
    </row>
    <row r="100" spans="1:7" x14ac:dyDescent="0.2">
      <c r="A100" s="10"/>
      <c r="B100" s="9"/>
      <c r="C100" s="10"/>
      <c r="D100" s="9"/>
      <c r="E100" s="10"/>
      <c r="F100" s="11"/>
      <c r="G100" s="11"/>
    </row>
    <row r="101" spans="1:7" x14ac:dyDescent="0.2">
      <c r="A101" s="10"/>
      <c r="B101" s="9"/>
      <c r="C101" s="10"/>
      <c r="D101" s="9"/>
      <c r="E101" s="10"/>
      <c r="F101" s="11"/>
      <c r="G101" s="11"/>
    </row>
    <row r="102" spans="1:7" x14ac:dyDescent="0.2">
      <c r="A102" s="10"/>
      <c r="B102" s="9"/>
      <c r="C102" s="10"/>
      <c r="D102" s="9"/>
      <c r="E102" s="10"/>
      <c r="F102" s="11"/>
      <c r="G102" s="11"/>
    </row>
    <row r="103" spans="1:7" x14ac:dyDescent="0.2">
      <c r="A103" s="10"/>
      <c r="B103" s="9"/>
      <c r="C103" s="10"/>
      <c r="D103" s="9"/>
      <c r="E103" s="10"/>
      <c r="F103" s="11"/>
      <c r="G103" s="11"/>
    </row>
    <row r="104" spans="1:7" x14ac:dyDescent="0.2">
      <c r="A104" s="10"/>
      <c r="B104" s="9"/>
      <c r="C104" s="10"/>
      <c r="D104" s="9"/>
      <c r="E104" s="10"/>
      <c r="F104" s="11"/>
      <c r="G104" s="11"/>
    </row>
    <row r="105" spans="1:7" x14ac:dyDescent="0.2">
      <c r="A105" s="10"/>
      <c r="B105" s="9"/>
      <c r="C105" s="10"/>
      <c r="D105" s="9"/>
      <c r="E105" s="10"/>
      <c r="F105" s="11"/>
      <c r="G105" s="11"/>
    </row>
    <row r="106" spans="1:7" x14ac:dyDescent="0.2">
      <c r="A106" s="10"/>
      <c r="B106" s="9"/>
      <c r="C106" s="10"/>
      <c r="D106" s="9"/>
      <c r="E106" s="10"/>
      <c r="F106" s="11"/>
      <c r="G106" s="11"/>
    </row>
    <row r="107" spans="1:7" x14ac:dyDescent="0.2">
      <c r="A107" s="10"/>
      <c r="B107" s="9"/>
      <c r="C107" s="10"/>
      <c r="D107" s="9"/>
      <c r="E107" s="10"/>
      <c r="F107" s="11"/>
      <c r="G107" s="11"/>
    </row>
    <row r="108" spans="1:7" x14ac:dyDescent="0.2">
      <c r="A108" s="10"/>
      <c r="B108" s="9"/>
      <c r="C108" s="10"/>
      <c r="D108" s="9"/>
      <c r="E108" s="10"/>
      <c r="F108" s="11"/>
      <c r="G108" s="11"/>
    </row>
    <row r="109" spans="1:7" x14ac:dyDescent="0.2">
      <c r="A109" s="10"/>
      <c r="B109" s="9"/>
      <c r="C109" s="10"/>
      <c r="D109" s="9"/>
      <c r="E109" s="10"/>
      <c r="F109" s="11"/>
      <c r="G109" s="11"/>
    </row>
    <row r="110" spans="1:7" x14ac:dyDescent="0.2">
      <c r="A110" s="10"/>
      <c r="B110" s="9"/>
      <c r="C110" s="10"/>
      <c r="D110" s="9"/>
      <c r="E110" s="10"/>
      <c r="F110" s="11"/>
      <c r="G110" s="11"/>
    </row>
    <row r="111" spans="1:7" x14ac:dyDescent="0.2">
      <c r="A111" s="10"/>
      <c r="B111" s="9"/>
      <c r="C111" s="10"/>
      <c r="D111" s="9"/>
      <c r="E111" s="10"/>
      <c r="F111" s="11"/>
      <c r="G111" s="11"/>
    </row>
    <row r="112" spans="1:7" x14ac:dyDescent="0.2">
      <c r="A112" s="10"/>
      <c r="B112" s="9"/>
      <c r="C112" s="10"/>
      <c r="D112" s="9"/>
      <c r="E112" s="10"/>
      <c r="F112" s="11"/>
      <c r="G112" s="11"/>
    </row>
    <row r="113" spans="1:7" x14ac:dyDescent="0.2">
      <c r="A113" s="10"/>
      <c r="B113" s="9"/>
      <c r="C113" s="10"/>
      <c r="D113" s="9"/>
      <c r="E113" s="10"/>
      <c r="F113" s="11"/>
      <c r="G113" s="11"/>
    </row>
    <row r="114" spans="1:7" x14ac:dyDescent="0.2">
      <c r="A114" s="10"/>
      <c r="B114" s="9"/>
      <c r="C114" s="10"/>
      <c r="D114" s="9"/>
      <c r="E114" s="10"/>
      <c r="F114" s="11"/>
      <c r="G114" s="11"/>
    </row>
    <row r="115" spans="1:7" x14ac:dyDescent="0.2">
      <c r="A115" s="10"/>
      <c r="B115" s="9"/>
      <c r="C115" s="10"/>
      <c r="D115" s="9"/>
      <c r="E115" s="10"/>
      <c r="F115" s="11"/>
      <c r="G115" s="11"/>
    </row>
    <row r="116" spans="1:7" x14ac:dyDescent="0.2">
      <c r="A116" s="10"/>
      <c r="B116" s="9"/>
      <c r="C116" s="10"/>
      <c r="D116" s="9"/>
      <c r="E116" s="10"/>
      <c r="F116" s="11"/>
      <c r="G116" s="11"/>
    </row>
    <row r="117" spans="1:7" x14ac:dyDescent="0.2">
      <c r="A117" s="10"/>
      <c r="B117" s="9"/>
      <c r="C117" s="10"/>
      <c r="D117" s="9"/>
      <c r="E117" s="10"/>
      <c r="F117" s="11"/>
      <c r="G117" s="11"/>
    </row>
    <row r="118" spans="1:7" x14ac:dyDescent="0.2">
      <c r="A118" s="10"/>
      <c r="B118" s="9"/>
      <c r="C118" s="10"/>
      <c r="D118" s="9"/>
      <c r="E118" s="10"/>
      <c r="F118" s="11"/>
      <c r="G118" s="11"/>
    </row>
    <row r="119" spans="1:7" x14ac:dyDescent="0.2">
      <c r="A119" s="10"/>
      <c r="B119" s="9"/>
      <c r="C119" s="10"/>
      <c r="D119" s="9"/>
      <c r="E119" s="10"/>
      <c r="F119" s="11"/>
      <c r="G119" s="11"/>
    </row>
    <row r="120" spans="1:7" x14ac:dyDescent="0.2">
      <c r="A120" s="10"/>
      <c r="B120" s="9"/>
      <c r="C120" s="10"/>
      <c r="D120" s="9"/>
      <c r="E120" s="10"/>
      <c r="F120" s="10"/>
      <c r="G120" s="10"/>
    </row>
    <row r="121" spans="1:7" x14ac:dyDescent="0.2">
      <c r="A121" s="10"/>
      <c r="B121" s="9"/>
      <c r="C121" s="10"/>
      <c r="D121" s="9"/>
      <c r="E121" s="10"/>
      <c r="F121" s="10"/>
      <c r="G121" s="10"/>
    </row>
    <row r="122" spans="1:7" x14ac:dyDescent="0.2">
      <c r="A122" s="10"/>
      <c r="B122" s="9"/>
      <c r="C122" s="10"/>
      <c r="D122" s="9"/>
      <c r="E122" s="10"/>
      <c r="F122" s="10"/>
      <c r="G122" s="10"/>
    </row>
    <row r="123" spans="1:7" x14ac:dyDescent="0.2">
      <c r="A123" s="10"/>
      <c r="B123" s="9"/>
      <c r="C123" s="10"/>
      <c r="D123" s="9"/>
      <c r="E123" s="10"/>
      <c r="F123" s="10"/>
      <c r="G123" s="10"/>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41C17B6C006147B9AF9AD50D625621" ma:contentTypeVersion="13" ma:contentTypeDescription="Create a new document." ma:contentTypeScope="" ma:versionID="b749f095ec6c1130b4dff2afd90042d8">
  <xsd:schema xmlns:xsd="http://www.w3.org/2001/XMLSchema" xmlns:xs="http://www.w3.org/2001/XMLSchema" xmlns:p="http://schemas.microsoft.com/office/2006/metadata/properties" xmlns:ns1="http://schemas.microsoft.com/sharepoint/v3" xmlns:ns2="704da589-9a5f-45d1-b9c9-18eae98c3af3" xmlns:ns3="68339cd5-4ed0-4715-a10c-fb6cfca0aa9a" targetNamespace="http://schemas.microsoft.com/office/2006/metadata/properties" ma:root="true" ma:fieldsID="0cbdaff6d6ee3764630b5f6ade14c026" ns1:_="" ns2:_="" ns3:_="">
    <xsd:import namespace="http://schemas.microsoft.com/sharepoint/v3"/>
    <xsd:import namespace="704da589-9a5f-45d1-b9c9-18eae98c3af3"/>
    <xsd:import namespace="68339cd5-4ed0-4715-a10c-fb6cfca0aa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4da589-9a5f-45d1-b9c9-18eae98c3a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3e7742f-285e-485e-85d6-cdf9f73a73c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339cd5-4ed0-4715-a10c-fb6cfca0aa9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41d24e2-75bd-489b-80c8-6337db1f4585}" ma:internalName="TaxCatchAll" ma:showField="CatchAllData" ma:web="68339cd5-4ed0-4715-a10c-fb6cfca0aa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704da589-9a5f-45d1-b9c9-18eae98c3af3">
      <Terms xmlns="http://schemas.microsoft.com/office/infopath/2007/PartnerControls"/>
    </lcf76f155ced4ddcb4097134ff3c332f>
    <_ip_UnifiedCompliancePolicyProperties xmlns="http://schemas.microsoft.com/sharepoint/v3" xsi:nil="true"/>
    <TaxCatchAll xmlns="68339cd5-4ed0-4715-a10c-fb6cfca0aa9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8D90CB-CB9C-48FD-AF4D-4B0FD719AC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04da589-9a5f-45d1-b9c9-18eae98c3af3"/>
    <ds:schemaRef ds:uri="68339cd5-4ed0-4715-a10c-fb6cfca0aa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EC77142-321F-43D5-9C77-D26397EBD3EF}">
  <ds:schemaRefs>
    <ds:schemaRef ds:uri="http://schemas.microsoft.com/sharepoint/v3"/>
    <ds:schemaRef ds:uri="http://schemas.microsoft.com/office/2006/documentManagement/types"/>
    <ds:schemaRef ds:uri="http://purl.org/dc/dcmitype/"/>
    <ds:schemaRef ds:uri="http://purl.org/dc/elements/1.1/"/>
    <ds:schemaRef ds:uri="http://schemas.openxmlformats.org/package/2006/metadata/core-properties"/>
    <ds:schemaRef ds:uri="http://schemas.microsoft.com/office/2006/metadata/properties"/>
    <ds:schemaRef ds:uri="http://www.w3.org/XML/1998/namespace"/>
    <ds:schemaRef ds:uri="http://schemas.microsoft.com/office/infopath/2007/PartnerControls"/>
    <ds:schemaRef ds:uri="68339cd5-4ed0-4715-a10c-fb6cfca0aa9a"/>
    <ds:schemaRef ds:uri="704da589-9a5f-45d1-b9c9-18eae98c3af3"/>
    <ds:schemaRef ds:uri="http://purl.org/dc/terms/"/>
  </ds:schemaRefs>
</ds:datastoreItem>
</file>

<file path=customXml/itemProps3.xml><?xml version="1.0" encoding="utf-8"?>
<ds:datastoreItem xmlns:ds="http://schemas.openxmlformats.org/officeDocument/2006/customXml" ds:itemID="{0E7A40E6-8044-4688-BC28-FC8D826490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29</vt:i4>
      </vt:variant>
      <vt:variant>
        <vt:lpstr>Named Ranges</vt:lpstr>
      </vt:variant>
      <vt:variant>
        <vt:i4>28</vt:i4>
      </vt:variant>
    </vt:vector>
  </HeadingPairs>
  <TitlesOfParts>
    <vt:vector size="57" baseType="lpstr">
      <vt:lpstr>Cover</vt:lpstr>
      <vt:lpstr>Contents</vt:lpstr>
      <vt:lpstr>Financial summary</vt:lpstr>
      <vt:lpstr>Pricing benchmarks summary</vt:lpstr>
      <vt:lpstr>Data visualisation</vt:lpstr>
      <vt:lpstr>1. Pipeline information</vt:lpstr>
      <vt:lpstr>2. Revenue and expenses</vt:lpstr>
      <vt:lpstr>2.1 Profit &amp; Loss by component</vt:lpstr>
      <vt:lpstr>2.2 Allocation to services</vt:lpstr>
      <vt:lpstr>2.3 Revenue contributions </vt:lpstr>
      <vt:lpstr>2.4 Indirect revenue</vt:lpstr>
      <vt:lpstr>2.5 Shared expenses</vt:lpstr>
      <vt:lpstr>Sheet1</vt:lpstr>
      <vt:lpstr>3.1 Depreciated Book Value</vt:lpstr>
      <vt:lpstr>3.2 Regulatory Asset Base</vt:lpstr>
      <vt:lpstr>3.3 Asset useful life</vt:lpstr>
      <vt:lpstr>3.4 Asset impairment</vt:lpstr>
      <vt:lpstr>3.5 Depreciation amortisation</vt:lpstr>
      <vt:lpstr>3.6 Shared supporting assets</vt:lpstr>
      <vt:lpstr>Auditor's Report Statement</vt:lpstr>
      <vt:lpstr>4. Recovered Capital</vt:lpstr>
      <vt:lpstr>4.1 Pipelines capex</vt:lpstr>
      <vt:lpstr>Auditor's Review Report Capex</vt:lpstr>
      <vt:lpstr>5. Historical demand</vt:lpstr>
      <vt:lpstr>Auditor's Review Report Demand</vt:lpstr>
      <vt:lpstr>6. Pricing template</vt:lpstr>
      <vt:lpstr>7. Amendment record</vt:lpstr>
      <vt:lpstr>E1. Revenue Data (NIU)</vt:lpstr>
      <vt:lpstr>Amendment record</vt:lpstr>
      <vt:lpstr>ABN</vt:lpstr>
      <vt:lpstr>'1. Pipeline information'!Print_Area</vt:lpstr>
      <vt:lpstr>'2. Revenue and expenses'!Print_Area</vt:lpstr>
      <vt:lpstr>'2.1 Profit &amp; Loss by component'!Print_Area</vt:lpstr>
      <vt:lpstr>'2.2 Allocation to services'!Print_Area</vt:lpstr>
      <vt:lpstr>'2.3 Revenue contributions '!Print_Area</vt:lpstr>
      <vt:lpstr>'2.4 Indirect revenue'!Print_Area</vt:lpstr>
      <vt:lpstr>'2.5 Shared expenses'!Print_Area</vt:lpstr>
      <vt:lpstr>'3.1 Depreciated Book Value'!Print_Area</vt:lpstr>
      <vt:lpstr>'3.2 Regulatory Asset Base'!Print_Area</vt:lpstr>
      <vt:lpstr>'3.3 Asset useful life'!Print_Area</vt:lpstr>
      <vt:lpstr>'3.4 Asset impairment'!Print_Area</vt:lpstr>
      <vt:lpstr>'3.5 Depreciation amortisation'!Print_Area</vt:lpstr>
      <vt:lpstr>'3.6 Shared supporting assets'!Print_Area</vt:lpstr>
      <vt:lpstr>'4. Recovered Capital'!Print_Area</vt:lpstr>
      <vt:lpstr>'4.1 Pipelines capex'!Print_Area</vt:lpstr>
      <vt:lpstr>'5. Historical demand'!Print_Area</vt:lpstr>
      <vt:lpstr>Cover!Print_Area</vt:lpstr>
      <vt:lpstr>'Data visualisation'!Print_Area</vt:lpstr>
      <vt:lpstr>Sheet1!Print_Area</vt:lpstr>
      <vt:lpstr>Sheet1!rAllAssets</vt:lpstr>
      <vt:lpstr>Sheet1!rInitialcosts</vt:lpstr>
      <vt:lpstr>Sheet1!rInitialyears</vt:lpstr>
      <vt:lpstr>Sheet1!rPipelineAssets</vt:lpstr>
      <vt:lpstr>Sheet1!rSharedAssets</vt:lpstr>
      <vt:lpstr>Tradingname</vt:lpstr>
      <vt:lpstr>Yearending</vt:lpstr>
      <vt:lpstr>Yearstart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Zhang, Cathy</dc:creator>
  <cp:keywords/>
  <dc:description/>
  <cp:lastModifiedBy>Chai, Melvin</cp:lastModifiedBy>
  <cp:revision/>
  <cp:lastPrinted>2025-12-15T05:12:49Z</cp:lastPrinted>
  <dcterms:created xsi:type="dcterms:W3CDTF">2021-05-07T02:14:11Z</dcterms:created>
  <dcterms:modified xsi:type="dcterms:W3CDTF">2026-09-14T07:59:03Z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2023-10-06T00:12:00Z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0a0f773b-a259-4d79-90b4-dbf8487c7a20</vt:lpwstr>
  </property>
  <property fmtid="{D5CDD505-2E9C-101B-9397-08002B2CF9AE}" pid="8" name="MSIP_Label_ea60d57e-af5b-4752-ac57-3e4f28ca11dc_ContentBits">
    <vt:lpwstr>0</vt:lpwstr>
  </property>
  <property fmtid="{D5CDD505-2E9C-101B-9397-08002B2CF9AE}" pid="9" name="ContentTypeId">
    <vt:lpwstr>0x0101009441C17B6C006147B9AF9AD50D625621</vt:lpwstr>
  </property>
  <property fmtid="{D5CDD505-2E9C-101B-9397-08002B2CF9AE}" pid="10" name="Order">
    <vt:r8>305200</vt:r8>
  </property>
  <property fmtid="{D5CDD505-2E9C-101B-9397-08002B2CF9AE}" pid="11" name="ComplianceAssetId">
    <vt:lpwstr/>
  </property>
  <property fmtid="{D5CDD505-2E9C-101B-9397-08002B2CF9AE}" pid="12" name="_ExtendedDescription">
    <vt:lpwstr/>
  </property>
  <property fmtid="{D5CDD505-2E9C-101B-9397-08002B2CF9AE}" pid="13" name="TriggerFlowInfo">
    <vt:lpwstr/>
  </property>
  <property fmtid="{D5CDD505-2E9C-101B-9397-08002B2CF9AE}" pid="14" name="MSIP_Label_b17cf72f-dc04-4766-87fe-c147305a620c_Enabled">
    <vt:lpwstr>true</vt:lpwstr>
  </property>
  <property fmtid="{D5CDD505-2E9C-101B-9397-08002B2CF9AE}" pid="15" name="MSIP_Label_b17cf72f-dc04-4766-87fe-c147305a620c_SetDate">
    <vt:lpwstr>2025-09-29T01:55:29Z</vt:lpwstr>
  </property>
  <property fmtid="{D5CDD505-2E9C-101B-9397-08002B2CF9AE}" pid="16" name="MSIP_Label_b17cf72f-dc04-4766-87fe-c147305a620c_Method">
    <vt:lpwstr>Privileged</vt:lpwstr>
  </property>
  <property fmtid="{D5CDD505-2E9C-101B-9397-08002B2CF9AE}" pid="17" name="MSIP_Label_b17cf72f-dc04-4766-87fe-c147305a620c_Name">
    <vt:lpwstr>Public</vt:lpwstr>
  </property>
  <property fmtid="{D5CDD505-2E9C-101B-9397-08002B2CF9AE}" pid="18" name="MSIP_Label_b17cf72f-dc04-4766-87fe-c147305a620c_SiteId">
    <vt:lpwstr>234ac309-c216-4661-a5ba-18879f6c4c75</vt:lpwstr>
  </property>
  <property fmtid="{D5CDD505-2E9C-101B-9397-08002B2CF9AE}" pid="19" name="MSIP_Label_b17cf72f-dc04-4766-87fe-c147305a620c_ActionId">
    <vt:lpwstr>6bde42ba-c6b6-425e-9625-892476b0a65f</vt:lpwstr>
  </property>
  <property fmtid="{D5CDD505-2E9C-101B-9397-08002B2CF9AE}" pid="20" name="MSIP_Label_b17cf72f-dc04-4766-87fe-c147305a620c_ContentBits">
    <vt:lpwstr>0</vt:lpwstr>
  </property>
  <property fmtid="{D5CDD505-2E9C-101B-9397-08002B2CF9AE}" pid="21" name="MSIP_Label_b17cf72f-dc04-4766-87fe-c147305a620c_Tag">
    <vt:lpwstr>10, 0, 1, 1</vt:lpwstr>
  </property>
  <property fmtid="{D5CDD505-2E9C-101B-9397-08002B2CF9AE}" pid="22" name="MediaServiceImageTags">
    <vt:lpwstr/>
  </property>
  <property fmtid="{D5CDD505-2E9C-101B-9397-08002B2CF9AE}" pid="23" name="SV_QUERY_LIST_4F35BF76-6C0D-4D9B-82B2-816C12CF3733">
    <vt:lpwstr>empty_477D106A-C0D6-4607-AEBD-E2C9D60EA279</vt:lpwstr>
  </property>
  <property fmtid="{D5CDD505-2E9C-101B-9397-08002B2CF9AE}" pid="24" name="SV_HIDDEN_GRID_QUERY_LIST_4F35BF76-6C0D-4D9B-82B2-816C12CF3733">
    <vt:lpwstr>empty_477D106A-C0D6-4607-AEBD-E2C9D60EA279</vt:lpwstr>
  </property>
</Properties>
</file>