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3.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omments4.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codeName="ThisWorkbook"/>
  <mc:AlternateContent xmlns:mc="http://schemas.openxmlformats.org/markup-compatibility/2006">
    <mc:Choice Requires="x15">
      <x15ac:absPath xmlns:x15ac="http://schemas.microsoft.com/office/spreadsheetml/2010/11/ac" url="https://apamscloud.sharepoint.com/sites/RegulatoryReportingTeam/Shared Documents/Part 10/1. FY25/Non-scheme pipelines/11. Publication/Bi Directional &amp; WACC/"/>
    </mc:Choice>
  </mc:AlternateContent>
  <xr:revisionPtr revIDLastSave="1556" documentId="8_{1E2BBE64-D066-4C8E-B423-CBEC39225D08}" xr6:coauthVersionLast="47" xr6:coauthVersionMax="47" xr10:uidLastSave="{A1D3E87F-907C-402B-880F-11C3F75A0A29}"/>
  <bookViews>
    <workbookView xWindow="-120" yWindow="-120" windowWidth="51840" windowHeight="21120" tabRatio="842" xr2:uid="{1D514714-8149-4F87-AE83-195188190AD0}"/>
  </bookViews>
  <sheets>
    <sheet name="Cover" sheetId="11" r:id="rId1"/>
    <sheet name="Contents" sheetId="4" r:id="rId2"/>
    <sheet name="Financial summary" sheetId="69" r:id="rId3"/>
    <sheet name="Data visualisation" sheetId="82" r:id="rId4"/>
    <sheet name="Pricing benchmarks summary" sheetId="84" r:id="rId5"/>
    <sheet name="1. Pipeline information" sheetId="44" r:id="rId6"/>
    <sheet name="2. Revenue and expenses" sheetId="5" r:id="rId7"/>
    <sheet name="2.1 Profit &amp; Loss by component" sheetId="76" r:id="rId8"/>
    <sheet name="2.2 Allocation to services" sheetId="56" r:id="rId9"/>
    <sheet name="2.3 Revenue contributions " sheetId="57" r:id="rId10"/>
    <sheet name="2.4 Indirect revenue" sheetId="45" r:id="rId11"/>
    <sheet name="2.5 Shared expenses" sheetId="16" r:id="rId12"/>
    <sheet name="3.1 Depreciated Book Value" sheetId="6" r:id="rId13"/>
    <sheet name="3.2 Regulatory Asset Base" sheetId="87" r:id="rId14"/>
    <sheet name="3.3 Asset useful life" sheetId="55" r:id="rId15"/>
    <sheet name="3.4 Asset impairment" sheetId="63" r:id="rId16"/>
    <sheet name="3.5 Depreciation amortisation" sheetId="34" r:id="rId17"/>
    <sheet name="3.6 Shared supporting assets" sheetId="59" r:id="rId18"/>
    <sheet name="Auditor's Report Statement" sheetId="104" r:id="rId19"/>
    <sheet name="4. Recovered Capital" sheetId="47" r:id="rId20"/>
    <sheet name="4.1 Pipelines capex" sheetId="66" r:id="rId21"/>
    <sheet name="Auditor's Review Report Capex" sheetId="105" r:id="rId22"/>
    <sheet name="5. Historical demand" sheetId="74" r:id="rId23"/>
    <sheet name="Auditor's Review Report Demand" sheetId="106" r:id="rId24"/>
    <sheet name="6. Pricing template" sheetId="80" r:id="rId25"/>
    <sheet name="7. Amendment record" sheetId="90" r:id="rId26"/>
    <sheet name="Sheet1" sheetId="86" state="hidden" r:id="rId27"/>
    <sheet name="Amendment record" sheetId="67" state="hidden" r:id="rId28"/>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Cover!$C$19</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IS">#REF!</definedName>
    <definedName name="IS_RIBBON_CREATE_SUCCESS">TRUE</definedName>
    <definedName name="IS_RIBBON_SHOW_GRAPH_GROUP">FALSE</definedName>
    <definedName name="IS_RIBBON_SHOW_MAIN_GROUP">TRUE</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5">'1. Pipeline information'!$A$1:$E$43</definedName>
    <definedName name="_xlnm.Print_Area" localSheetId="6">'2. Revenue and expenses'!$A$1:$H$6</definedName>
    <definedName name="_xlnm.Print_Area" localSheetId="7">'2.1 Profit &amp; Loss by component'!$A$1:$C$32</definedName>
    <definedName name="_xlnm.Print_Area" localSheetId="8">'2.2 Allocation to services'!$A$1:$J$24</definedName>
    <definedName name="_xlnm.Print_Area" localSheetId="9">'2.3 Revenue contributions '!$A$1:$F$29</definedName>
    <definedName name="_xlnm.Print_Area" localSheetId="10">'2.4 Indirect revenue'!$A$1:$I$41</definedName>
    <definedName name="_xlnm.Print_Area" localSheetId="11">'2.5 Shared expenses'!$A$1:$J$35</definedName>
    <definedName name="_xlnm.Print_Area" localSheetId="12">'3.1 Depreciated Book Value'!$A$1:$F$127</definedName>
    <definedName name="_xlnm.Print_Area" localSheetId="13">'3.2 Regulatory Asset Base'!$A$1:$F$98</definedName>
    <definedName name="_xlnm.Print_Area" localSheetId="14">'3.3 Asset useful life'!$A$1:$G$38</definedName>
    <definedName name="_xlnm.Print_Area" localSheetId="15">'3.4 Asset impairment'!$A$1:$I$57</definedName>
    <definedName name="_xlnm.Print_Area" localSheetId="16">'3.5 Depreciation amortisation'!$A$1:$P$86</definedName>
    <definedName name="_xlnm.Print_Area" localSheetId="17">'3.6 Shared supporting assets'!$A$1:$H$50</definedName>
    <definedName name="_xlnm.Print_Area" localSheetId="19">'4. Recovered Capital'!$A$1:$BL$53</definedName>
    <definedName name="_xlnm.Print_Area" localSheetId="20">'4.1 Pipelines capex'!$A$1:$F$41</definedName>
    <definedName name="_xlnm.Print_Area" localSheetId="22">'5. Historical demand'!$A$1:$BM$27</definedName>
    <definedName name="_xlnm.Print_Area" localSheetId="0">Cover!$A$2:$J$50</definedName>
    <definedName name="_xlnm.Print_Area" localSheetId="3">'Data visualisation'!$A$1:$F$88</definedName>
    <definedName name="_xlnm.Print_Area" localSheetId="26">Sheet1!$A$1:$N$32</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rotectionContents">TRUE</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llAssets">Sheet1!$A$3:$A$17</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BBON_OBJECT_POINTER">1336012000</definedName>
    <definedName name="RID">#REF!</definedName>
    <definedName name="rInitialcosts">Sheet1!$G$3:$G$5</definedName>
    <definedName name="rInitialyears">Sheet1!$G$3:$H$5</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Sheet1!$A$3:$A$12</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Sheet1!$A$13:$A$17</definedName>
    <definedName name="rvanilla">#REF!</definedName>
    <definedName name="ryesno">#N/A</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Cover!$C$17</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Cover!$C$27</definedName>
    <definedName name="YearEndMonth">#REF!</definedName>
    <definedName name="years">#REF!</definedName>
    <definedName name="Yearstart">Cover!$C$25</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74" l="1"/>
  <c r="H43" i="74" l="1"/>
  <c r="G43" i="74"/>
  <c r="I41" i="76" l="1"/>
  <c r="I40" i="76"/>
  <c r="I39" i="76"/>
  <c r="I38" i="76"/>
  <c r="I36" i="76"/>
  <c r="I35" i="76"/>
  <c r="I34" i="76"/>
  <c r="F31" i="76"/>
  <c r="F30" i="76"/>
  <c r="F28" i="76"/>
  <c r="F27" i="76"/>
  <c r="F25" i="76"/>
  <c r="F24" i="76"/>
  <c r="F16" i="76"/>
  <c r="E41" i="66"/>
  <c r="D130" i="6"/>
  <c r="E15" i="87"/>
  <c r="D15" i="87"/>
  <c r="F15" i="87"/>
  <c r="G15" i="87"/>
  <c r="H15" i="87"/>
  <c r="B16" i="44"/>
  <c r="B15" i="44"/>
  <c r="D119" i="6"/>
  <c r="D118" i="6"/>
  <c r="D117" i="6"/>
  <c r="D116" i="6"/>
  <c r="D115" i="6"/>
  <c r="D114" i="6"/>
  <c r="D111" i="6"/>
  <c r="D110" i="6"/>
  <c r="D109" i="6"/>
  <c r="D108" i="6"/>
  <c r="D107" i="6"/>
  <c r="D106" i="6"/>
  <c r="D95" i="6"/>
  <c r="D94" i="6"/>
  <c r="D93" i="6"/>
  <c r="D92" i="6"/>
  <c r="D91" i="6"/>
  <c r="D90" i="6"/>
  <c r="D87" i="6"/>
  <c r="D86" i="6"/>
  <c r="D85" i="6"/>
  <c r="D84" i="6"/>
  <c r="D83" i="6"/>
  <c r="D75" i="6"/>
  <c r="D82" i="6"/>
  <c r="D79" i="6"/>
  <c r="D78" i="6"/>
  <c r="D77" i="6"/>
  <c r="D76" i="6"/>
  <c r="D72" i="6"/>
  <c r="D71" i="6"/>
  <c r="D70" i="6"/>
  <c r="D69" i="6"/>
  <c r="D68" i="6"/>
  <c r="D67" i="6"/>
  <c r="D64" i="6"/>
  <c r="D63" i="6"/>
  <c r="D62" i="6"/>
  <c r="D61" i="6"/>
  <c r="D60" i="6"/>
  <c r="D59" i="6"/>
  <c r="D56" i="6"/>
  <c r="D55" i="6"/>
  <c r="D54" i="6"/>
  <c r="D53" i="6"/>
  <c r="D52" i="6"/>
  <c r="D51" i="6"/>
  <c r="D48" i="6"/>
  <c r="D47" i="6"/>
  <c r="D46" i="6"/>
  <c r="D45" i="6"/>
  <c r="D44" i="6"/>
  <c r="D43" i="6"/>
  <c r="D40" i="6"/>
  <c r="D39" i="6"/>
  <c r="D38" i="6"/>
  <c r="D37" i="6"/>
  <c r="D36" i="6"/>
  <c r="D35" i="6"/>
  <c r="D32" i="6"/>
  <c r="D31" i="6"/>
  <c r="D30" i="6"/>
  <c r="D29" i="6"/>
  <c r="D33" i="6"/>
  <c r="D28" i="6"/>
  <c r="D27" i="6"/>
  <c r="D24" i="6"/>
  <c r="D23" i="6"/>
  <c r="D22" i="6"/>
  <c r="D20" i="6"/>
  <c r="D19" i="6"/>
  <c r="D18" i="6"/>
  <c r="C11" i="69"/>
  <c r="I43" i="74"/>
  <c r="G98" i="66"/>
  <c r="E14" i="47"/>
  <c r="G46" i="59"/>
  <c r="I84" i="34"/>
  <c r="J59" i="34"/>
  <c r="G59" i="34"/>
  <c r="D93" i="87"/>
  <c r="E91" i="87" s="1"/>
  <c r="E93" i="87" s="1"/>
  <c r="F91" i="87" s="1"/>
  <c r="F93" i="87" s="1"/>
  <c r="G91" i="87" s="1"/>
  <c r="G93" i="87" s="1"/>
  <c r="H91" i="87" s="1"/>
  <c r="H93" i="87" s="1"/>
  <c r="E43" i="87"/>
  <c r="E47" i="87"/>
  <c r="F43" i="87" s="1"/>
  <c r="F47" i="87" s="1"/>
  <c r="G43" i="87" s="1"/>
  <c r="G47" i="87" s="1"/>
  <c r="H43" i="87" s="1"/>
  <c r="H47" i="87" s="1"/>
  <c r="E120" i="6"/>
  <c r="E112" i="6"/>
  <c r="D102" i="6"/>
  <c r="E102" i="6"/>
  <c r="E96" i="6"/>
  <c r="E88" i="6"/>
  <c r="E80" i="6"/>
  <c r="E73" i="6"/>
  <c r="E65" i="6"/>
  <c r="E57" i="6"/>
  <c r="E49" i="6"/>
  <c r="E41" i="6"/>
  <c r="E33" i="6"/>
  <c r="E21" i="6"/>
  <c r="E25" i="6"/>
  <c r="F36" i="16"/>
  <c r="J35" i="16"/>
  <c r="J34" i="16"/>
  <c r="J33" i="16"/>
  <c r="J32" i="16"/>
  <c r="J31" i="16"/>
  <c r="J30" i="16"/>
  <c r="J29" i="16"/>
  <c r="J28" i="16"/>
  <c r="J27" i="16"/>
  <c r="J26" i="16"/>
  <c r="J25" i="16"/>
  <c r="J22" i="16"/>
  <c r="J21" i="16"/>
  <c r="J20" i="16"/>
  <c r="J19" i="16"/>
  <c r="J17" i="16"/>
  <c r="J16" i="16"/>
  <c r="I35" i="16"/>
  <c r="I34" i="16"/>
  <c r="I33" i="16"/>
  <c r="I32" i="16"/>
  <c r="I31" i="16"/>
  <c r="I30" i="16"/>
  <c r="I29" i="16"/>
  <c r="I28" i="16"/>
  <c r="I27" i="16"/>
  <c r="I26" i="16"/>
  <c r="I25" i="16"/>
  <c r="I22" i="16"/>
  <c r="I21" i="16"/>
  <c r="I20" i="16"/>
  <c r="I19" i="16"/>
  <c r="I17" i="16"/>
  <c r="I16" i="16"/>
  <c r="I15" i="16"/>
  <c r="H35" i="16"/>
  <c r="H34" i="16"/>
  <c r="H33" i="16"/>
  <c r="H32" i="16"/>
  <c r="H31" i="16"/>
  <c r="H30" i="16"/>
  <c r="H29" i="16"/>
  <c r="H28" i="16"/>
  <c r="H27" i="16"/>
  <c r="H26" i="16"/>
  <c r="H25" i="16"/>
  <c r="H22" i="16"/>
  <c r="H21" i="16"/>
  <c r="H20" i="16"/>
  <c r="H19" i="16"/>
  <c r="H17" i="16"/>
  <c r="H16" i="16"/>
  <c r="H15" i="16"/>
  <c r="F23" i="16"/>
  <c r="E23" i="16"/>
  <c r="I41" i="45"/>
  <c r="I40" i="45"/>
  <c r="I39" i="45"/>
  <c r="I38" i="45"/>
  <c r="I37" i="45"/>
  <c r="I36" i="45"/>
  <c r="I35" i="45"/>
  <c r="I34" i="45"/>
  <c r="I33" i="45"/>
  <c r="I32" i="45"/>
  <c r="I31" i="45"/>
  <c r="I30" i="45"/>
  <c r="I29" i="45"/>
  <c r="I28" i="45"/>
  <c r="I27" i="45"/>
  <c r="I26" i="45"/>
  <c r="I25" i="45"/>
  <c r="I24" i="45"/>
  <c r="I23" i="45"/>
  <c r="I22" i="45"/>
  <c r="I21" i="45"/>
  <c r="I20" i="45"/>
  <c r="I19" i="45"/>
  <c r="I18" i="45"/>
  <c r="I17" i="45"/>
  <c r="I16" i="45"/>
  <c r="H41" i="45"/>
  <c r="H40" i="45"/>
  <c r="H39" i="45"/>
  <c r="H38" i="45"/>
  <c r="H37" i="45"/>
  <c r="H36" i="45"/>
  <c r="H35" i="45"/>
  <c r="H34" i="45"/>
  <c r="H33" i="45"/>
  <c r="H32" i="45"/>
  <c r="H31" i="45"/>
  <c r="H30" i="45"/>
  <c r="H29" i="45"/>
  <c r="H28" i="45"/>
  <c r="H27" i="45"/>
  <c r="H26" i="45"/>
  <c r="H25" i="45"/>
  <c r="H24" i="45"/>
  <c r="H23" i="45"/>
  <c r="H22" i="45"/>
  <c r="H21" i="45"/>
  <c r="H20" i="45"/>
  <c r="H19" i="45"/>
  <c r="H18" i="45"/>
  <c r="H17" i="45"/>
  <c r="H16" i="45"/>
  <c r="H15" i="45"/>
  <c r="H42" i="45"/>
  <c r="G18" i="45"/>
  <c r="G17" i="45"/>
  <c r="G16" i="45"/>
  <c r="G15" i="45"/>
  <c r="G42" i="45"/>
  <c r="D42" i="45"/>
  <c r="E42" i="45"/>
  <c r="D29" i="57"/>
  <c r="C17" i="57"/>
  <c r="D17" i="57"/>
  <c r="E17" i="57"/>
  <c r="E16" i="57"/>
  <c r="E15" i="57"/>
  <c r="E14" i="57"/>
  <c r="E13" i="57"/>
  <c r="E12" i="57"/>
  <c r="E11" i="57"/>
  <c r="I45" i="56"/>
  <c r="I44" i="56"/>
  <c r="I43" i="56"/>
  <c r="I42" i="56"/>
  <c r="I41" i="56"/>
  <c r="I40" i="56"/>
  <c r="I39" i="56"/>
  <c r="I38" i="56"/>
  <c r="I37" i="56"/>
  <c r="H18" i="76"/>
  <c r="E34" i="76"/>
  <c r="E35" i="76"/>
  <c r="E36" i="76"/>
  <c r="E38" i="76"/>
  <c r="E39" i="76"/>
  <c r="E40" i="76"/>
  <c r="E41" i="76"/>
  <c r="D35" i="76"/>
  <c r="D36" i="76"/>
  <c r="D38" i="76"/>
  <c r="D39" i="76"/>
  <c r="D40" i="76"/>
  <c r="D41" i="76"/>
  <c r="H150" i="80"/>
  <c r="H151" i="80"/>
  <c r="H152" i="80"/>
  <c r="H153" i="80"/>
  <c r="H154" i="80"/>
  <c r="H155" i="80"/>
  <c r="H156" i="80"/>
  <c r="H157" i="80"/>
  <c r="H158" i="80"/>
  <c r="H138" i="80"/>
  <c r="H139" i="80"/>
  <c r="H140" i="80"/>
  <c r="H141" i="80"/>
  <c r="H142" i="80"/>
  <c r="H143" i="80"/>
  <c r="H144" i="80"/>
  <c r="H145" i="80"/>
  <c r="H146" i="80"/>
  <c r="E150" i="80"/>
  <c r="E151" i="80"/>
  <c r="E152" i="80"/>
  <c r="E153" i="80"/>
  <c r="E154" i="80"/>
  <c r="E155" i="80"/>
  <c r="E156" i="80"/>
  <c r="E157" i="80"/>
  <c r="E158" i="80"/>
  <c r="D150" i="80"/>
  <c r="D151" i="80"/>
  <c r="D152" i="80"/>
  <c r="D153" i="80"/>
  <c r="D154" i="80"/>
  <c r="D155" i="80"/>
  <c r="D156" i="80"/>
  <c r="D157" i="80"/>
  <c r="D158" i="80"/>
  <c r="F117" i="80"/>
  <c r="F118" i="80"/>
  <c r="F119" i="80"/>
  <c r="F120" i="80"/>
  <c r="F121" i="80"/>
  <c r="F122" i="80"/>
  <c r="F123" i="80"/>
  <c r="F124" i="80"/>
  <c r="F125" i="80"/>
  <c r="E105" i="80"/>
  <c r="E106" i="80"/>
  <c r="E107" i="80"/>
  <c r="E108" i="80"/>
  <c r="E109" i="80"/>
  <c r="E110" i="80"/>
  <c r="E111" i="80"/>
  <c r="E112" i="80"/>
  <c r="E113" i="80"/>
  <c r="E80" i="80"/>
  <c r="E81" i="80"/>
  <c r="E82" i="80"/>
  <c r="E83" i="80"/>
  <c r="E84" i="80"/>
  <c r="E85" i="80"/>
  <c r="E86" i="80"/>
  <c r="E87" i="80"/>
  <c r="E88" i="80"/>
  <c r="D77" i="87"/>
  <c r="E73" i="87" s="1"/>
  <c r="E77" i="87" s="1"/>
  <c r="F73" i="87" s="1"/>
  <c r="F77" i="87" s="1"/>
  <c r="G73" i="87" s="1"/>
  <c r="G77" i="87" s="1"/>
  <c r="H73" i="87" s="1"/>
  <c r="H77" i="87" s="1"/>
  <c r="D65" i="87"/>
  <c r="E61" i="87" s="1"/>
  <c r="E65" i="87" s="1"/>
  <c r="F61" i="87" s="1"/>
  <c r="F65" i="87" s="1"/>
  <c r="G61" i="87" s="1"/>
  <c r="G65" i="87" s="1"/>
  <c r="H61" i="87" s="1"/>
  <c r="H65" i="87" s="1"/>
  <c r="D47" i="87"/>
  <c r="D35" i="87"/>
  <c r="E31" i="87" s="1"/>
  <c r="E35" i="87" s="1"/>
  <c r="F31" i="87" s="1"/>
  <c r="F35" i="87" s="1"/>
  <c r="G31" i="87" s="1"/>
  <c r="G35" i="87" s="1"/>
  <c r="H31" i="87" s="1"/>
  <c r="H35" i="87" s="1"/>
  <c r="C4" i="87"/>
  <c r="F36" i="47"/>
  <c r="C3" i="87"/>
  <c r="B2" i="87"/>
  <c r="D42" i="74"/>
  <c r="E23" i="47"/>
  <c r="F28" i="47"/>
  <c r="F20" i="47"/>
  <c r="E15" i="47"/>
  <c r="H149" i="80"/>
  <c r="H137" i="80"/>
  <c r="F116" i="80"/>
  <c r="E104" i="80"/>
  <c r="E79" i="80"/>
  <c r="B43" i="74"/>
  <c r="G44" i="74" s="1"/>
  <c r="C3" i="84"/>
  <c r="B2" i="84"/>
  <c r="C3" i="66"/>
  <c r="C3" i="47"/>
  <c r="C3" i="59"/>
  <c r="C3" i="34"/>
  <c r="C3" i="63"/>
  <c r="C3" i="55"/>
  <c r="C3" i="6"/>
  <c r="C3" i="16"/>
  <c r="C3" i="45"/>
  <c r="C3" i="57"/>
  <c r="C3" i="56"/>
  <c r="C3" i="76"/>
  <c r="C3" i="5"/>
  <c r="C3" i="44"/>
  <c r="C3" i="82"/>
  <c r="C3" i="69"/>
  <c r="D3" i="4"/>
  <c r="C3" i="74"/>
  <c r="C43" i="47"/>
  <c r="F12" i="47" s="1"/>
  <c r="G12" i="47" s="1"/>
  <c r="C3" i="80"/>
  <c r="B2" i="80"/>
  <c r="B2" i="74"/>
  <c r="B2" i="66"/>
  <c r="B2" i="47"/>
  <c r="B2" i="59"/>
  <c r="B2" i="34"/>
  <c r="B2" i="63"/>
  <c r="B2" i="55"/>
  <c r="B2" i="6"/>
  <c r="B2" i="16"/>
  <c r="B2" i="45"/>
  <c r="B2" i="57"/>
  <c r="B2" i="56"/>
  <c r="B2" i="76"/>
  <c r="B2" i="5"/>
  <c r="B2" i="44"/>
  <c r="B2" i="82"/>
  <c r="B2" i="69"/>
  <c r="C2" i="4"/>
  <c r="D35" i="56"/>
  <c r="J78" i="56"/>
  <c r="I47" i="56"/>
  <c r="J35" i="56"/>
  <c r="J27" i="56" s="1"/>
  <c r="I35" i="56"/>
  <c r="I34" i="56" s="1"/>
  <c r="E149" i="80"/>
  <c r="D149" i="80"/>
  <c r="H35" i="56"/>
  <c r="G21" i="76"/>
  <c r="H21" i="76"/>
  <c r="J47" i="56"/>
  <c r="J45" i="56" s="1"/>
  <c r="K45" i="56" s="1"/>
  <c r="I20" i="76"/>
  <c r="I21" i="76" s="1"/>
  <c r="I17" i="76"/>
  <c r="I16" i="76"/>
  <c r="I15" i="76"/>
  <c r="I14" i="76"/>
  <c r="E32" i="76"/>
  <c r="F66" i="56" s="1"/>
  <c r="H32" i="76"/>
  <c r="J66" i="56" s="1"/>
  <c r="I31" i="76"/>
  <c r="I30" i="76"/>
  <c r="I29" i="76"/>
  <c r="I28" i="76"/>
  <c r="I27" i="76"/>
  <c r="I25" i="76"/>
  <c r="I24" i="76"/>
  <c r="H43" i="76"/>
  <c r="J90" i="56" s="1"/>
  <c r="E42" i="74"/>
  <c r="C42" i="74"/>
  <c r="L57" i="34"/>
  <c r="N57" i="34" s="1"/>
  <c r="Q57" i="34" s="1"/>
  <c r="G36" i="47"/>
  <c r="H36" i="47"/>
  <c r="I36" i="47"/>
  <c r="J36" i="47"/>
  <c r="K36" i="47"/>
  <c r="L36" i="47"/>
  <c r="M36" i="47"/>
  <c r="N36" i="47"/>
  <c r="O36" i="47"/>
  <c r="P36" i="47"/>
  <c r="Q36" i="47"/>
  <c r="R36" i="47"/>
  <c r="S36" i="47"/>
  <c r="T36" i="47"/>
  <c r="U36" i="47"/>
  <c r="V36" i="47"/>
  <c r="W36" i="47"/>
  <c r="X36" i="47"/>
  <c r="Y36" i="47"/>
  <c r="Z36" i="47"/>
  <c r="AA36" i="47"/>
  <c r="AB36" i="47"/>
  <c r="AC36" i="47"/>
  <c r="AD36" i="47"/>
  <c r="AE36" i="47"/>
  <c r="AE37" i="47"/>
  <c r="AF36" i="47"/>
  <c r="AF37" i="47"/>
  <c r="AG36" i="47"/>
  <c r="AH36" i="47"/>
  <c r="AI36" i="47"/>
  <c r="AJ36" i="47"/>
  <c r="AK36" i="47"/>
  <c r="AL36" i="47"/>
  <c r="AM36" i="47"/>
  <c r="AN36" i="47"/>
  <c r="AO36" i="47"/>
  <c r="AO37" i="47"/>
  <c r="AP36" i="47"/>
  <c r="AQ36" i="47"/>
  <c r="AR36" i="47"/>
  <c r="AS36" i="47"/>
  <c r="AS37" i="47"/>
  <c r="AT36" i="47"/>
  <c r="AU36" i="47"/>
  <c r="AV36" i="47"/>
  <c r="AW36" i="47"/>
  <c r="AX36" i="47"/>
  <c r="AY36" i="47"/>
  <c r="AZ36" i="47"/>
  <c r="BA36" i="47"/>
  <c r="BB36" i="47"/>
  <c r="BC36" i="47"/>
  <c r="BD36" i="47"/>
  <c r="BE36" i="47"/>
  <c r="BF36" i="47"/>
  <c r="BG36" i="47"/>
  <c r="BH36" i="47"/>
  <c r="BH28" i="47"/>
  <c r="BG28" i="47"/>
  <c r="BF28" i="47"/>
  <c r="BE28" i="47"/>
  <c r="BD28" i="47"/>
  <c r="BC28" i="47"/>
  <c r="BC29" i="47"/>
  <c r="BB28" i="47"/>
  <c r="BA28" i="47"/>
  <c r="AZ28" i="47"/>
  <c r="AY28" i="47"/>
  <c r="AX28" i="47"/>
  <c r="AW28" i="47"/>
  <c r="AV28" i="47"/>
  <c r="AV29" i="47"/>
  <c r="AU28" i="47"/>
  <c r="AT28" i="47"/>
  <c r="AT37" i="47"/>
  <c r="AS28" i="47"/>
  <c r="AR28" i="47"/>
  <c r="AR37" i="47"/>
  <c r="AQ28" i="47"/>
  <c r="AP28" i="47"/>
  <c r="AO28" i="47"/>
  <c r="AN28" i="47"/>
  <c r="AM28" i="47"/>
  <c r="AL28" i="47"/>
  <c r="AK28" i="47"/>
  <c r="AJ28" i="47"/>
  <c r="AI28" i="47"/>
  <c r="AH28" i="47"/>
  <c r="AH29" i="47"/>
  <c r="AG28" i="47"/>
  <c r="AF28" i="47"/>
  <c r="AE28" i="47"/>
  <c r="AD28" i="47"/>
  <c r="AC28" i="47"/>
  <c r="AB28" i="47"/>
  <c r="AA28" i="47"/>
  <c r="AA37" i="47"/>
  <c r="Z28" i="47"/>
  <c r="Y28" i="47"/>
  <c r="X28" i="47"/>
  <c r="X37" i="47"/>
  <c r="W28" i="47"/>
  <c r="V28" i="47"/>
  <c r="V29" i="47"/>
  <c r="U28" i="47"/>
  <c r="T28" i="47"/>
  <c r="S28" i="47"/>
  <c r="R28" i="47"/>
  <c r="Q28" i="47"/>
  <c r="P28" i="47"/>
  <c r="O28" i="47"/>
  <c r="N28" i="47"/>
  <c r="M28" i="47"/>
  <c r="L28" i="47"/>
  <c r="K28" i="47"/>
  <c r="J28" i="47"/>
  <c r="I28" i="47"/>
  <c r="H28" i="47"/>
  <c r="G28" i="47"/>
  <c r="BH20" i="47"/>
  <c r="BH29" i="47"/>
  <c r="BG20" i="47"/>
  <c r="BF20" i="47"/>
  <c r="BF29" i="47"/>
  <c r="BE20" i="47"/>
  <c r="BD20" i="47"/>
  <c r="BD37" i="47"/>
  <c r="BC20" i="47"/>
  <c r="BC37" i="47"/>
  <c r="BB20" i="47"/>
  <c r="BB37" i="47"/>
  <c r="BA20" i="47"/>
  <c r="BA29" i="47"/>
  <c r="AZ20" i="47"/>
  <c r="AZ37" i="47"/>
  <c r="AY20" i="47"/>
  <c r="AX20" i="47"/>
  <c r="AX29" i="47"/>
  <c r="AW20" i="47"/>
  <c r="AV20" i="47"/>
  <c r="AV37" i="47"/>
  <c r="AU20" i="47"/>
  <c r="AU37" i="47"/>
  <c r="AU29" i="47"/>
  <c r="AT20" i="47"/>
  <c r="AS20" i="47"/>
  <c r="AS29" i="47"/>
  <c r="AR20" i="47"/>
  <c r="AR29" i="47"/>
  <c r="AQ20" i="47"/>
  <c r="AQ29" i="47"/>
  <c r="AP20" i="47"/>
  <c r="AP29" i="47"/>
  <c r="AO20" i="47"/>
  <c r="AO29" i="47"/>
  <c r="AN20" i="47"/>
  <c r="AN37" i="47"/>
  <c r="AM20" i="47"/>
  <c r="AM29" i="47"/>
  <c r="AL20" i="47"/>
  <c r="AK20" i="47"/>
  <c r="AK29" i="47"/>
  <c r="AJ20" i="47"/>
  <c r="AJ29" i="47"/>
  <c r="AI20" i="47"/>
  <c r="AI37" i="47"/>
  <c r="AH20" i="47"/>
  <c r="AG20" i="47"/>
  <c r="AG37" i="47"/>
  <c r="AF20" i="47"/>
  <c r="AF29" i="47"/>
  <c r="AE20" i="47"/>
  <c r="AE29" i="47"/>
  <c r="AD20" i="47"/>
  <c r="AD29" i="47"/>
  <c r="AC20" i="47"/>
  <c r="AC29" i="47"/>
  <c r="AB20" i="47"/>
  <c r="AB37" i="47"/>
  <c r="AB29" i="47"/>
  <c r="AA20" i="47"/>
  <c r="Z20" i="47"/>
  <c r="Y20" i="47"/>
  <c r="X20" i="47"/>
  <c r="W20" i="47"/>
  <c r="V20" i="47"/>
  <c r="U20" i="47"/>
  <c r="U29" i="47"/>
  <c r="T20" i="47"/>
  <c r="T37" i="47"/>
  <c r="S20" i="47"/>
  <c r="S37" i="47"/>
  <c r="R20" i="47"/>
  <c r="R37" i="47"/>
  <c r="Q20" i="47"/>
  <c r="Q29" i="47"/>
  <c r="P20" i="47"/>
  <c r="P29" i="47"/>
  <c r="O20" i="47"/>
  <c r="N20" i="47"/>
  <c r="M20" i="47"/>
  <c r="L20" i="47"/>
  <c r="K20" i="47"/>
  <c r="K37" i="47"/>
  <c r="J20" i="47"/>
  <c r="J29" i="47"/>
  <c r="I20" i="47"/>
  <c r="H20" i="47"/>
  <c r="H37" i="47"/>
  <c r="G20" i="47"/>
  <c r="G29" i="47"/>
  <c r="E34" i="47"/>
  <c r="E27" i="47"/>
  <c r="E19" i="47"/>
  <c r="G37" i="59"/>
  <c r="G38" i="59"/>
  <c r="G39" i="59"/>
  <c r="G40" i="59"/>
  <c r="G41" i="59"/>
  <c r="E26" i="47"/>
  <c r="E25" i="47"/>
  <c r="E24" i="47"/>
  <c r="E22" i="47"/>
  <c r="C34" i="55"/>
  <c r="C23" i="55"/>
  <c r="C28" i="55"/>
  <c r="C18" i="55"/>
  <c r="C17" i="55"/>
  <c r="C16" i="55"/>
  <c r="C15" i="55"/>
  <c r="C14" i="55"/>
  <c r="C13" i="55"/>
  <c r="C12" i="55"/>
  <c r="C11" i="55"/>
  <c r="L21" i="34"/>
  <c r="N21" i="34" s="1"/>
  <c r="Q21" i="34" s="1"/>
  <c r="L22" i="34"/>
  <c r="N22" i="34" s="1"/>
  <c r="Q22" i="34" s="1"/>
  <c r="L23" i="34"/>
  <c r="N23" i="34" s="1"/>
  <c r="Q23" i="34" s="1"/>
  <c r="L24" i="34"/>
  <c r="N24" i="34" s="1"/>
  <c r="Q24" i="34" s="1"/>
  <c r="L25" i="34"/>
  <c r="N25" i="34" s="1"/>
  <c r="Q25" i="34" s="1"/>
  <c r="L26" i="34"/>
  <c r="N26" i="34"/>
  <c r="Q26" i="34" s="1"/>
  <c r="L27" i="34"/>
  <c r="N27" i="34" s="1"/>
  <c r="Q27" i="34" s="1"/>
  <c r="L28" i="34"/>
  <c r="N28" i="34" s="1"/>
  <c r="Q28" i="34" s="1"/>
  <c r="L29" i="34"/>
  <c r="N29" i="34"/>
  <c r="Q29" i="34" s="1"/>
  <c r="L30" i="34"/>
  <c r="N30" i="34" s="1"/>
  <c r="Q30" i="34" s="1"/>
  <c r="L31" i="34"/>
  <c r="N31" i="34" s="1"/>
  <c r="Q31" i="34" s="1"/>
  <c r="L32" i="34"/>
  <c r="N32" i="34"/>
  <c r="Q32" i="34" s="1"/>
  <c r="L33" i="34"/>
  <c r="N33" i="34"/>
  <c r="Q33" i="34" s="1"/>
  <c r="L34" i="34"/>
  <c r="N34" i="34"/>
  <c r="Q34" i="34" s="1"/>
  <c r="L35" i="34"/>
  <c r="N35" i="34" s="1"/>
  <c r="Q35" i="34" s="1"/>
  <c r="L36" i="34"/>
  <c r="N36" i="34" s="1"/>
  <c r="Q36" i="34" s="1"/>
  <c r="L37" i="34"/>
  <c r="N37" i="34" s="1"/>
  <c r="Q37" i="34" s="1"/>
  <c r="L38" i="34"/>
  <c r="N38" i="34" s="1"/>
  <c r="Q38" i="34" s="1"/>
  <c r="L39" i="34"/>
  <c r="N39" i="34" s="1"/>
  <c r="Q39" i="34" s="1"/>
  <c r="L40" i="34"/>
  <c r="N40" i="34" s="1"/>
  <c r="Q40" i="34" s="1"/>
  <c r="L41" i="34"/>
  <c r="N41" i="34" s="1"/>
  <c r="Q41" i="34" s="1"/>
  <c r="L42" i="34"/>
  <c r="N42" i="34"/>
  <c r="Q42" i="34" s="1"/>
  <c r="L43" i="34"/>
  <c r="N43" i="34" s="1"/>
  <c r="Q43" i="34" s="1"/>
  <c r="L44" i="34"/>
  <c r="N44" i="34" s="1"/>
  <c r="Q44" i="34" s="1"/>
  <c r="L45" i="34"/>
  <c r="N45" i="34" s="1"/>
  <c r="Q45" i="34" s="1"/>
  <c r="L46" i="34"/>
  <c r="N46" i="34" s="1"/>
  <c r="Q46" i="34" s="1"/>
  <c r="L47" i="34"/>
  <c r="N47" i="34" s="1"/>
  <c r="Q47" i="34" s="1"/>
  <c r="L48" i="34"/>
  <c r="N48" i="34"/>
  <c r="Q48" i="34" s="1"/>
  <c r="L49" i="34"/>
  <c r="N49" i="34"/>
  <c r="Q49" i="34" s="1"/>
  <c r="L50" i="34"/>
  <c r="N50" i="34"/>
  <c r="Q50" i="34"/>
  <c r="L51" i="34"/>
  <c r="N51" i="34"/>
  <c r="Q51" i="34" s="1"/>
  <c r="E17" i="47"/>
  <c r="K68" i="34"/>
  <c r="M68" i="34" s="1"/>
  <c r="P68" i="34" s="1"/>
  <c r="K69" i="34"/>
  <c r="M69" i="34" s="1"/>
  <c r="P69" i="34" s="1"/>
  <c r="K70" i="34"/>
  <c r="M70" i="34" s="1"/>
  <c r="P70" i="34" s="1"/>
  <c r="K71" i="34"/>
  <c r="M71" i="34"/>
  <c r="P71" i="34" s="1"/>
  <c r="K72" i="34"/>
  <c r="M72" i="34" s="1"/>
  <c r="P72" i="34" s="1"/>
  <c r="K73" i="34"/>
  <c r="M73" i="34"/>
  <c r="P73" i="34" s="1"/>
  <c r="K74" i="34"/>
  <c r="M74" i="34"/>
  <c r="P74" i="34" s="1"/>
  <c r="K75" i="34"/>
  <c r="M75" i="34" s="1"/>
  <c r="P75" i="34" s="1"/>
  <c r="K76" i="34"/>
  <c r="M76" i="34" s="1"/>
  <c r="P76" i="34" s="1"/>
  <c r="K77" i="34"/>
  <c r="M77" i="34" s="1"/>
  <c r="P77" i="34" s="1"/>
  <c r="K78" i="34"/>
  <c r="M78" i="34" s="1"/>
  <c r="P78" i="34" s="1"/>
  <c r="K79" i="34"/>
  <c r="M79" i="34"/>
  <c r="P79" i="34" s="1"/>
  <c r="K80" i="34"/>
  <c r="M80" i="34" s="1"/>
  <c r="P80" i="34" s="1"/>
  <c r="K81" i="34"/>
  <c r="M81" i="34"/>
  <c r="P81" i="34" s="1"/>
  <c r="K82" i="34"/>
  <c r="M82" i="34"/>
  <c r="P82" i="34" s="1"/>
  <c r="L52" i="34"/>
  <c r="N52" i="34" s="1"/>
  <c r="Q52" i="34" s="1"/>
  <c r="L53" i="34"/>
  <c r="N53" i="34"/>
  <c r="Q53" i="34"/>
  <c r="L54" i="34"/>
  <c r="N54" i="34" s="1"/>
  <c r="Q54" i="34" s="1"/>
  <c r="G45" i="59"/>
  <c r="G44" i="59"/>
  <c r="G43" i="59"/>
  <c r="G42" i="59"/>
  <c r="G36" i="59"/>
  <c r="G35" i="59"/>
  <c r="G34" i="59"/>
  <c r="G33" i="59"/>
  <c r="G32" i="59"/>
  <c r="G31" i="59"/>
  <c r="G30" i="59"/>
  <c r="G29" i="59"/>
  <c r="G28" i="59"/>
  <c r="G27" i="59"/>
  <c r="G26" i="59"/>
  <c r="G25" i="59"/>
  <c r="G24" i="59"/>
  <c r="G23" i="59"/>
  <c r="G22" i="59"/>
  <c r="G21" i="59"/>
  <c r="G20" i="59"/>
  <c r="G19" i="59"/>
  <c r="G18" i="59"/>
  <c r="E31" i="47"/>
  <c r="E32" i="47"/>
  <c r="E33" i="47"/>
  <c r="E35" i="47"/>
  <c r="G19" i="45"/>
  <c r="G20" i="45"/>
  <c r="G21" i="45"/>
  <c r="G22" i="45"/>
  <c r="G23" i="45"/>
  <c r="G24" i="45"/>
  <c r="G25" i="45"/>
  <c r="G26" i="45"/>
  <c r="G27" i="45"/>
  <c r="G28" i="45"/>
  <c r="G29" i="45"/>
  <c r="G30" i="45"/>
  <c r="G31" i="45"/>
  <c r="G32" i="45"/>
  <c r="G33" i="45"/>
  <c r="G34" i="45"/>
  <c r="G35" i="45"/>
  <c r="G36" i="45"/>
  <c r="G37" i="45"/>
  <c r="G38" i="45"/>
  <c r="G39" i="45"/>
  <c r="G40" i="45"/>
  <c r="G41" i="45"/>
  <c r="E16" i="47"/>
  <c r="E18" i="47"/>
  <c r="K83" i="34"/>
  <c r="M83" i="34"/>
  <c r="P83" i="34" s="1"/>
  <c r="L55" i="34"/>
  <c r="N55" i="34"/>
  <c r="Q55" i="34" s="1"/>
  <c r="L56" i="34"/>
  <c r="N56" i="34"/>
  <c r="Q56" i="34"/>
  <c r="L58" i="34"/>
  <c r="N58" i="34" s="1"/>
  <c r="Q58" i="34" s="1"/>
  <c r="AY29" i="47"/>
  <c r="X29" i="47"/>
  <c r="L29" i="47"/>
  <c r="Z29" i="47"/>
  <c r="D15" i="76"/>
  <c r="F15" i="76" s="1"/>
  <c r="T29" i="47"/>
  <c r="F37" i="47"/>
  <c r="I15" i="45"/>
  <c r="I42" i="45"/>
  <c r="F43" i="56"/>
  <c r="E20" i="76"/>
  <c r="E21" i="76"/>
  <c r="F47" i="56"/>
  <c r="F37" i="56"/>
  <c r="F44" i="56"/>
  <c r="F45" i="56"/>
  <c r="F40" i="56"/>
  <c r="F38" i="56"/>
  <c r="F41" i="56"/>
  <c r="F42" i="56"/>
  <c r="F39" i="56"/>
  <c r="E40" i="56"/>
  <c r="G40" i="56" s="1"/>
  <c r="E41" i="56"/>
  <c r="G41" i="56" s="1"/>
  <c r="E37" i="56"/>
  <c r="G37" i="56" s="1"/>
  <c r="E42" i="56"/>
  <c r="G42" i="56" s="1"/>
  <c r="D20" i="76"/>
  <c r="E43" i="56"/>
  <c r="E44" i="56"/>
  <c r="G44" i="56" s="1"/>
  <c r="E45" i="56"/>
  <c r="E38" i="56"/>
  <c r="G38" i="56" s="1"/>
  <c r="E39" i="56"/>
  <c r="D14" i="76"/>
  <c r="E14" i="76"/>
  <c r="F35" i="56"/>
  <c r="G45" i="56"/>
  <c r="G43" i="56"/>
  <c r="F20" i="76"/>
  <c r="F21" i="76"/>
  <c r="D21" i="76"/>
  <c r="E47" i="56"/>
  <c r="F25" i="56"/>
  <c r="F34" i="56"/>
  <c r="F33" i="56"/>
  <c r="F32" i="56"/>
  <c r="F31" i="56"/>
  <c r="F30" i="56"/>
  <c r="F27" i="56"/>
  <c r="F29" i="56"/>
  <c r="F26" i="56"/>
  <c r="F28" i="56"/>
  <c r="E18" i="76"/>
  <c r="F23" i="56" s="1"/>
  <c r="F48" i="56" s="1"/>
  <c r="K29" i="47"/>
  <c r="L37" i="47"/>
  <c r="V37" i="47"/>
  <c r="AN29" i="47"/>
  <c r="AD37" i="47"/>
  <c r="E20" i="47"/>
  <c r="E29" i="47"/>
  <c r="C26" i="69"/>
  <c r="BG37" i="47"/>
  <c r="E28" i="47"/>
  <c r="S29" i="47"/>
  <c r="U37" i="47"/>
  <c r="M29" i="47"/>
  <c r="W29" i="47"/>
  <c r="AW37" i="47"/>
  <c r="BH37" i="47"/>
  <c r="AH37" i="47"/>
  <c r="N37" i="47"/>
  <c r="G37" i="47"/>
  <c r="BF37" i="47"/>
  <c r="AM37" i="47"/>
  <c r="J37" i="47"/>
  <c r="O37" i="47"/>
  <c r="Y37" i="47"/>
  <c r="AY37" i="47"/>
  <c r="BA37" i="47"/>
  <c r="AL37" i="47"/>
  <c r="Z37" i="47"/>
  <c r="AK37" i="47"/>
  <c r="AA29" i="47"/>
  <c r="AQ37" i="47"/>
  <c r="Q37" i="47"/>
  <c r="E36" i="47"/>
  <c r="AC37" i="47"/>
  <c r="AJ37" i="47"/>
  <c r="I29" i="47"/>
  <c r="AT29" i="47"/>
  <c r="BE29" i="47"/>
  <c r="N29" i="47"/>
  <c r="I44" i="74"/>
  <c r="BD29" i="47"/>
  <c r="O29" i="47"/>
  <c r="W37" i="47"/>
  <c r="AZ29" i="47"/>
  <c r="BE37" i="47"/>
  <c r="P37" i="47"/>
  <c r="I37" i="47"/>
  <c r="AI29" i="47"/>
  <c r="AX37" i="47"/>
  <c r="F29" i="47"/>
  <c r="G38" i="47"/>
  <c r="H38" i="47"/>
  <c r="H29" i="47"/>
  <c r="AP37" i="47"/>
  <c r="BB29" i="47"/>
  <c r="Y29" i="47"/>
  <c r="AL29" i="47"/>
  <c r="BG29" i="47"/>
  <c r="M37" i="47"/>
  <c r="AG29" i="47"/>
  <c r="AW29" i="47"/>
  <c r="R29" i="47"/>
  <c r="D34" i="76"/>
  <c r="J15" i="16"/>
  <c r="I38" i="47"/>
  <c r="J38" i="47"/>
  <c r="K38" i="47"/>
  <c r="L38" i="47"/>
  <c r="M38" i="47"/>
  <c r="N38" i="47"/>
  <c r="O38" i="47"/>
  <c r="E37" i="47"/>
  <c r="P38" i="47"/>
  <c r="Q38" i="47"/>
  <c r="R38" i="47"/>
  <c r="S38" i="47"/>
  <c r="T38" i="47"/>
  <c r="U38" i="47"/>
  <c r="V38" i="47"/>
  <c r="W38" i="47"/>
  <c r="X38" i="47"/>
  <c r="Y38" i="47"/>
  <c r="Z38" i="47"/>
  <c r="AA38" i="47"/>
  <c r="AB38" i="47"/>
  <c r="AC38" i="47"/>
  <c r="AD38" i="47"/>
  <c r="AE38" i="47"/>
  <c r="AF38" i="47"/>
  <c r="AG38" i="47"/>
  <c r="AH38" i="47"/>
  <c r="AI38" i="47"/>
  <c r="AJ38" i="47"/>
  <c r="AK38" i="47"/>
  <c r="AL38" i="47"/>
  <c r="AM38" i="47"/>
  <c r="AN38" i="47"/>
  <c r="AO38" i="47"/>
  <c r="AP38" i="47"/>
  <c r="AQ38" i="47"/>
  <c r="AR38" i="47"/>
  <c r="AS38" i="47"/>
  <c r="AT38" i="47"/>
  <c r="AU38" i="47"/>
  <c r="AV38" i="47"/>
  <c r="AW38" i="47"/>
  <c r="AX38" i="47"/>
  <c r="AY38" i="47"/>
  <c r="AZ38" i="47"/>
  <c r="BA38" i="47"/>
  <c r="BB38" i="47"/>
  <c r="BC38" i="47"/>
  <c r="BD38" i="47"/>
  <c r="BE38" i="47"/>
  <c r="BF38" i="47"/>
  <c r="BG38" i="47"/>
  <c r="BH38" i="47"/>
  <c r="E124" i="6"/>
  <c r="E103" i="6"/>
  <c r="E125" i="6"/>
  <c r="D21" i="6"/>
  <c r="D25" i="6"/>
  <c r="B44" i="74"/>
  <c r="I45" i="74"/>
  <c r="H44" i="74"/>
  <c r="G45" i="74"/>
  <c r="B45" i="74"/>
  <c r="H45" i="74"/>
  <c r="H46" i="74"/>
  <c r="I46" i="74"/>
  <c r="B46" i="74"/>
  <c r="G46" i="74"/>
  <c r="B47" i="74"/>
  <c r="G48" i="74"/>
  <c r="G39" i="56" l="1"/>
  <c r="I25" i="56"/>
  <c r="I26" i="56"/>
  <c r="I28" i="56"/>
  <c r="I29" i="56"/>
  <c r="I30" i="56"/>
  <c r="I31" i="56"/>
  <c r="I32" i="56"/>
  <c r="I27" i="56"/>
  <c r="K27" i="56" s="1"/>
  <c r="I33" i="56"/>
  <c r="G47" i="74"/>
  <c r="H47" i="74"/>
  <c r="I47" i="74"/>
  <c r="H48" i="74"/>
  <c r="I48" i="74"/>
  <c r="B48" i="74"/>
  <c r="J91" i="56"/>
  <c r="H44" i="76"/>
  <c r="H22" i="76"/>
  <c r="J37" i="56"/>
  <c r="K37" i="56" s="1"/>
  <c r="J38" i="56"/>
  <c r="J39" i="56"/>
  <c r="J40" i="56"/>
  <c r="J41" i="56"/>
  <c r="J42" i="56"/>
  <c r="K42" i="56" s="1"/>
  <c r="J43" i="56"/>
  <c r="K43" i="56" s="1"/>
  <c r="J44" i="56"/>
  <c r="K44" i="56" s="1"/>
  <c r="K38" i="56"/>
  <c r="K39" i="56"/>
  <c r="K40" i="56"/>
  <c r="K41" i="56"/>
  <c r="J28" i="56"/>
  <c r="K28" i="56" s="1"/>
  <c r="J29" i="56"/>
  <c r="J30" i="56"/>
  <c r="J31" i="56"/>
  <c r="J32" i="56"/>
  <c r="J33" i="56"/>
  <c r="J34" i="56"/>
  <c r="K34" i="56" s="1"/>
  <c r="J23" i="56"/>
  <c r="J48" i="56" s="1"/>
  <c r="J25" i="56"/>
  <c r="K25" i="56" s="1"/>
  <c r="J26" i="56"/>
  <c r="K26" i="56" s="1"/>
  <c r="E22" i="76"/>
  <c r="F41" i="76"/>
  <c r="F40" i="76"/>
  <c r="F39" i="76"/>
  <c r="F38" i="76"/>
  <c r="F36" i="76"/>
  <c r="E35" i="56"/>
  <c r="E25" i="56" s="1"/>
  <c r="G25" i="56" s="1"/>
  <c r="F14" i="76"/>
  <c r="F17" i="76"/>
  <c r="F35" i="76"/>
  <c r="F34" i="76"/>
  <c r="D112" i="6"/>
  <c r="D120" i="6"/>
  <c r="D96" i="6"/>
  <c r="D73" i="6"/>
  <c r="D49" i="6"/>
  <c r="D57" i="6"/>
  <c r="D80" i="6"/>
  <c r="D41" i="6"/>
  <c r="D65" i="6"/>
  <c r="D88" i="6"/>
  <c r="C129" i="80"/>
  <c r="H12" i="47"/>
  <c r="I12" i="47" s="1"/>
  <c r="J12" i="47" s="1"/>
  <c r="K12" i="47" s="1"/>
  <c r="L12" i="47" s="1"/>
  <c r="M12" i="47" s="1"/>
  <c r="N12" i="47" s="1"/>
  <c r="O12" i="47" s="1"/>
  <c r="P12" i="47" s="1"/>
  <c r="Q12" i="47" s="1"/>
  <c r="R12" i="47" s="1"/>
  <c r="S12" i="47" s="1"/>
  <c r="T12" i="47" s="1"/>
  <c r="U12" i="47" s="1"/>
  <c r="V12" i="47" s="1"/>
  <c r="W12" i="47" s="1"/>
  <c r="X12" i="47" s="1"/>
  <c r="Y12" i="47" s="1"/>
  <c r="Z12" i="47" s="1"/>
  <c r="AA12" i="47" s="1"/>
  <c r="AB12" i="47" s="1"/>
  <c r="AC12" i="47" s="1"/>
  <c r="AD12" i="47" s="1"/>
  <c r="AE12" i="47" s="1"/>
  <c r="AF12" i="47" s="1"/>
  <c r="AG12" i="47" s="1"/>
  <c r="AH12" i="47" s="1"/>
  <c r="AI12" i="47" s="1"/>
  <c r="AJ12" i="47" s="1"/>
  <c r="AK12" i="47" s="1"/>
  <c r="AL12" i="47" s="1"/>
  <c r="AM12" i="47" s="1"/>
  <c r="AN12" i="47" s="1"/>
  <c r="AO12" i="47" s="1"/>
  <c r="AP12" i="47" s="1"/>
  <c r="AQ12" i="47" s="1"/>
  <c r="AR12" i="47" s="1"/>
  <c r="AS12" i="47" s="1"/>
  <c r="AT12" i="47" s="1"/>
  <c r="AU12" i="47" s="1"/>
  <c r="AV12" i="47" s="1"/>
  <c r="AW12" i="47" s="1"/>
  <c r="AX12" i="47" s="1"/>
  <c r="AY12" i="47" s="1"/>
  <c r="AZ12" i="47" s="1"/>
  <c r="BA12" i="47" s="1"/>
  <c r="BB12" i="47" s="1"/>
  <c r="BC12" i="47" s="1"/>
  <c r="BD12" i="47" s="1"/>
  <c r="BE12" i="47" s="1"/>
  <c r="BF12" i="47" s="1"/>
  <c r="BG12" i="47" s="1"/>
  <c r="BH12" i="47" s="1"/>
  <c r="E33" i="56" l="1"/>
  <c r="G33" i="56" s="1"/>
  <c r="K29" i="56"/>
  <c r="K33" i="56"/>
  <c r="K31" i="56"/>
  <c r="K32" i="56"/>
  <c r="K30" i="56"/>
  <c r="K35" i="56" s="1"/>
  <c r="I49" i="74"/>
  <c r="B49" i="74"/>
  <c r="H49" i="74"/>
  <c r="G49" i="74"/>
  <c r="H45" i="76"/>
  <c r="E26" i="56"/>
  <c r="G26" i="56" s="1"/>
  <c r="E34" i="56"/>
  <c r="G34" i="56" s="1"/>
  <c r="G35" i="56" s="1"/>
  <c r="E27" i="56"/>
  <c r="G27" i="56" s="1"/>
  <c r="E29" i="56"/>
  <c r="G29" i="56" s="1"/>
  <c r="E30" i="56"/>
  <c r="G30" i="56" s="1"/>
  <c r="E31" i="56"/>
  <c r="G31" i="56" s="1"/>
  <c r="E32" i="56"/>
  <c r="G32" i="56" s="1"/>
  <c r="E28" i="56"/>
  <c r="G28" i="56" s="1"/>
  <c r="I24" i="16"/>
  <c r="H24" i="16"/>
  <c r="H23" i="16" s="1"/>
  <c r="C124" i="80"/>
  <c r="C123" i="80"/>
  <c r="C122" i="80"/>
  <c r="C121" i="80"/>
  <c r="C120" i="80"/>
  <c r="C119" i="80"/>
  <c r="C118" i="80"/>
  <c r="C117" i="80"/>
  <c r="C125" i="80"/>
  <c r="I13" i="76"/>
  <c r="I18" i="76" s="1"/>
  <c r="I22" i="76" s="1"/>
  <c r="G18" i="76"/>
  <c r="D124" i="6"/>
  <c r="D103" i="6"/>
  <c r="F29" i="76"/>
  <c r="D145" i="80"/>
  <c r="D146" i="80"/>
  <c r="C130" i="80"/>
  <c r="C131" i="80" s="1"/>
  <c r="C132" i="80" s="1"/>
  <c r="C133" i="80" s="1"/>
  <c r="C134" i="80" s="1"/>
  <c r="D139" i="80"/>
  <c r="D142" i="80"/>
  <c r="D137" i="80"/>
  <c r="D144" i="80"/>
  <c r="D140" i="80"/>
  <c r="D143" i="80"/>
  <c r="D141" i="80"/>
  <c r="D138" i="80"/>
  <c r="G17" i="59" l="1"/>
  <c r="B50" i="74"/>
  <c r="G50" i="74"/>
  <c r="H50" i="74"/>
  <c r="I50" i="74"/>
  <c r="G16" i="59"/>
  <c r="D42" i="76"/>
  <c r="J24" i="16"/>
  <c r="I23" i="16"/>
  <c r="C116" i="80"/>
  <c r="C31" i="80"/>
  <c r="F15" i="56"/>
  <c r="F58" i="56"/>
  <c r="F60" i="56"/>
  <c r="F17" i="56"/>
  <c r="F14" i="56"/>
  <c r="F57" i="56"/>
  <c r="F62" i="56"/>
  <c r="F19" i="56"/>
  <c r="F16" i="56"/>
  <c r="F59" i="56"/>
  <c r="F18" i="56"/>
  <c r="F61" i="56"/>
  <c r="F64" i="56"/>
  <c r="F21" i="56"/>
  <c r="F63" i="56"/>
  <c r="F20" i="56"/>
  <c r="E46" i="56"/>
  <c r="D47" i="56"/>
  <c r="F46" i="56"/>
  <c r="F65" i="56"/>
  <c r="F22" i="56"/>
  <c r="J75" i="56"/>
  <c r="J20" i="56"/>
  <c r="J87" i="56"/>
  <c r="J71" i="56"/>
  <c r="J16" i="56"/>
  <c r="J83" i="56"/>
  <c r="J72" i="56"/>
  <c r="J17" i="56"/>
  <c r="J84" i="56"/>
  <c r="J73" i="56"/>
  <c r="J18" i="56"/>
  <c r="J85" i="56"/>
  <c r="J76" i="56"/>
  <c r="J21" i="56"/>
  <c r="J88" i="56"/>
  <c r="J77" i="56"/>
  <c r="J22" i="56"/>
  <c r="J89" i="56"/>
  <c r="J81" i="56"/>
  <c r="J69" i="56"/>
  <c r="J14" i="56"/>
  <c r="J70" i="56"/>
  <c r="J15" i="56"/>
  <c r="J82" i="56"/>
  <c r="J74" i="56"/>
  <c r="J19" i="56"/>
  <c r="J86" i="56"/>
  <c r="H47" i="56"/>
  <c r="I46" i="56"/>
  <c r="J46" i="56"/>
  <c r="G22" i="76"/>
  <c r="I23" i="56"/>
  <c r="D125" i="6"/>
  <c r="C20" i="69" s="1"/>
  <c r="F13" i="76"/>
  <c r="F18" i="76" s="1"/>
  <c r="D18" i="76"/>
  <c r="E139" i="80"/>
  <c r="E145" i="80"/>
  <c r="E143" i="80"/>
  <c r="E138" i="80"/>
  <c r="E137" i="80"/>
  <c r="E142" i="80"/>
  <c r="E141" i="80"/>
  <c r="E140" i="80"/>
  <c r="E144" i="80"/>
  <c r="E146" i="80"/>
  <c r="I42" i="76"/>
  <c r="H51" i="74" l="1"/>
  <c r="G51" i="74"/>
  <c r="I51" i="74"/>
  <c r="B51" i="74"/>
  <c r="G46" i="56"/>
  <c r="G47" i="56" s="1"/>
  <c r="E42" i="76"/>
  <c r="J23" i="16"/>
  <c r="D66" i="56"/>
  <c r="F56" i="56"/>
  <c r="D90" i="56"/>
  <c r="D23" i="56"/>
  <c r="F13" i="56"/>
  <c r="D78" i="56"/>
  <c r="K46" i="56"/>
  <c r="K47" i="56" s="1"/>
  <c r="H90" i="56"/>
  <c r="J80" i="56"/>
  <c r="J61" i="56"/>
  <c r="H66" i="56"/>
  <c r="J56" i="56"/>
  <c r="J59" i="56"/>
  <c r="J60" i="56"/>
  <c r="J64" i="56"/>
  <c r="J63" i="56"/>
  <c r="J57" i="56"/>
  <c r="J65" i="56"/>
  <c r="J13" i="56"/>
  <c r="H23" i="56"/>
  <c r="J58" i="56"/>
  <c r="J68" i="56"/>
  <c r="H78" i="56"/>
  <c r="J62" i="56"/>
  <c r="I21" i="56"/>
  <c r="K21" i="56" s="1"/>
  <c r="I48" i="56"/>
  <c r="I15" i="56"/>
  <c r="K15" i="56" s="1"/>
  <c r="I18" i="56"/>
  <c r="K18" i="56" s="1"/>
  <c r="I13" i="56"/>
  <c r="I16" i="56"/>
  <c r="K16" i="56" s="1"/>
  <c r="I14" i="56"/>
  <c r="K14" i="56" s="1"/>
  <c r="I17" i="56"/>
  <c r="K17" i="56" s="1"/>
  <c r="I19" i="56"/>
  <c r="K19" i="56" s="1"/>
  <c r="I20" i="56"/>
  <c r="K20" i="56" s="1"/>
  <c r="I22" i="56"/>
  <c r="K22" i="56" s="1"/>
  <c r="F22" i="76"/>
  <c r="C10" i="69"/>
  <c r="E23" i="56"/>
  <c r="D22" i="76"/>
  <c r="G52" i="74" l="1"/>
  <c r="H52" i="74"/>
  <c r="I52" i="74"/>
  <c r="B52" i="74"/>
  <c r="F42" i="76"/>
  <c r="K13" i="56"/>
  <c r="K23" i="56" s="1"/>
  <c r="K48" i="56" s="1"/>
  <c r="E21" i="56"/>
  <c r="G21" i="56" s="1"/>
  <c r="D20" i="5" s="1"/>
  <c r="E15" i="56"/>
  <c r="G15" i="56" s="1"/>
  <c r="D14" i="5" s="1"/>
  <c r="E14" i="56"/>
  <c r="G14" i="56" s="1"/>
  <c r="D13" i="5" s="1"/>
  <c r="E48" i="56"/>
  <c r="E22" i="56"/>
  <c r="G22" i="56" s="1"/>
  <c r="D21" i="5" s="1"/>
  <c r="E20" i="56"/>
  <c r="G20" i="56" s="1"/>
  <c r="D19" i="5" s="1"/>
  <c r="E18" i="56"/>
  <c r="G18" i="56" s="1"/>
  <c r="D17" i="5" s="1"/>
  <c r="E13" i="56"/>
  <c r="G13" i="56" s="1"/>
  <c r="E19" i="56"/>
  <c r="G19" i="56" s="1"/>
  <c r="D18" i="5" s="1"/>
  <c r="E17" i="56"/>
  <c r="G17" i="56" s="1"/>
  <c r="D16" i="5" s="1"/>
  <c r="E16" i="56"/>
  <c r="G16" i="56" s="1"/>
  <c r="D15" i="5" s="1"/>
  <c r="C12" i="69"/>
  <c r="I53" i="74" l="1"/>
  <c r="B53" i="74"/>
  <c r="H53" i="74"/>
  <c r="G53" i="74"/>
  <c r="D12" i="5"/>
  <c r="G23" i="56"/>
  <c r="G48" i="56" s="1"/>
  <c r="I54" i="74" l="1"/>
  <c r="G54" i="74"/>
  <c r="H54" i="74"/>
  <c r="B54" i="74"/>
  <c r="D22" i="5" a="1"/>
  <c r="D22" i="5" s="1"/>
  <c r="D90" i="87"/>
  <c r="E86" i="87" s="1"/>
  <c r="I55" i="74" l="1"/>
  <c r="G55" i="74"/>
  <c r="B55" i="74"/>
  <c r="H55" i="74"/>
  <c r="H56" i="74" l="1"/>
  <c r="B56" i="74"/>
  <c r="I56" i="74"/>
  <c r="G56" i="74"/>
  <c r="E90" i="87"/>
  <c r="F86" i="87" s="1"/>
  <c r="G57" i="74" l="1"/>
  <c r="I57" i="74"/>
  <c r="H57" i="74"/>
  <c r="B57" i="74"/>
  <c r="F90" i="87"/>
  <c r="G86" i="87" s="1"/>
  <c r="B58" i="74" l="1"/>
  <c r="G58" i="74"/>
  <c r="H58" i="74"/>
  <c r="I58" i="74"/>
  <c r="G90" i="87"/>
  <c r="H86" i="87" s="1"/>
  <c r="H59" i="74" l="1"/>
  <c r="I59" i="74"/>
  <c r="B59" i="74"/>
  <c r="G59" i="74"/>
  <c r="H90" i="87"/>
  <c r="B60" i="74" l="1"/>
  <c r="I60" i="74"/>
  <c r="G60" i="74"/>
  <c r="H60" i="74"/>
  <c r="D84" i="87"/>
  <c r="I61" i="74" l="1"/>
  <c r="G61" i="74"/>
  <c r="B61" i="74"/>
  <c r="H61" i="74"/>
  <c r="D94" i="87"/>
  <c r="E80" i="87"/>
  <c r="B62" i="74" l="1"/>
  <c r="G62" i="74"/>
  <c r="H62" i="74"/>
  <c r="I62" i="74"/>
  <c r="N84" i="34"/>
  <c r="G63" i="74" l="1"/>
  <c r="I63" i="74"/>
  <c r="H63" i="74"/>
  <c r="B63" i="74"/>
  <c r="O84" i="34"/>
  <c r="I64" i="74" l="1"/>
  <c r="G64" i="74"/>
  <c r="B64" i="74"/>
  <c r="H64" i="74"/>
  <c r="I65" i="74" l="1"/>
  <c r="H65" i="74"/>
  <c r="G65" i="74"/>
  <c r="B65" i="74"/>
  <c r="B66" i="74" l="1"/>
  <c r="G66" i="74"/>
  <c r="I66" i="74"/>
  <c r="H66" i="74"/>
  <c r="H84" i="34"/>
  <c r="G67" i="74" l="1"/>
  <c r="I67" i="74"/>
  <c r="B67" i="74"/>
  <c r="H67" i="74"/>
  <c r="G68" i="74" l="1"/>
  <c r="H68" i="74"/>
  <c r="B68" i="74"/>
  <c r="I68" i="74"/>
  <c r="E47" i="59"/>
  <c r="G15" i="59"/>
  <c r="G47" i="59" s="1"/>
  <c r="H69" i="74" l="1"/>
  <c r="B69" i="74"/>
  <c r="I69" i="74"/>
  <c r="G69" i="74"/>
  <c r="E84" i="87"/>
  <c r="G70" i="74" l="1"/>
  <c r="I70" i="74"/>
  <c r="B70" i="74"/>
  <c r="H70" i="74"/>
  <c r="F80" i="87"/>
  <c r="E94" i="87"/>
  <c r="B71" i="74" l="1"/>
  <c r="H71" i="74"/>
  <c r="G71" i="74"/>
  <c r="I71" i="74"/>
  <c r="F84" i="87"/>
  <c r="I72" i="74" l="1"/>
  <c r="H72" i="74"/>
  <c r="G72" i="74"/>
  <c r="B72" i="74"/>
  <c r="F94" i="87"/>
  <c r="G80" i="87"/>
  <c r="I73" i="74" l="1"/>
  <c r="B73" i="74"/>
  <c r="G73" i="74"/>
  <c r="H73" i="74"/>
  <c r="G84" i="87"/>
  <c r="G74" i="74" l="1"/>
  <c r="B74" i="74"/>
  <c r="H74" i="74"/>
  <c r="I74" i="74"/>
  <c r="H80" i="87"/>
  <c r="G94" i="87"/>
  <c r="I75" i="74" l="1"/>
  <c r="G75" i="74"/>
  <c r="B75" i="74"/>
  <c r="H75" i="74"/>
  <c r="H84" i="87"/>
  <c r="H94" i="87" s="1"/>
  <c r="G76" i="74" l="1"/>
  <c r="H76" i="74"/>
  <c r="I76" i="74"/>
  <c r="B76" i="74"/>
  <c r="I37" i="76"/>
  <c r="I43" i="76" s="1"/>
  <c r="G43" i="76"/>
  <c r="I90" i="56" s="1"/>
  <c r="B77" i="74" l="1"/>
  <c r="G77" i="74"/>
  <c r="H77" i="74"/>
  <c r="I77" i="74"/>
  <c r="I81" i="56"/>
  <c r="K81" i="56" s="1"/>
  <c r="I80" i="56"/>
  <c r="K80" i="56" s="1"/>
  <c r="I87" i="56"/>
  <c r="K87" i="56" s="1"/>
  <c r="I83" i="56"/>
  <c r="K83" i="56" s="1"/>
  <c r="I82" i="56"/>
  <c r="K82" i="56" s="1"/>
  <c r="I89" i="56"/>
  <c r="K89" i="56" s="1"/>
  <c r="I84" i="56"/>
  <c r="K84" i="56" s="1"/>
  <c r="I86" i="56"/>
  <c r="K86" i="56" s="1"/>
  <c r="I85" i="56"/>
  <c r="K85" i="56" s="1"/>
  <c r="I88" i="56"/>
  <c r="K88" i="56" s="1"/>
  <c r="B78" i="74" l="1"/>
  <c r="H78" i="74"/>
  <c r="G78" i="74"/>
  <c r="I78" i="74"/>
  <c r="K90" i="56"/>
  <c r="B79" i="74" l="1"/>
  <c r="I79" i="74"/>
  <c r="H79" i="74"/>
  <c r="G79" i="74"/>
  <c r="P59" i="34"/>
  <c r="H80" i="74" l="1"/>
  <c r="B80" i="74"/>
  <c r="G80" i="74"/>
  <c r="I80" i="74"/>
  <c r="J84" i="34"/>
  <c r="K66" i="34"/>
  <c r="M66" i="34" s="1"/>
  <c r="P66" i="34" s="1"/>
  <c r="K59" i="34"/>
  <c r="I59" i="34"/>
  <c r="H81" i="74" l="1"/>
  <c r="I81" i="74"/>
  <c r="G81" i="74"/>
  <c r="B81" i="74"/>
  <c r="G82" i="74" l="1"/>
  <c r="H82" i="74"/>
  <c r="B82" i="74"/>
  <c r="I82" i="74"/>
  <c r="D32" i="76"/>
  <c r="E66" i="56" s="1"/>
  <c r="F26" i="76"/>
  <c r="B83" i="74" l="1"/>
  <c r="G83" i="74"/>
  <c r="H83" i="74"/>
  <c r="I83" i="74"/>
  <c r="D109" i="80"/>
  <c r="G109" i="80" s="1"/>
  <c r="F69" i="80" s="1"/>
  <c r="D94" i="80"/>
  <c r="D105" i="80"/>
  <c r="G105" i="80" s="1"/>
  <c r="F65" i="80" s="1"/>
  <c r="D111" i="80"/>
  <c r="G111" i="80" s="1"/>
  <c r="F71" i="80" s="1"/>
  <c r="D112" i="80"/>
  <c r="G112" i="80" s="1"/>
  <c r="F72" i="80" s="1"/>
  <c r="D107" i="80"/>
  <c r="G107" i="80" s="1"/>
  <c r="F67" i="80" s="1"/>
  <c r="D110" i="80"/>
  <c r="G110" i="80" s="1"/>
  <c r="F70" i="80" s="1"/>
  <c r="D106" i="80"/>
  <c r="G106" i="80" s="1"/>
  <c r="F66" i="80" s="1"/>
  <c r="D92" i="80"/>
  <c r="D113" i="80"/>
  <c r="G113" i="80" s="1"/>
  <c r="F73" i="80" s="1"/>
  <c r="D108" i="80"/>
  <c r="G108" i="80" s="1"/>
  <c r="F68" i="80" s="1"/>
  <c r="D100" i="80"/>
  <c r="D99" i="80"/>
  <c r="D93" i="80"/>
  <c r="D104" i="80"/>
  <c r="G104" i="80" s="1"/>
  <c r="F64" i="80" s="1"/>
  <c r="D95" i="80"/>
  <c r="D98" i="80"/>
  <c r="F32" i="76"/>
  <c r="D96" i="80"/>
  <c r="D101" i="80"/>
  <c r="D97" i="80"/>
  <c r="E56" i="56"/>
  <c r="G56" i="56" s="1"/>
  <c r="E57" i="56"/>
  <c r="G57" i="56" s="1"/>
  <c r="E58" i="56"/>
  <c r="G58" i="56" s="1"/>
  <c r="E60" i="56"/>
  <c r="G60" i="56" s="1"/>
  <c r="E61" i="56"/>
  <c r="G61" i="56" s="1"/>
  <c r="E65" i="56"/>
  <c r="G65" i="56" s="1"/>
  <c r="E59" i="56"/>
  <c r="G59" i="56" s="1"/>
  <c r="E63" i="56"/>
  <c r="G63" i="56" s="1"/>
  <c r="E64" i="56"/>
  <c r="G64" i="56" s="1"/>
  <c r="E62" i="56"/>
  <c r="G62" i="56" s="1"/>
  <c r="G84" i="74" l="1"/>
  <c r="I84" i="74"/>
  <c r="B84" i="74"/>
  <c r="H84" i="74"/>
  <c r="G66" i="56"/>
  <c r="D84" i="80"/>
  <c r="G84" i="80" s="1"/>
  <c r="D69" i="80" s="1"/>
  <c r="D79" i="80"/>
  <c r="G79" i="80" s="1"/>
  <c r="D64" i="80" s="1"/>
  <c r="D86" i="80"/>
  <c r="G86" i="80" s="1"/>
  <c r="D71" i="80" s="1"/>
  <c r="C13" i="69"/>
  <c r="D85" i="80"/>
  <c r="G85" i="80" s="1"/>
  <c r="D70" i="80" s="1"/>
  <c r="D80" i="80"/>
  <c r="G80" i="80" s="1"/>
  <c r="D65" i="80" s="1"/>
  <c r="D88" i="80"/>
  <c r="G88" i="80" s="1"/>
  <c r="D73" i="80" s="1"/>
  <c r="D83" i="80"/>
  <c r="G83" i="80" s="1"/>
  <c r="D68" i="80" s="1"/>
  <c r="D82" i="80"/>
  <c r="G82" i="80" s="1"/>
  <c r="D67" i="80" s="1"/>
  <c r="D87" i="80"/>
  <c r="G87" i="80" s="1"/>
  <c r="D72" i="80" s="1"/>
  <c r="D81" i="80"/>
  <c r="G81" i="80" s="1"/>
  <c r="D66" i="80" s="1"/>
  <c r="B85" i="74" l="1"/>
  <c r="G85" i="74"/>
  <c r="I85" i="74"/>
  <c r="H85" i="74"/>
  <c r="B86" i="74" l="1"/>
  <c r="I86" i="74"/>
  <c r="G86" i="74"/>
  <c r="H86" i="74"/>
  <c r="B87" i="74" l="1"/>
  <c r="G87" i="74"/>
  <c r="I87" i="74"/>
  <c r="H87" i="74"/>
  <c r="I88" i="74" l="1"/>
  <c r="H88" i="74"/>
  <c r="B88" i="74"/>
  <c r="G88" i="74"/>
  <c r="H89" i="74" l="1"/>
  <c r="G89" i="74"/>
  <c r="B89" i="74"/>
  <c r="I89" i="74"/>
  <c r="G90" i="74" l="1"/>
  <c r="B90" i="74"/>
  <c r="I90" i="74"/>
  <c r="H90" i="74"/>
  <c r="G32" i="76"/>
  <c r="I26" i="76"/>
  <c r="I32" i="76" s="1"/>
  <c r="I44" i="76" s="1"/>
  <c r="I45" i="76" s="1"/>
  <c r="I78" i="56"/>
  <c r="I91" i="74" l="1"/>
  <c r="G91" i="74"/>
  <c r="H91" i="74"/>
  <c r="B91" i="74"/>
  <c r="I69" i="56"/>
  <c r="K69" i="56" s="1"/>
  <c r="I73" i="56"/>
  <c r="K73" i="56" s="1"/>
  <c r="I77" i="56"/>
  <c r="K77" i="56" s="1"/>
  <c r="I76" i="56"/>
  <c r="K76" i="56" s="1"/>
  <c r="I70" i="56"/>
  <c r="K70" i="56" s="1"/>
  <c r="I75" i="56"/>
  <c r="K75" i="56" s="1"/>
  <c r="I74" i="56"/>
  <c r="K74" i="56" s="1"/>
  <c r="I72" i="56"/>
  <c r="K72" i="56" s="1"/>
  <c r="I68" i="56"/>
  <c r="K68" i="56" s="1"/>
  <c r="I71" i="56"/>
  <c r="K71" i="56" s="1"/>
  <c r="G44" i="76"/>
  <c r="G45" i="76" s="1"/>
  <c r="I66" i="56"/>
  <c r="H92" i="74" l="1"/>
  <c r="B92" i="74"/>
  <c r="I92" i="74"/>
  <c r="G92" i="74"/>
  <c r="K78" i="56"/>
  <c r="I58" i="56"/>
  <c r="K58" i="56" s="1"/>
  <c r="I57" i="56"/>
  <c r="K57" i="56" s="1"/>
  <c r="I61" i="56"/>
  <c r="K61" i="56" s="1"/>
  <c r="I60" i="56"/>
  <c r="K60" i="56" s="1"/>
  <c r="I59" i="56"/>
  <c r="K59" i="56" s="1"/>
  <c r="I56" i="56"/>
  <c r="K56" i="56" s="1"/>
  <c r="I65" i="56"/>
  <c r="K65" i="56" s="1"/>
  <c r="I64" i="56"/>
  <c r="K64" i="56" s="1"/>
  <c r="I62" i="56"/>
  <c r="K62" i="56" s="1"/>
  <c r="I63" i="56"/>
  <c r="K63" i="56" s="1"/>
  <c r="I91" i="56"/>
  <c r="I93" i="74" l="1"/>
  <c r="B93" i="74"/>
  <c r="G93" i="74"/>
  <c r="H93" i="74"/>
  <c r="K66" i="56"/>
  <c r="K91" i="56" s="1"/>
  <c r="H94" i="74" l="1"/>
  <c r="I94" i="74"/>
  <c r="B94" i="74"/>
  <c r="G94" i="74"/>
  <c r="K67" i="34"/>
  <c r="G84" i="34"/>
  <c r="I95" i="74" l="1"/>
  <c r="B95" i="74"/>
  <c r="G95" i="74"/>
  <c r="H95" i="74"/>
  <c r="M67" i="34"/>
  <c r="K84" i="34"/>
  <c r="G96" i="74" l="1"/>
  <c r="B96" i="74"/>
  <c r="I96" i="74"/>
  <c r="H96" i="74"/>
  <c r="E36" i="16"/>
  <c r="P67" i="34"/>
  <c r="P84" i="34" s="1"/>
  <c r="M84" i="34"/>
  <c r="I18" i="16" s="1"/>
  <c r="G97" i="74" l="1"/>
  <c r="H97" i="74"/>
  <c r="I97" i="74"/>
  <c r="B97" i="74"/>
  <c r="I36" i="16"/>
  <c r="E37" i="76"/>
  <c r="H18" i="16"/>
  <c r="B98" i="74" l="1"/>
  <c r="H98" i="74"/>
  <c r="G98" i="74"/>
  <c r="I98" i="74"/>
  <c r="F78" i="56"/>
  <c r="E43" i="76"/>
  <c r="J18" i="16"/>
  <c r="J36" i="16" s="1"/>
  <c r="H36" i="16"/>
  <c r="D37" i="76"/>
  <c r="H99" i="74" l="1"/>
  <c r="I99" i="74"/>
  <c r="B99" i="74"/>
  <c r="G99" i="74"/>
  <c r="F37" i="76"/>
  <c r="D43" i="76"/>
  <c r="E78" i="56"/>
  <c r="F90" i="56"/>
  <c r="E44" i="76"/>
  <c r="E45" i="76" s="1"/>
  <c r="F75" i="56"/>
  <c r="F72" i="56"/>
  <c r="F77" i="56"/>
  <c r="F73" i="56"/>
  <c r="F76" i="56"/>
  <c r="F69" i="56"/>
  <c r="F71" i="56"/>
  <c r="F68" i="56"/>
  <c r="F70" i="56"/>
  <c r="F74" i="56"/>
  <c r="H100" i="74" l="1"/>
  <c r="B100" i="74"/>
  <c r="G100" i="74"/>
  <c r="I100" i="74"/>
  <c r="F88" i="56"/>
  <c r="F84" i="56"/>
  <c r="F91" i="56"/>
  <c r="F89" i="56"/>
  <c r="F83" i="56"/>
  <c r="F87" i="56"/>
  <c r="F86" i="56"/>
  <c r="F82" i="56"/>
  <c r="F81" i="56"/>
  <c r="F85" i="56"/>
  <c r="F80" i="56"/>
  <c r="E76" i="56"/>
  <c r="G76" i="56" s="1"/>
  <c r="E70" i="56"/>
  <c r="G70" i="56" s="1"/>
  <c r="E74" i="56"/>
  <c r="G74" i="56" s="1"/>
  <c r="E75" i="56"/>
  <c r="G75" i="56" s="1"/>
  <c r="E71" i="56"/>
  <c r="G71" i="56" s="1"/>
  <c r="E69" i="56"/>
  <c r="G69" i="56" s="1"/>
  <c r="E73" i="56"/>
  <c r="G73" i="56" s="1"/>
  <c r="E68" i="56"/>
  <c r="G68" i="56" s="1"/>
  <c r="E77" i="56"/>
  <c r="G77" i="56" s="1"/>
  <c r="E72" i="56"/>
  <c r="G72" i="56" s="1"/>
  <c r="D44" i="76"/>
  <c r="D45" i="76" s="1"/>
  <c r="E90" i="56"/>
  <c r="C105" i="80"/>
  <c r="F105" i="80" s="1"/>
  <c r="E65" i="80" s="1"/>
  <c r="C113" i="80"/>
  <c r="F113" i="80" s="1"/>
  <c r="E73" i="80" s="1"/>
  <c r="C108" i="80"/>
  <c r="F108" i="80" s="1"/>
  <c r="E68" i="80" s="1"/>
  <c r="C104" i="80"/>
  <c r="F104" i="80" s="1"/>
  <c r="E64" i="80" s="1"/>
  <c r="C107" i="80"/>
  <c r="F107" i="80" s="1"/>
  <c r="E67" i="80" s="1"/>
  <c r="C106" i="80"/>
  <c r="F106" i="80" s="1"/>
  <c r="E66" i="80" s="1"/>
  <c r="C110" i="80"/>
  <c r="F110" i="80" s="1"/>
  <c r="E70" i="80" s="1"/>
  <c r="C111" i="80"/>
  <c r="F111" i="80" s="1"/>
  <c r="E71" i="80" s="1"/>
  <c r="C112" i="80"/>
  <c r="F112" i="80" s="1"/>
  <c r="E72" i="80" s="1"/>
  <c r="F43" i="76"/>
  <c r="C109" i="80"/>
  <c r="F109" i="80" s="1"/>
  <c r="E69" i="80" s="1"/>
  <c r="B101" i="74" l="1"/>
  <c r="I101" i="74"/>
  <c r="H101" i="74"/>
  <c r="G101" i="74"/>
  <c r="E80" i="56"/>
  <c r="G80" i="56" s="1"/>
  <c r="E91" i="56"/>
  <c r="E87" i="56"/>
  <c r="G87" i="56" s="1"/>
  <c r="F19" i="5" s="1"/>
  <c r="G19" i="5" s="1"/>
  <c r="E84" i="56"/>
  <c r="G84" i="56" s="1"/>
  <c r="F16" i="5" s="1"/>
  <c r="G16" i="5" s="1"/>
  <c r="E81" i="56"/>
  <c r="G81" i="56" s="1"/>
  <c r="F13" i="5" s="1"/>
  <c r="G13" i="5" s="1"/>
  <c r="E82" i="56"/>
  <c r="G82" i="56" s="1"/>
  <c r="F14" i="5" s="1"/>
  <c r="G14" i="5" s="1"/>
  <c r="E89" i="56"/>
  <c r="G89" i="56" s="1"/>
  <c r="F21" i="5" s="1"/>
  <c r="G21" i="5" s="1"/>
  <c r="E86" i="56"/>
  <c r="G86" i="56" s="1"/>
  <c r="F18" i="5" s="1"/>
  <c r="G18" i="5" s="1"/>
  <c r="E85" i="56"/>
  <c r="G85" i="56" s="1"/>
  <c r="F17" i="5" s="1"/>
  <c r="G17" i="5" s="1"/>
  <c r="E88" i="56"/>
  <c r="G88" i="56" s="1"/>
  <c r="F20" i="5" s="1"/>
  <c r="G20" i="5" s="1"/>
  <c r="E83" i="56"/>
  <c r="G83" i="56" s="1"/>
  <c r="F15" i="5" s="1"/>
  <c r="G15" i="5" s="1"/>
  <c r="F12" i="5"/>
  <c r="G78" i="56"/>
  <c r="C85" i="80"/>
  <c r="F85" i="80" s="1"/>
  <c r="C70" i="80" s="1"/>
  <c r="C84" i="80"/>
  <c r="F84" i="80" s="1"/>
  <c r="C69" i="80" s="1"/>
  <c r="C82" i="80"/>
  <c r="F82" i="80" s="1"/>
  <c r="C67" i="80" s="1"/>
  <c r="C88" i="80"/>
  <c r="F88" i="80" s="1"/>
  <c r="C73" i="80" s="1"/>
  <c r="C14" i="69"/>
  <c r="C86" i="80"/>
  <c r="F86" i="80" s="1"/>
  <c r="C71" i="80" s="1"/>
  <c r="C83" i="80"/>
  <c r="F83" i="80" s="1"/>
  <c r="C68" i="80" s="1"/>
  <c r="C79" i="80"/>
  <c r="F79" i="80" s="1"/>
  <c r="C64" i="80" s="1"/>
  <c r="C87" i="80"/>
  <c r="F87" i="80" s="1"/>
  <c r="C72" i="80" s="1"/>
  <c r="C81" i="80"/>
  <c r="F81" i="80" s="1"/>
  <c r="C66" i="80" s="1"/>
  <c r="F44" i="76"/>
  <c r="C80" i="80"/>
  <c r="F80" i="80" s="1"/>
  <c r="C65" i="80" s="1"/>
  <c r="H102" i="74" l="1"/>
  <c r="G102" i="74"/>
  <c r="B102" i="74"/>
  <c r="I102" i="74"/>
  <c r="D54" i="80"/>
  <c r="D53" i="80"/>
  <c r="F22" i="5" a="1"/>
  <c r="F22" i="5" s="1"/>
  <c r="G22" i="5" s="1"/>
  <c r="G12" i="5"/>
  <c r="F45" i="76"/>
  <c r="C15" i="69"/>
  <c r="D51" i="80"/>
  <c r="D52" i="80"/>
  <c r="G90" i="56"/>
  <c r="G91" i="56" s="1"/>
  <c r="D45" i="80"/>
  <c r="D46" i="80"/>
  <c r="D49" i="80"/>
  <c r="D50" i="80"/>
  <c r="D40" i="80"/>
  <c r="D39" i="80"/>
  <c r="D37" i="80"/>
  <c r="D38" i="80"/>
  <c r="D48" i="80"/>
  <c r="D47" i="80"/>
  <c r="D41" i="80"/>
  <c r="D42" i="80"/>
  <c r="D56" i="80"/>
  <c r="D55" i="80"/>
  <c r="D44" i="80"/>
  <c r="D43" i="80"/>
  <c r="I103" i="74" l="1"/>
  <c r="G103" i="74"/>
  <c r="H103" i="74"/>
  <c r="B103" i="74"/>
  <c r="C16" i="69"/>
  <c r="G104" i="74" l="1"/>
  <c r="H104" i="74"/>
  <c r="I104" i="74"/>
  <c r="B104" i="74"/>
  <c r="C21" i="69"/>
  <c r="C27" i="69"/>
  <c r="B105" i="74" l="1"/>
  <c r="H105" i="74"/>
  <c r="I105" i="74"/>
  <c r="G105" i="74"/>
  <c r="E73" i="66"/>
  <c r="H106" i="74" l="1"/>
  <c r="G106" i="74"/>
  <c r="B106" i="74"/>
  <c r="I106" i="74"/>
  <c r="I107" i="74" l="1"/>
  <c r="H107" i="74"/>
  <c r="G107" i="74"/>
  <c r="B107" i="74"/>
  <c r="D71" i="87"/>
  <c r="E67" i="87" s="1"/>
  <c r="E71" i="87" s="1"/>
  <c r="F67" i="87" s="1"/>
  <c r="F71" i="87" s="1"/>
  <c r="G67" i="87" s="1"/>
  <c r="G71" i="87" s="1"/>
  <c r="H67" i="87" s="1"/>
  <c r="H71" i="87" s="1"/>
  <c r="G108" i="74" l="1"/>
  <c r="B108" i="74"/>
  <c r="I108" i="74"/>
  <c r="H108" i="74"/>
  <c r="D29" i="87"/>
  <c r="E25" i="87" s="1"/>
  <c r="E29" i="87" s="1"/>
  <c r="F25" i="87" s="1"/>
  <c r="F29" i="87" s="1"/>
  <c r="G25" i="87" s="1"/>
  <c r="G29" i="87" s="1"/>
  <c r="H25" i="87" s="1"/>
  <c r="H29" i="87" s="1"/>
  <c r="H109" i="74" l="1"/>
  <c r="I109" i="74"/>
  <c r="B109" i="74"/>
  <c r="G109" i="74"/>
  <c r="D41" i="87"/>
  <c r="E37" i="87" s="1"/>
  <c r="E41" i="87" s="1"/>
  <c r="F37" i="87" s="1"/>
  <c r="F41" i="87" s="1"/>
  <c r="G37" i="87" s="1"/>
  <c r="G41" i="87" s="1"/>
  <c r="H37" i="87" s="1"/>
  <c r="H41" i="87" s="1"/>
  <c r="D53" i="87"/>
  <c r="E49" i="87" s="1"/>
  <c r="E53" i="87" s="1"/>
  <c r="F49" i="87" s="1"/>
  <c r="F53" i="87" s="1"/>
  <c r="G49" i="87" s="1"/>
  <c r="G53" i="87" s="1"/>
  <c r="H49" i="87" s="1"/>
  <c r="H53" i="87" s="1"/>
  <c r="H110" i="74" l="1"/>
  <c r="I110" i="74"/>
  <c r="B110" i="74"/>
  <c r="G110" i="74"/>
  <c r="D20" i="87"/>
  <c r="D23" i="87" s="1"/>
  <c r="D59" i="87"/>
  <c r="E55" i="87" s="1"/>
  <c r="E59" i="87" s="1"/>
  <c r="F55" i="87" s="1"/>
  <c r="F59" i="87" s="1"/>
  <c r="G55" i="87" s="1"/>
  <c r="G59" i="87" s="1"/>
  <c r="H55" i="87" s="1"/>
  <c r="H59" i="87" s="1"/>
  <c r="G111" i="74" l="1"/>
  <c r="H111" i="74"/>
  <c r="I111" i="74"/>
  <c r="B111" i="74"/>
  <c r="E18" i="87"/>
  <c r="E20" i="87" s="1"/>
  <c r="E23" i="87" s="1"/>
  <c r="D78" i="87"/>
  <c r="D95" i="87" s="1"/>
  <c r="I112" i="74" l="1"/>
  <c r="H112" i="74"/>
  <c r="B112" i="74"/>
  <c r="G112" i="74"/>
  <c r="F18" i="87"/>
  <c r="F20" i="87" s="1"/>
  <c r="F23" i="87" s="1"/>
  <c r="E78" i="87"/>
  <c r="E95" i="87" s="1"/>
  <c r="H113" i="74" l="1"/>
  <c r="G113" i="74"/>
  <c r="I113" i="74"/>
  <c r="B113" i="74"/>
  <c r="G18" i="87"/>
  <c r="G20" i="87" s="1"/>
  <c r="G23" i="87" s="1"/>
  <c r="F78" i="87"/>
  <c r="F95" i="87" s="1"/>
  <c r="H114" i="74" l="1"/>
  <c r="G114" i="74"/>
  <c r="B114" i="74"/>
  <c r="I114" i="74"/>
  <c r="H18" i="87"/>
  <c r="H20" i="87" s="1"/>
  <c r="H23" i="87" s="1"/>
  <c r="H78" i="87" s="1"/>
  <c r="G78" i="87"/>
  <c r="G95" i="87" s="1"/>
  <c r="I115" i="74" l="1"/>
  <c r="G115" i="74"/>
  <c r="H115" i="74"/>
  <c r="B115" i="74"/>
  <c r="C141" i="80"/>
  <c r="C144" i="80"/>
  <c r="C154" i="80"/>
  <c r="C140" i="80"/>
  <c r="C149" i="80"/>
  <c r="C155" i="80"/>
  <c r="C142" i="80"/>
  <c r="C145" i="80"/>
  <c r="C137" i="80"/>
  <c r="C152" i="80"/>
  <c r="C157" i="80"/>
  <c r="C138" i="80"/>
  <c r="C156" i="80"/>
  <c r="C153" i="80"/>
  <c r="C151" i="80"/>
  <c r="C150" i="80"/>
  <c r="C143" i="80"/>
  <c r="H95" i="87"/>
  <c r="C146" i="80"/>
  <c r="C158" i="80"/>
  <c r="C139" i="80"/>
  <c r="H116" i="74" l="1"/>
  <c r="B116" i="74"/>
  <c r="I116" i="74"/>
  <c r="G116" i="74"/>
  <c r="F152" i="80"/>
  <c r="I152" i="80" s="1"/>
  <c r="J67" i="80" s="1"/>
  <c r="G152" i="80"/>
  <c r="J152" i="80" s="1"/>
  <c r="K67" i="80" s="1"/>
  <c r="G151" i="80"/>
  <c r="J151" i="80" s="1"/>
  <c r="K66" i="80" s="1"/>
  <c r="F151" i="80"/>
  <c r="I151" i="80" s="1"/>
  <c r="J66" i="80" s="1"/>
  <c r="F155" i="80"/>
  <c r="I155" i="80" s="1"/>
  <c r="J70" i="80" s="1"/>
  <c r="G155" i="80"/>
  <c r="J155" i="80" s="1"/>
  <c r="K70" i="80" s="1"/>
  <c r="F153" i="80"/>
  <c r="I153" i="80" s="1"/>
  <c r="J68" i="80" s="1"/>
  <c r="G153" i="80"/>
  <c r="J153" i="80" s="1"/>
  <c r="K68" i="80" s="1"/>
  <c r="G157" i="80"/>
  <c r="J157" i="80" s="1"/>
  <c r="K72" i="80" s="1"/>
  <c r="F157" i="80"/>
  <c r="I157" i="80" s="1"/>
  <c r="J72" i="80" s="1"/>
  <c r="F149" i="80"/>
  <c r="I149" i="80" s="1"/>
  <c r="J64" i="80" s="1"/>
  <c r="G149" i="80"/>
  <c r="J149" i="80" s="1"/>
  <c r="K64" i="80" s="1"/>
  <c r="G140" i="80"/>
  <c r="J140" i="80" s="1"/>
  <c r="I67" i="80" s="1"/>
  <c r="F140" i="80"/>
  <c r="I140" i="80" s="1"/>
  <c r="H67" i="80" s="1"/>
  <c r="F138" i="80"/>
  <c r="I138" i="80" s="1"/>
  <c r="H65" i="80" s="1"/>
  <c r="G138" i="80"/>
  <c r="J138" i="80" s="1"/>
  <c r="I65" i="80" s="1"/>
  <c r="G145" i="80"/>
  <c r="J145" i="80" s="1"/>
  <c r="I72" i="80" s="1"/>
  <c r="F145" i="80"/>
  <c r="I145" i="80" s="1"/>
  <c r="H72" i="80" s="1"/>
  <c r="F139" i="80"/>
  <c r="I139" i="80" s="1"/>
  <c r="H66" i="80" s="1"/>
  <c r="G139" i="80"/>
  <c r="J139" i="80" s="1"/>
  <c r="I66" i="80" s="1"/>
  <c r="G146" i="80"/>
  <c r="J146" i="80" s="1"/>
  <c r="I73" i="80" s="1"/>
  <c r="F146" i="80"/>
  <c r="I146" i="80" s="1"/>
  <c r="H73" i="80" s="1"/>
  <c r="F154" i="80"/>
  <c r="I154" i="80" s="1"/>
  <c r="J69" i="80" s="1"/>
  <c r="G154" i="80"/>
  <c r="J154" i="80" s="1"/>
  <c r="K69" i="80" s="1"/>
  <c r="G150" i="80"/>
  <c r="J150" i="80" s="1"/>
  <c r="K65" i="80" s="1"/>
  <c r="F150" i="80"/>
  <c r="I150" i="80" s="1"/>
  <c r="J65" i="80" s="1"/>
  <c r="G144" i="80"/>
  <c r="J144" i="80" s="1"/>
  <c r="I71" i="80" s="1"/>
  <c r="F144" i="80"/>
  <c r="I144" i="80" s="1"/>
  <c r="H71" i="80" s="1"/>
  <c r="G156" i="80"/>
  <c r="J156" i="80" s="1"/>
  <c r="K71" i="80" s="1"/>
  <c r="F156" i="80"/>
  <c r="I156" i="80" s="1"/>
  <c r="J71" i="80" s="1"/>
  <c r="F137" i="80"/>
  <c r="I137" i="80" s="1"/>
  <c r="H64" i="80" s="1"/>
  <c r="G137" i="80"/>
  <c r="J137" i="80" s="1"/>
  <c r="I64" i="80" s="1"/>
  <c r="G142" i="80"/>
  <c r="J142" i="80" s="1"/>
  <c r="I69" i="80" s="1"/>
  <c r="F142" i="80"/>
  <c r="I142" i="80" s="1"/>
  <c r="H69" i="80" s="1"/>
  <c r="F158" i="80"/>
  <c r="I158" i="80" s="1"/>
  <c r="J73" i="80" s="1"/>
  <c r="G158" i="80"/>
  <c r="J158" i="80" s="1"/>
  <c r="K73" i="80" s="1"/>
  <c r="C95" i="80"/>
  <c r="E95" i="80" s="1"/>
  <c r="D119" i="80" s="1"/>
  <c r="E119" i="80" s="1"/>
  <c r="G119" i="80" s="1"/>
  <c r="G67" i="80" s="1"/>
  <c r="C99" i="80"/>
  <c r="E99" i="80" s="1"/>
  <c r="D123" i="80" s="1"/>
  <c r="E123" i="80" s="1"/>
  <c r="G123" i="80" s="1"/>
  <c r="G71" i="80" s="1"/>
  <c r="C97" i="80"/>
  <c r="E97" i="80" s="1"/>
  <c r="D121" i="80" s="1"/>
  <c r="E121" i="80" s="1"/>
  <c r="G121" i="80" s="1"/>
  <c r="G69" i="80" s="1"/>
  <c r="C96" i="80"/>
  <c r="E96" i="80" s="1"/>
  <c r="D120" i="80" s="1"/>
  <c r="E120" i="80" s="1"/>
  <c r="G120" i="80" s="1"/>
  <c r="G68" i="80" s="1"/>
  <c r="C94" i="80"/>
  <c r="E94" i="80" s="1"/>
  <c r="D118" i="80" s="1"/>
  <c r="E118" i="80" s="1"/>
  <c r="G118" i="80" s="1"/>
  <c r="G66" i="80" s="1"/>
  <c r="C92" i="80"/>
  <c r="E92" i="80" s="1"/>
  <c r="D116" i="80" s="1"/>
  <c r="E116" i="80" s="1"/>
  <c r="G116" i="80" s="1"/>
  <c r="G64" i="80" s="1"/>
  <c r="C98" i="80"/>
  <c r="E98" i="80" s="1"/>
  <c r="D122" i="80" s="1"/>
  <c r="E122" i="80" s="1"/>
  <c r="G122" i="80" s="1"/>
  <c r="G70" i="80" s="1"/>
  <c r="C23" i="69"/>
  <c r="C24" i="69" s="1"/>
  <c r="C100" i="80"/>
  <c r="E100" i="80" s="1"/>
  <c r="D124" i="80" s="1"/>
  <c r="E124" i="80" s="1"/>
  <c r="G124" i="80" s="1"/>
  <c r="G72" i="80" s="1"/>
  <c r="C93" i="80"/>
  <c r="E93" i="80" s="1"/>
  <c r="D117" i="80" s="1"/>
  <c r="E117" i="80" s="1"/>
  <c r="G117" i="80" s="1"/>
  <c r="G65" i="80" s="1"/>
  <c r="C101" i="80"/>
  <c r="E101" i="80" s="1"/>
  <c r="D125" i="80" s="1"/>
  <c r="E125" i="80" s="1"/>
  <c r="G125" i="80" s="1"/>
  <c r="G73" i="80" s="1"/>
  <c r="G143" i="80"/>
  <c r="J143" i="80" s="1"/>
  <c r="I70" i="80" s="1"/>
  <c r="F143" i="80"/>
  <c r="I143" i="80" s="1"/>
  <c r="H70" i="80" s="1"/>
  <c r="G141" i="80"/>
  <c r="J141" i="80" s="1"/>
  <c r="I68" i="80" s="1"/>
  <c r="F141" i="80"/>
  <c r="I141" i="80" s="1"/>
  <c r="H68" i="80" s="1"/>
  <c r="I117" i="74" l="1"/>
  <c r="B117" i="74"/>
  <c r="H117" i="74"/>
  <c r="G117" i="74"/>
  <c r="E56" i="80"/>
  <c r="E55" i="80"/>
  <c r="F38" i="80"/>
  <c r="F37" i="80"/>
  <c r="F44" i="80"/>
  <c r="F43" i="80"/>
  <c r="E54" i="80"/>
  <c r="E53" i="80"/>
  <c r="E45" i="80"/>
  <c r="E46" i="80"/>
  <c r="G46" i="80" s="1"/>
  <c r="D15" i="84" s="1"/>
  <c r="E37" i="80"/>
  <c r="G37" i="80" s="1"/>
  <c r="C11" i="84" s="1"/>
  <c r="E38" i="80"/>
  <c r="G38" i="80" s="1"/>
  <c r="D11" i="84" s="1"/>
  <c r="E42" i="80"/>
  <c r="E41" i="80"/>
  <c r="E50" i="80"/>
  <c r="E49" i="80"/>
  <c r="E39" i="80"/>
  <c r="E40" i="80"/>
  <c r="F51" i="80"/>
  <c r="F52" i="80"/>
  <c r="E43" i="80"/>
  <c r="E44" i="80"/>
  <c r="F46" i="80"/>
  <c r="F45" i="80"/>
  <c r="F42" i="80"/>
  <c r="F41" i="80"/>
  <c r="E47" i="80"/>
  <c r="E48" i="80"/>
  <c r="F56" i="80"/>
  <c r="F55" i="80"/>
  <c r="F48" i="80"/>
  <c r="F47" i="80"/>
  <c r="F53" i="80"/>
  <c r="F54" i="80"/>
  <c r="F40" i="80"/>
  <c r="F39" i="80"/>
  <c r="E52" i="80"/>
  <c r="E51" i="80"/>
  <c r="G51" i="80" s="1"/>
  <c r="C18" i="84" s="1"/>
  <c r="F50" i="80"/>
  <c r="F49" i="80"/>
  <c r="G53" i="80" l="1"/>
  <c r="C19" i="84" s="1"/>
  <c r="G52" i="80"/>
  <c r="D18" i="84" s="1"/>
  <c r="G44" i="80"/>
  <c r="D14" i="84" s="1"/>
  <c r="G45" i="80"/>
  <c r="C15" i="84" s="1"/>
  <c r="G40" i="80"/>
  <c r="D12" i="84" s="1"/>
  <c r="G50" i="80"/>
  <c r="D17" i="84" s="1"/>
  <c r="G49" i="80"/>
  <c r="C17" i="84" s="1"/>
  <c r="G41" i="80"/>
  <c r="C13" i="84" s="1"/>
  <c r="B118" i="74"/>
  <c r="H118" i="74"/>
  <c r="I118" i="74"/>
  <c r="G118" i="74"/>
  <c r="G42" i="80"/>
  <c r="D13" i="84" s="1"/>
  <c r="G47" i="80"/>
  <c r="C16" i="84" s="1"/>
  <c r="G54" i="80"/>
  <c r="D19" i="84" s="1"/>
  <c r="G48" i="80"/>
  <c r="D16" i="84" s="1"/>
  <c r="G43" i="80"/>
  <c r="C14" i="84" s="1"/>
  <c r="G55" i="80"/>
  <c r="C20" i="84" s="1"/>
  <c r="G39" i="80"/>
  <c r="C12" i="84" s="1"/>
  <c r="G56" i="80"/>
  <c r="D20" i="84" s="1"/>
  <c r="B119" i="74" l="1"/>
  <c r="G119" i="74"/>
  <c r="H119" i="74"/>
  <c r="I119" i="74"/>
  <c r="L16" i="34"/>
  <c r="N16" i="34" s="1"/>
  <c r="L17" i="34"/>
  <c r="N17" i="34" s="1"/>
  <c r="L18" i="34"/>
  <c r="N18" i="34" s="1"/>
  <c r="I120" i="74" l="1"/>
  <c r="G120" i="74"/>
  <c r="H120" i="74"/>
  <c r="B120" i="74"/>
  <c r="L15" i="34"/>
  <c r="L19" i="34"/>
  <c r="N19" i="34" s="1"/>
  <c r="H121" i="74" l="1"/>
  <c r="B121" i="74"/>
  <c r="G121" i="74"/>
  <c r="I121" i="74"/>
  <c r="N15" i="34"/>
  <c r="B122" i="74" l="1"/>
  <c r="H122" i="74"/>
  <c r="G122" i="74"/>
  <c r="I122" i="74"/>
  <c r="B123" i="74" l="1"/>
  <c r="H123" i="74"/>
  <c r="I123" i="74"/>
  <c r="G123" i="74"/>
  <c r="L20" i="34"/>
  <c r="H59" i="34"/>
  <c r="H124" i="74" l="1"/>
  <c r="G124" i="74"/>
  <c r="I124" i="74"/>
  <c r="B124" i="74"/>
  <c r="N20" i="34"/>
  <c r="L59" i="34"/>
  <c r="H125" i="74" l="1"/>
  <c r="G125" i="74"/>
  <c r="B125" i="74"/>
  <c r="I125" i="74"/>
  <c r="N59" i="34"/>
  <c r="I126" i="74" l="1"/>
  <c r="B126" i="74"/>
  <c r="H126" i="74"/>
  <c r="G126" i="74"/>
  <c r="I127" i="74" l="1"/>
  <c r="G127" i="74"/>
  <c r="H127" i="74"/>
  <c r="B127" i="74"/>
  <c r="Q15" i="34"/>
  <c r="Q20" i="34"/>
  <c r="Q18" i="34"/>
  <c r="Q17" i="34"/>
  <c r="Q19" i="34"/>
  <c r="I128" i="74" l="1"/>
  <c r="B128" i="74"/>
  <c r="H128" i="74"/>
  <c r="G128" i="74"/>
  <c r="H129" i="74" l="1"/>
  <c r="I129" i="74"/>
  <c r="B129" i="74"/>
  <c r="G129" i="74"/>
  <c r="Q16" i="34"/>
  <c r="Q59" i="34" s="1"/>
  <c r="O59" i="34"/>
  <c r="I130" i="74" l="1"/>
  <c r="H130" i="74"/>
  <c r="G130" i="74"/>
  <c r="B130" i="74"/>
  <c r="G131" i="74" l="1"/>
  <c r="I131" i="74"/>
  <c r="B131" i="74"/>
  <c r="H131" i="74"/>
  <c r="G132" i="74" l="1"/>
  <c r="I132" i="74"/>
  <c r="B132" i="74"/>
  <c r="H132" i="74"/>
  <c r="H133" i="74" l="1"/>
  <c r="I133" i="74"/>
  <c r="G133" i="74"/>
  <c r="B133" i="74"/>
  <c r="B134" i="74" l="1"/>
  <c r="H134" i="74"/>
  <c r="I134" i="74"/>
  <c r="G134" i="74"/>
  <c r="G135" i="74" l="1"/>
  <c r="I135" i="74"/>
  <c r="H135" i="74"/>
  <c r="B135" i="74"/>
  <c r="G136" i="74" l="1"/>
  <c r="H136" i="74"/>
  <c r="B136" i="74"/>
  <c r="I136" i="74"/>
  <c r="I137" i="74" l="1"/>
  <c r="G137" i="74"/>
  <c r="B137" i="74"/>
  <c r="H137" i="74"/>
  <c r="I138" i="74" l="1"/>
  <c r="H138" i="74"/>
  <c r="B138" i="74"/>
  <c r="G138" i="74"/>
  <c r="G139" i="74" l="1"/>
  <c r="I139" i="74"/>
  <c r="H139" i="74"/>
  <c r="B139" i="74"/>
  <c r="I140" i="74" l="1"/>
  <c r="G140" i="74"/>
  <c r="B140" i="74"/>
  <c r="H140" i="74"/>
  <c r="I141" i="74" l="1"/>
  <c r="G141" i="74"/>
  <c r="B141" i="74"/>
  <c r="H141" i="74"/>
  <c r="H142" i="74" l="1"/>
  <c r="G142" i="74"/>
  <c r="I142" i="74"/>
  <c r="B142" i="74"/>
  <c r="G143" i="74" l="1"/>
  <c r="B143" i="74"/>
  <c r="H143" i="74"/>
  <c r="I143" i="74"/>
  <c r="H144" i="74" l="1"/>
  <c r="B144" i="74"/>
  <c r="I144" i="74"/>
  <c r="G144" i="74"/>
  <c r="G145" i="74" l="1"/>
  <c r="H145" i="74"/>
  <c r="I145" i="74"/>
  <c r="B145" i="74"/>
  <c r="H146" i="74" l="1"/>
  <c r="G146" i="74"/>
  <c r="I146" i="74"/>
  <c r="B146" i="74"/>
  <c r="B147" i="74" l="1"/>
  <c r="H147" i="74"/>
  <c r="G147" i="74"/>
  <c r="I147" i="74"/>
  <c r="B148" i="74" l="1"/>
  <c r="H148" i="74"/>
  <c r="I148" i="74"/>
  <c r="G148" i="74"/>
  <c r="G149" i="74" l="1"/>
  <c r="B149" i="74"/>
  <c r="H149" i="74"/>
  <c r="I149" i="74"/>
  <c r="I150" i="74" l="1"/>
  <c r="H150" i="74"/>
  <c r="B150" i="74"/>
  <c r="G150" i="74"/>
  <c r="G151" i="74" l="1"/>
  <c r="H151" i="74"/>
  <c r="B151" i="74"/>
  <c r="I151" i="74"/>
  <c r="I152" i="74" l="1"/>
  <c r="G152" i="74"/>
  <c r="H152" i="74"/>
  <c r="B152" i="74"/>
  <c r="H153" i="74" l="1"/>
  <c r="B153" i="74"/>
  <c r="G153" i="74"/>
  <c r="I153" i="74"/>
  <c r="G154" i="74" l="1"/>
  <c r="B154" i="74"/>
  <c r="H154" i="74"/>
  <c r="I154" i="74"/>
  <c r="H155" i="74" l="1"/>
  <c r="I155" i="74"/>
  <c r="G155" i="74"/>
  <c r="B155" i="74"/>
  <c r="I156" i="74" l="1"/>
  <c r="H156" i="74"/>
  <c r="G156" i="74"/>
  <c r="B156" i="74"/>
  <c r="H157" i="74" l="1"/>
  <c r="G157" i="74"/>
  <c r="B157" i="74"/>
  <c r="I157" i="74"/>
  <c r="B158" i="74" l="1"/>
  <c r="I158" i="74"/>
  <c r="H158" i="74"/>
  <c r="G158" i="74"/>
  <c r="B159" i="74" l="1"/>
  <c r="G159" i="74"/>
  <c r="H159" i="74"/>
  <c r="I159" i="74"/>
  <c r="H160" i="74" l="1"/>
  <c r="I160" i="74"/>
  <c r="B160" i="74"/>
  <c r="G160" i="74"/>
  <c r="G161" i="74" l="1"/>
  <c r="I161" i="74"/>
  <c r="B161" i="74"/>
  <c r="H161" i="74"/>
  <c r="G162" i="74" l="1"/>
  <c r="B162" i="74"/>
  <c r="I162" i="74"/>
  <c r="H162" i="74"/>
  <c r="I163" i="74" l="1"/>
  <c r="G163" i="74"/>
  <c r="B163" i="74"/>
  <c r="H163" i="74"/>
  <c r="I164" i="74" l="1"/>
  <c r="H164" i="74"/>
  <c r="B164" i="74"/>
  <c r="G164" i="74"/>
  <c r="G165" i="74" l="1"/>
  <c r="H165" i="74"/>
  <c r="I165" i="74"/>
  <c r="B165" i="74"/>
  <c r="G166" i="74" l="1"/>
  <c r="H166" i="74"/>
  <c r="B166" i="74"/>
  <c r="I166" i="74"/>
  <c r="B167" i="74" l="1"/>
  <c r="H167" i="74"/>
  <c r="I167" i="74"/>
  <c r="G167" i="74"/>
  <c r="B168" i="74" l="1"/>
  <c r="G168" i="74"/>
  <c r="H168" i="74"/>
  <c r="I168" i="74"/>
  <c r="I169" i="74" l="1"/>
  <c r="G169" i="74"/>
  <c r="H169" i="74"/>
  <c r="B169" i="74"/>
  <c r="I170" i="74" l="1"/>
  <c r="G170" i="74"/>
  <c r="H170" i="74"/>
  <c r="B170" i="74"/>
  <c r="G171" i="74" l="1"/>
  <c r="B171" i="74"/>
  <c r="H171" i="74"/>
  <c r="I171" i="74"/>
  <c r="I172" i="74" l="1"/>
  <c r="G172" i="74"/>
  <c r="B172" i="74"/>
  <c r="H172" i="74"/>
  <c r="H173" i="74" l="1"/>
  <c r="I173" i="74"/>
  <c r="G173" i="74"/>
  <c r="B173" i="74"/>
  <c r="I174" i="74" l="1"/>
  <c r="B174" i="74"/>
  <c r="G174" i="74"/>
  <c r="H174" i="74"/>
  <c r="B175" i="74" l="1"/>
  <c r="H175" i="74"/>
  <c r="G175" i="74"/>
  <c r="I175" i="74"/>
  <c r="I176" i="74" l="1"/>
  <c r="G176" i="74"/>
  <c r="H176" i="74"/>
  <c r="B176" i="74"/>
  <c r="I177" i="74" l="1"/>
  <c r="G177" i="74"/>
  <c r="B177" i="74"/>
  <c r="H177" i="74"/>
  <c r="G178" i="74" l="1"/>
  <c r="I178" i="74"/>
  <c r="B178" i="74"/>
  <c r="H178" i="74"/>
  <c r="B179" i="74" l="1"/>
  <c r="G179" i="74"/>
  <c r="H179" i="74"/>
  <c r="I179" i="74"/>
  <c r="G180" i="74" l="1"/>
  <c r="I180" i="74"/>
  <c r="H180" i="74"/>
  <c r="B180" i="74"/>
  <c r="B181" i="74" l="1"/>
  <c r="G181" i="74"/>
  <c r="H181" i="74"/>
  <c r="I181" i="74"/>
  <c r="B182" i="74" l="1"/>
  <c r="G182" i="74"/>
  <c r="I182" i="74"/>
  <c r="H182" i="74"/>
  <c r="H183" i="74" l="1"/>
  <c r="I183" i="74"/>
  <c r="B183" i="74"/>
  <c r="G183" i="74"/>
  <c r="G184" i="74" l="1"/>
  <c r="H184" i="74"/>
  <c r="B184" i="74"/>
  <c r="I184" i="74"/>
  <c r="H185" i="74" l="1"/>
  <c r="I185" i="74"/>
  <c r="B185" i="74"/>
  <c r="G185" i="74"/>
  <c r="G186" i="74" l="1"/>
  <c r="I186" i="74"/>
  <c r="B186" i="74"/>
  <c r="H186" i="74"/>
  <c r="B187" i="74" l="1"/>
  <c r="I187" i="74"/>
  <c r="H187" i="74"/>
  <c r="G187" i="74"/>
  <c r="H188" i="74" l="1"/>
  <c r="G188" i="74"/>
  <c r="I188" i="74"/>
  <c r="B188" i="74"/>
  <c r="I189" i="74" l="1"/>
  <c r="H189" i="74"/>
  <c r="B189" i="74"/>
  <c r="G189" i="74"/>
  <c r="G190" i="74" l="1"/>
  <c r="B190" i="74"/>
  <c r="H190" i="74"/>
  <c r="I190" i="74"/>
  <c r="G191" i="74" l="1"/>
  <c r="H191" i="74"/>
  <c r="I191" i="74"/>
  <c r="B191" i="74"/>
  <c r="H192" i="74" l="1"/>
  <c r="B192" i="74"/>
  <c r="G192" i="74"/>
  <c r="I192" i="74"/>
  <c r="G193" i="74" l="1"/>
  <c r="H193" i="74"/>
  <c r="B193" i="74"/>
  <c r="I193" i="74"/>
  <c r="H194" i="74" l="1"/>
  <c r="I194" i="74"/>
  <c r="B194" i="74"/>
  <c r="G194" i="74"/>
  <c r="H195" i="74" l="1"/>
  <c r="G195" i="74"/>
  <c r="I195" i="74"/>
  <c r="B195" i="74"/>
  <c r="G196" i="74" l="1"/>
  <c r="B196" i="74"/>
  <c r="H196" i="74"/>
  <c r="I196" i="74"/>
  <c r="I197" i="74" l="1"/>
  <c r="B197" i="74"/>
  <c r="G197" i="74"/>
  <c r="H197" i="74"/>
  <c r="H198" i="74" l="1"/>
  <c r="G198" i="74"/>
  <c r="I198" i="74"/>
  <c r="B198" i="74"/>
  <c r="B199" i="74" l="1"/>
  <c r="G199" i="74"/>
  <c r="H199" i="74"/>
  <c r="I199" i="74"/>
  <c r="B200" i="74" l="1"/>
  <c r="I200" i="74"/>
  <c r="H200" i="74"/>
  <c r="G200" i="74"/>
  <c r="G201" i="74" l="1"/>
  <c r="H201" i="74"/>
  <c r="B201" i="74"/>
  <c r="I201" i="74"/>
  <c r="I202" i="74" l="1"/>
  <c r="H202" i="74"/>
  <c r="B202" i="74"/>
  <c r="G202" i="74"/>
  <c r="H203" i="74" l="1"/>
  <c r="I203" i="74"/>
  <c r="G203" i="74"/>
  <c r="B203" i="74"/>
  <c r="G204" i="74" l="1"/>
  <c r="I204" i="74"/>
  <c r="H204" i="74"/>
  <c r="B204" i="74"/>
  <c r="B205" i="74" l="1"/>
  <c r="H205" i="74"/>
  <c r="I205" i="74"/>
  <c r="G205" i="74"/>
  <c r="B206" i="74" l="1"/>
  <c r="G206" i="74"/>
  <c r="H206" i="74"/>
  <c r="I206" i="74"/>
  <c r="H207" i="74" l="1"/>
  <c r="G207" i="74"/>
  <c r="B207" i="74"/>
  <c r="I207" i="74"/>
  <c r="G208" i="74" l="1"/>
  <c r="B208" i="74"/>
  <c r="H208" i="74"/>
  <c r="I208" i="74"/>
  <c r="B209" i="74" l="1"/>
  <c r="I209" i="74"/>
  <c r="G209" i="74"/>
  <c r="H209" i="74"/>
  <c r="H210" i="74" l="1"/>
  <c r="B210" i="74"/>
  <c r="I210" i="74"/>
  <c r="G210" i="74"/>
  <c r="G211" i="74" l="1"/>
  <c r="I211" i="74"/>
  <c r="H211" i="74"/>
  <c r="B211" i="74"/>
  <c r="I212" i="74" l="1"/>
  <c r="H212" i="74"/>
  <c r="B212" i="74"/>
  <c r="G212" i="74"/>
  <c r="I213" i="74" l="1"/>
  <c r="B213" i="74"/>
  <c r="H213" i="74"/>
  <c r="G213" i="74"/>
  <c r="H214" i="74" l="1"/>
  <c r="G214" i="74"/>
  <c r="I214" i="74"/>
  <c r="B214" i="74"/>
  <c r="G215" i="74" l="1"/>
  <c r="B215" i="74"/>
  <c r="I215" i="74"/>
  <c r="H215" i="74"/>
  <c r="I216" i="74" l="1"/>
  <c r="H216" i="74"/>
  <c r="B216" i="74"/>
  <c r="G216" i="74"/>
  <c r="B217" i="74" l="1"/>
  <c r="I217" i="74"/>
  <c r="G217" i="74"/>
  <c r="H217" i="74"/>
  <c r="B218" i="74" l="1"/>
  <c r="H218" i="74"/>
  <c r="G218" i="74"/>
  <c r="I218" i="74"/>
  <c r="G219" i="74" l="1"/>
  <c r="H219" i="74"/>
  <c r="B219" i="74"/>
  <c r="I219" i="74"/>
  <c r="H220" i="74" l="1"/>
  <c r="G220" i="74"/>
  <c r="B220" i="74"/>
  <c r="I220" i="74"/>
  <c r="I221" i="74" l="1"/>
  <c r="B221" i="74"/>
  <c r="G221" i="74"/>
  <c r="H221" i="74"/>
  <c r="G222" i="74" l="1"/>
  <c r="B222" i="74"/>
  <c r="I222" i="74"/>
  <c r="H222" i="74"/>
  <c r="B223" i="74" l="1"/>
  <c r="I223" i="74"/>
  <c r="G223" i="74"/>
  <c r="H223" i="74"/>
  <c r="G224" i="74" l="1"/>
  <c r="B224" i="74"/>
  <c r="I224" i="74"/>
  <c r="H224" i="74"/>
  <c r="H225" i="74" l="1"/>
  <c r="I225" i="74"/>
  <c r="G225" i="74"/>
  <c r="B225" i="74"/>
  <c r="H226" i="74" l="1"/>
  <c r="I226" i="74"/>
  <c r="G226" i="74"/>
  <c r="B226" i="74"/>
  <c r="H227" i="74" l="1"/>
  <c r="G227" i="74"/>
  <c r="B227" i="74"/>
  <c r="I227" i="74"/>
  <c r="I228" i="74" l="1"/>
  <c r="G228" i="74"/>
  <c r="H228" i="74"/>
  <c r="B228" i="74"/>
  <c r="G229" i="74" l="1"/>
  <c r="I229" i="74"/>
  <c r="B229" i="74"/>
  <c r="H229" i="74"/>
  <c r="H230" i="74" l="1"/>
  <c r="B230" i="74"/>
  <c r="G230" i="74"/>
  <c r="I230" i="74"/>
  <c r="H231" i="74" l="1"/>
  <c r="B231" i="74"/>
  <c r="G231" i="74"/>
  <c r="I231" i="74"/>
  <c r="H232" i="74" l="1"/>
  <c r="B232" i="74"/>
  <c r="I232" i="74"/>
  <c r="G232" i="74"/>
  <c r="H233" i="74" l="1"/>
  <c r="G233" i="74"/>
  <c r="I233" i="74"/>
  <c r="B233" i="74"/>
  <c r="I234" i="74" l="1"/>
  <c r="B234" i="74"/>
  <c r="G234" i="74"/>
  <c r="H234" i="74"/>
  <c r="I235" i="74" l="1"/>
  <c r="G235" i="74"/>
  <c r="H235" i="74"/>
  <c r="B235" i="74"/>
  <c r="B236" i="74" l="1"/>
  <c r="G236" i="74"/>
  <c r="H236" i="74"/>
  <c r="I236" i="74"/>
  <c r="H237" i="74" l="1"/>
  <c r="B237" i="74"/>
  <c r="G237" i="74"/>
  <c r="I237" i="74"/>
  <c r="H238" i="74" l="1"/>
  <c r="B238" i="74"/>
  <c r="G238" i="74"/>
  <c r="I238" i="74"/>
  <c r="G239" i="74" l="1"/>
  <c r="B239" i="74"/>
  <c r="H239" i="74"/>
  <c r="I239" i="74"/>
  <c r="G240" i="74" l="1"/>
  <c r="H240" i="74"/>
  <c r="B240" i="74"/>
  <c r="I240" i="74"/>
  <c r="I241" i="74" l="1"/>
  <c r="H241" i="74"/>
  <c r="G241" i="74"/>
  <c r="B241" i="74"/>
  <c r="I242" i="74" l="1"/>
  <c r="H242" i="74"/>
  <c r="B242" i="74"/>
  <c r="G242" i="74"/>
  <c r="B243" i="74" l="1"/>
  <c r="H243" i="74"/>
  <c r="I243" i="74"/>
  <c r="G243" i="74"/>
  <c r="H244" i="74" l="1"/>
  <c r="B244" i="74"/>
  <c r="I244" i="74"/>
  <c r="G244" i="74"/>
  <c r="B245" i="74" l="1"/>
  <c r="G245" i="74"/>
  <c r="I245" i="74"/>
  <c r="H245" i="74"/>
  <c r="B246" i="74" l="1"/>
  <c r="G246" i="74"/>
  <c r="H246" i="74"/>
  <c r="I246" i="74"/>
  <c r="I247" i="74" l="1"/>
  <c r="G247" i="74"/>
  <c r="B247" i="74"/>
  <c r="H247" i="74"/>
  <c r="G248" i="74" l="1"/>
  <c r="H248" i="74"/>
  <c r="B248" i="74"/>
  <c r="I248" i="74"/>
  <c r="I249" i="74" l="1"/>
  <c r="H249" i="74"/>
  <c r="B249" i="74"/>
  <c r="G249" i="74"/>
  <c r="I250" i="74" l="1"/>
  <c r="G250" i="74"/>
  <c r="H250" i="74"/>
  <c r="B250" i="74"/>
  <c r="H251" i="74" l="1"/>
  <c r="B251" i="74"/>
  <c r="I251" i="74"/>
  <c r="G251" i="74"/>
  <c r="H252" i="74" l="1"/>
  <c r="B252" i="74"/>
  <c r="G252" i="74"/>
  <c r="I252" i="74"/>
  <c r="G253" i="74" l="1"/>
  <c r="I253" i="74"/>
  <c r="H253" i="74"/>
  <c r="B253" i="74"/>
  <c r="H254" i="74" l="1"/>
  <c r="G254" i="74"/>
  <c r="B254" i="74"/>
  <c r="I254" i="74"/>
  <c r="B255" i="74" l="1"/>
  <c r="H255" i="74"/>
  <c r="G255" i="74"/>
  <c r="I255" i="74"/>
  <c r="H256" i="74" l="1"/>
  <c r="B256" i="74"/>
  <c r="I256" i="74"/>
  <c r="G256" i="74"/>
  <c r="H257" i="74" l="1"/>
  <c r="I257" i="74"/>
  <c r="B257" i="74"/>
  <c r="G257" i="74"/>
  <c r="I258" i="74" l="1"/>
  <c r="H258" i="74"/>
  <c r="G258" i="74"/>
  <c r="B258" i="74"/>
  <c r="B259" i="74" l="1"/>
  <c r="G259" i="74"/>
  <c r="I259" i="74"/>
  <c r="H259" i="74"/>
  <c r="I260" i="74" l="1"/>
  <c r="G260" i="74"/>
  <c r="B260" i="74"/>
  <c r="H260" i="74"/>
  <c r="B261" i="74" l="1"/>
  <c r="H261" i="74"/>
  <c r="G261" i="74"/>
  <c r="I261" i="74"/>
  <c r="I262" i="74" l="1"/>
  <c r="B262" i="74"/>
  <c r="H262" i="74"/>
  <c r="G262" i="74"/>
  <c r="G263" i="74" l="1"/>
  <c r="B263" i="74"/>
  <c r="I263" i="74"/>
  <c r="H263" i="74"/>
  <c r="H264" i="74" l="1"/>
  <c r="G264" i="74"/>
  <c r="I264" i="74"/>
  <c r="B264" i="74"/>
  <c r="G265" i="74" l="1"/>
  <c r="H265" i="74"/>
  <c r="I265" i="74"/>
  <c r="B265" i="74"/>
  <c r="G266" i="74" l="1"/>
  <c r="B266" i="74"/>
  <c r="H266" i="74"/>
  <c r="I266" i="74"/>
  <c r="H267" i="74" l="1"/>
  <c r="G267" i="74"/>
  <c r="I267" i="74"/>
  <c r="B267" i="74"/>
  <c r="H268" i="74" l="1"/>
  <c r="G268" i="74"/>
  <c r="B268" i="74"/>
  <c r="I268" i="74"/>
  <c r="G269" i="74" l="1"/>
  <c r="B269" i="74"/>
  <c r="H269" i="74"/>
  <c r="I269" i="74"/>
  <c r="B270" i="74" l="1"/>
  <c r="I270" i="74"/>
  <c r="G270" i="74"/>
  <c r="H270" i="74"/>
  <c r="B271" i="74" l="1"/>
  <c r="G271" i="74"/>
  <c r="H271" i="74"/>
  <c r="I271" i="74"/>
  <c r="I272" i="74" l="1"/>
  <c r="B272" i="74"/>
  <c r="G272" i="74"/>
  <c r="H272" i="74"/>
  <c r="B273" i="74" l="1"/>
  <c r="I273" i="74"/>
  <c r="G273" i="74"/>
  <c r="H273" i="74"/>
  <c r="B274" i="74" l="1"/>
  <c r="G274" i="74"/>
  <c r="H274" i="74"/>
  <c r="I274" i="74"/>
  <c r="G275" i="74" l="1"/>
  <c r="B275" i="74"/>
  <c r="I275" i="74"/>
  <c r="H275" i="74"/>
  <c r="I276" i="74" l="1"/>
  <c r="B276" i="74"/>
  <c r="G276" i="74"/>
  <c r="H276" i="74"/>
  <c r="H277" i="74" l="1"/>
  <c r="B277" i="74"/>
  <c r="I277" i="74"/>
  <c r="G277" i="74"/>
  <c r="G278" i="74" l="1"/>
  <c r="B278" i="74"/>
  <c r="H278" i="74"/>
  <c r="I278" i="74"/>
  <c r="G279" i="74" l="1"/>
  <c r="H279" i="74"/>
  <c r="B279" i="74"/>
  <c r="I279" i="74"/>
  <c r="G280" i="74" l="1"/>
  <c r="I280" i="74"/>
  <c r="B280" i="74"/>
  <c r="H280" i="74"/>
  <c r="B281" i="74" l="1"/>
  <c r="I281" i="74"/>
  <c r="G281" i="74"/>
  <c r="H281" i="74"/>
  <c r="B282" i="74" l="1"/>
  <c r="I282" i="74"/>
  <c r="G282" i="74"/>
  <c r="H282" i="74"/>
  <c r="I283" i="74" l="1"/>
  <c r="B283" i="74"/>
  <c r="G283" i="74"/>
  <c r="H283" i="74"/>
  <c r="G284" i="74" l="1"/>
  <c r="I284" i="74"/>
  <c r="B284" i="74"/>
  <c r="H284" i="74"/>
  <c r="G285" i="74" l="1"/>
  <c r="I285" i="74"/>
  <c r="H285" i="74"/>
  <c r="B285" i="74"/>
  <c r="G286" i="74" l="1"/>
  <c r="H286" i="74"/>
  <c r="B286" i="74"/>
  <c r="I286" i="74"/>
  <c r="H287" i="74" l="1"/>
  <c r="I287" i="74"/>
  <c r="G287" i="74"/>
  <c r="B287" i="74"/>
  <c r="H288" i="74" l="1"/>
  <c r="I288" i="74"/>
  <c r="B288" i="74"/>
  <c r="G288" i="74"/>
  <c r="G289" i="74" l="1"/>
  <c r="I289" i="74"/>
  <c r="H289" i="74"/>
  <c r="B289" i="74"/>
  <c r="G290" i="74" l="1"/>
  <c r="I290" i="74"/>
  <c r="B290" i="74"/>
  <c r="H290" i="74"/>
  <c r="B291" i="74" l="1"/>
  <c r="G291" i="74"/>
  <c r="H291" i="74"/>
  <c r="I291" i="74"/>
  <c r="H292" i="74" l="1"/>
  <c r="I292" i="74"/>
  <c r="B292" i="74"/>
  <c r="G292" i="74"/>
  <c r="G293" i="74" l="1"/>
  <c r="H293" i="74"/>
  <c r="B293" i="74"/>
  <c r="I293" i="74"/>
  <c r="I294" i="74" l="1"/>
  <c r="H294" i="74"/>
  <c r="G294" i="74"/>
  <c r="B294" i="74"/>
  <c r="I295" i="74" l="1"/>
  <c r="B295" i="74"/>
  <c r="G295" i="74"/>
  <c r="H295" i="74"/>
  <c r="I296" i="74" l="1"/>
  <c r="B296" i="74"/>
  <c r="G296" i="74"/>
  <c r="H296" i="74"/>
  <c r="B297" i="74" l="1"/>
  <c r="H297" i="74"/>
  <c r="I297" i="74"/>
  <c r="G297" i="74"/>
  <c r="I298" i="74" l="1"/>
  <c r="G298" i="74"/>
  <c r="H298" i="74"/>
  <c r="B298" i="74"/>
  <c r="H299" i="74" l="1"/>
  <c r="G299" i="74"/>
  <c r="I299" i="74"/>
  <c r="B299" i="74"/>
  <c r="I300" i="74" l="1"/>
  <c r="G300" i="74"/>
  <c r="H300" i="74"/>
  <c r="B300" i="74"/>
  <c r="G301" i="74" l="1"/>
  <c r="H301" i="74"/>
  <c r="I301" i="74"/>
  <c r="B301" i="74"/>
  <c r="G302" i="74" l="1"/>
  <c r="H302" i="74"/>
  <c r="I302" i="74"/>
  <c r="B302" i="74"/>
  <c r="G303" i="74" l="1"/>
  <c r="H303" i="74"/>
  <c r="B303" i="74"/>
  <c r="I303" i="74"/>
  <c r="I304" i="74" l="1"/>
  <c r="H304" i="74"/>
  <c r="B304" i="74"/>
  <c r="G304" i="74"/>
  <c r="I305" i="74" l="1"/>
  <c r="B305" i="74"/>
  <c r="H305" i="74"/>
  <c r="G305" i="74"/>
  <c r="H306" i="74" l="1"/>
  <c r="I306" i="74"/>
  <c r="G306" i="74"/>
  <c r="B306" i="74"/>
  <c r="G307" i="74" l="1"/>
  <c r="I307" i="74"/>
  <c r="H307" i="74"/>
  <c r="B307" i="74"/>
  <c r="H308" i="74" l="1"/>
  <c r="I308" i="74"/>
  <c r="B308" i="74"/>
  <c r="G308" i="74"/>
  <c r="I309" i="74" l="1"/>
  <c r="H309" i="74"/>
  <c r="B309" i="74"/>
  <c r="G309" i="74"/>
  <c r="I310" i="74" l="1"/>
  <c r="H310" i="74"/>
  <c r="B310" i="74"/>
  <c r="G310" i="74"/>
  <c r="B311" i="74" l="1"/>
  <c r="I311" i="74"/>
  <c r="G311" i="74"/>
  <c r="H311" i="74"/>
  <c r="G312" i="74" l="1"/>
  <c r="H312" i="74"/>
  <c r="I312" i="74"/>
  <c r="B312" i="74"/>
  <c r="B313" i="74" l="1"/>
  <c r="H313" i="74"/>
  <c r="I313" i="74"/>
  <c r="G313" i="74"/>
  <c r="H314" i="74" l="1"/>
  <c r="I314" i="74"/>
  <c r="G314" i="74"/>
  <c r="B314" i="74"/>
  <c r="B315" i="74" l="1"/>
  <c r="H315" i="74"/>
  <c r="G315" i="74"/>
  <c r="I315" i="74"/>
  <c r="H316" i="74" l="1"/>
  <c r="B316" i="74"/>
  <c r="G316" i="74"/>
  <c r="I316" i="74"/>
  <c r="B317" i="74" l="1"/>
  <c r="G317" i="74"/>
  <c r="I317" i="74"/>
  <c r="H317" i="74"/>
  <c r="G318" i="74" l="1"/>
  <c r="I318" i="74"/>
  <c r="H318" i="74"/>
  <c r="B318" i="74"/>
  <c r="I319" i="74" l="1"/>
  <c r="H319" i="74"/>
  <c r="B319" i="74"/>
  <c r="G319" i="74"/>
  <c r="G320" i="74" l="1"/>
  <c r="I320" i="74"/>
  <c r="B320" i="74"/>
  <c r="H320" i="74"/>
  <c r="G321" i="74" l="1"/>
  <c r="I321" i="74"/>
  <c r="H321" i="74"/>
  <c r="B321" i="74"/>
  <c r="H322" i="74" l="1"/>
  <c r="G322" i="74"/>
  <c r="B322" i="74"/>
  <c r="I322" i="74"/>
  <c r="H323" i="74" l="1"/>
  <c r="B323" i="74"/>
  <c r="I323" i="74"/>
  <c r="G323" i="74"/>
  <c r="H324" i="74" l="1"/>
  <c r="I324" i="74"/>
  <c r="G324" i="74"/>
  <c r="B324" i="74"/>
  <c r="I325" i="74" l="1"/>
  <c r="H325" i="74"/>
  <c r="B325" i="74"/>
  <c r="G325" i="74"/>
  <c r="I326" i="74" l="1"/>
  <c r="G326" i="74"/>
  <c r="H326" i="74"/>
  <c r="B326" i="74"/>
  <c r="B327" i="74" l="1"/>
  <c r="G327" i="74"/>
  <c r="H327" i="74"/>
  <c r="I327" i="74"/>
  <c r="I328" i="74" l="1"/>
  <c r="H328" i="74"/>
  <c r="G328" i="74"/>
  <c r="B328" i="74"/>
  <c r="I329" i="74" l="1"/>
  <c r="G329" i="74"/>
  <c r="B329" i="74"/>
  <c r="H329" i="74"/>
  <c r="B330" i="74" l="1"/>
  <c r="H330" i="74"/>
  <c r="I330" i="74"/>
  <c r="G330" i="74"/>
  <c r="B331" i="74" l="1"/>
  <c r="G331" i="74"/>
  <c r="H331" i="74"/>
  <c r="I331" i="74"/>
  <c r="I332" i="74" l="1"/>
  <c r="H332" i="74"/>
  <c r="B332" i="74"/>
  <c r="G332" i="74"/>
  <c r="B333" i="74" l="1"/>
  <c r="G333" i="74"/>
  <c r="H333" i="74"/>
  <c r="I333" i="74"/>
  <c r="H334" i="74" l="1"/>
  <c r="B334" i="74"/>
  <c r="I334" i="74"/>
  <c r="G334" i="74"/>
  <c r="B335" i="74" l="1"/>
  <c r="G335" i="74"/>
  <c r="H335" i="74"/>
  <c r="I335" i="74"/>
  <c r="I336" i="74" l="1"/>
  <c r="B336" i="74"/>
  <c r="G336" i="74"/>
  <c r="H336" i="74"/>
  <c r="H337" i="74" l="1"/>
  <c r="B337" i="74"/>
  <c r="G337" i="74"/>
  <c r="I337" i="74"/>
  <c r="H338" i="74" l="1"/>
  <c r="B338" i="74"/>
  <c r="I338" i="74"/>
  <c r="G338" i="74"/>
  <c r="B339" i="74" l="1"/>
  <c r="H339" i="74"/>
  <c r="G339" i="74"/>
  <c r="I339" i="74"/>
  <c r="G340" i="74" l="1"/>
  <c r="H340" i="74"/>
  <c r="B340" i="74"/>
  <c r="I340" i="74"/>
  <c r="B341" i="74" l="1"/>
  <c r="G341" i="74"/>
  <c r="I341" i="74"/>
  <c r="H341" i="74"/>
  <c r="H342" i="74" l="1"/>
  <c r="G342" i="74"/>
  <c r="I342" i="74"/>
  <c r="B342" i="74"/>
  <c r="G343" i="74" l="1"/>
  <c r="H343" i="74"/>
  <c r="I343" i="74"/>
  <c r="B343" i="74"/>
  <c r="G344" i="74" l="1"/>
  <c r="B344" i="74"/>
  <c r="I344" i="74"/>
  <c r="H344" i="74"/>
  <c r="G345" i="74" l="1"/>
  <c r="H345" i="74"/>
  <c r="B345" i="74"/>
  <c r="I345" i="74"/>
  <c r="B346" i="74" l="1"/>
  <c r="H346" i="74"/>
  <c r="I346" i="74"/>
  <c r="G346" i="74"/>
  <c r="G347" i="74" l="1"/>
  <c r="I347" i="74"/>
  <c r="H347" i="74"/>
  <c r="B347" i="74"/>
  <c r="B348" i="74" l="1"/>
  <c r="H348" i="74"/>
  <c r="G348" i="74"/>
  <c r="I348" i="74"/>
  <c r="I349" i="74" l="1"/>
  <c r="G349" i="74"/>
  <c r="B349" i="74"/>
  <c r="H349" i="74"/>
  <c r="I350" i="74" l="1"/>
  <c r="B350" i="74"/>
  <c r="H350" i="74"/>
  <c r="G350" i="74"/>
  <c r="I351" i="74" l="1"/>
  <c r="H351" i="74"/>
  <c r="B351" i="74"/>
  <c r="G351" i="74"/>
  <c r="I352" i="74" l="1"/>
  <c r="G352" i="74"/>
  <c r="H352" i="74"/>
  <c r="B352" i="74"/>
  <c r="G353" i="74" l="1"/>
  <c r="B353" i="74"/>
  <c r="H353" i="74"/>
  <c r="I353" i="74"/>
  <c r="H354" i="74" l="1"/>
  <c r="G354" i="74"/>
  <c r="B354" i="74"/>
  <c r="I354" i="74"/>
  <c r="G355" i="74" l="1"/>
  <c r="I355" i="74"/>
  <c r="B355" i="74"/>
  <c r="H355" i="74"/>
  <c r="H356" i="74" l="1"/>
  <c r="I356" i="74"/>
  <c r="G356" i="74"/>
  <c r="B356" i="74"/>
  <c r="I357" i="74" l="1"/>
  <c r="B357" i="74"/>
  <c r="H357" i="74"/>
  <c r="G357" i="74"/>
  <c r="H358" i="74" l="1"/>
  <c r="G358" i="74"/>
  <c r="B358" i="74"/>
  <c r="I358" i="74"/>
  <c r="B359" i="74" l="1"/>
  <c r="I359" i="74"/>
  <c r="G359" i="74"/>
  <c r="H359" i="74"/>
  <c r="I360" i="74" l="1"/>
  <c r="G360" i="74"/>
  <c r="H360" i="74"/>
  <c r="B360" i="74"/>
  <c r="B361" i="74" l="1"/>
  <c r="G361" i="74"/>
  <c r="I361" i="74"/>
  <c r="H361" i="74"/>
  <c r="B362" i="74" l="1"/>
  <c r="I362" i="74"/>
  <c r="H362" i="74"/>
  <c r="G362" i="74"/>
  <c r="B363" i="74" l="1"/>
  <c r="H363" i="74"/>
  <c r="G363" i="74"/>
  <c r="I363" i="74"/>
  <c r="H364" i="74" l="1"/>
  <c r="I364" i="74"/>
  <c r="B364" i="74"/>
  <c r="G364" i="74"/>
  <c r="G365" i="74" l="1"/>
  <c r="H365" i="74"/>
  <c r="B365" i="74"/>
  <c r="I365" i="74"/>
  <c r="B366" i="74" l="1"/>
  <c r="H366" i="74"/>
  <c r="I366" i="74"/>
  <c r="G366" i="74"/>
  <c r="G367" i="74" l="1"/>
  <c r="B367" i="74"/>
  <c r="H367" i="74"/>
  <c r="I367" i="74"/>
  <c r="G368" i="74" l="1"/>
  <c r="I368" i="74"/>
  <c r="H368" i="74"/>
  <c r="B368" i="74"/>
  <c r="G369" i="74" l="1"/>
  <c r="I369" i="74"/>
  <c r="B369" i="74"/>
  <c r="H369" i="74"/>
  <c r="B370" i="74" l="1"/>
  <c r="I370" i="74"/>
  <c r="G370" i="74"/>
  <c r="H370" i="74"/>
  <c r="H371" i="74" l="1"/>
  <c r="G371" i="74"/>
  <c r="B371" i="74"/>
  <c r="I371" i="74"/>
  <c r="B372" i="74" l="1"/>
  <c r="I372" i="74"/>
  <c r="H372" i="74"/>
  <c r="G372" i="74"/>
  <c r="I373" i="74" l="1"/>
  <c r="G373" i="74"/>
  <c r="B373" i="74"/>
  <c r="H373" i="74"/>
  <c r="I374" i="74" l="1"/>
  <c r="G374" i="74"/>
  <c r="B374" i="74"/>
  <c r="H374" i="74"/>
  <c r="H375" i="74" l="1"/>
  <c r="I375" i="74"/>
  <c r="G375" i="74"/>
  <c r="B375" i="74"/>
  <c r="G376" i="74" l="1"/>
  <c r="B376" i="74"/>
  <c r="I376" i="74"/>
  <c r="H376" i="74"/>
  <c r="I377" i="74" l="1"/>
  <c r="H377" i="74"/>
  <c r="B377" i="74"/>
  <c r="G377" i="74"/>
  <c r="I378" i="74" l="1"/>
  <c r="H378" i="74"/>
  <c r="G378" i="74"/>
  <c r="B378" i="74"/>
  <c r="I379" i="74" l="1"/>
  <c r="H379" i="74"/>
  <c r="G379" i="74"/>
  <c r="B379" i="74"/>
  <c r="G380" i="74" l="1"/>
  <c r="B380" i="74"/>
  <c r="I380" i="74"/>
  <c r="H380" i="74"/>
  <c r="G381" i="74" l="1"/>
  <c r="I381" i="74"/>
  <c r="H381" i="74"/>
  <c r="B381" i="74"/>
  <c r="G382" i="74" l="1"/>
  <c r="B382" i="74"/>
  <c r="I382" i="74"/>
  <c r="H382" i="74"/>
  <c r="G383" i="74" l="1"/>
  <c r="B383" i="74"/>
  <c r="H383" i="74"/>
  <c r="I383" i="74"/>
  <c r="I384" i="74" l="1"/>
  <c r="G384" i="74"/>
  <c r="B384" i="74"/>
  <c r="H384" i="74"/>
  <c r="G385" i="74" l="1"/>
  <c r="B385" i="74"/>
  <c r="I385" i="74"/>
  <c r="H385" i="74"/>
  <c r="I386" i="74" l="1"/>
  <c r="H386" i="74"/>
  <c r="B386" i="74"/>
  <c r="G386" i="74"/>
  <c r="B387" i="74" l="1"/>
  <c r="G387" i="74"/>
  <c r="H387" i="74"/>
  <c r="I387" i="74"/>
  <c r="G388" i="74" l="1"/>
  <c r="H388" i="74"/>
  <c r="B388" i="74"/>
  <c r="I388" i="74"/>
  <c r="G389" i="74" l="1"/>
  <c r="H389" i="74"/>
  <c r="B389" i="74"/>
  <c r="I389" i="74"/>
  <c r="B390" i="74" l="1"/>
  <c r="G390" i="74"/>
  <c r="I390" i="74"/>
  <c r="H390" i="74"/>
  <c r="B391" i="74" l="1"/>
  <c r="H391" i="74"/>
  <c r="I391" i="74"/>
  <c r="G391" i="74"/>
  <c r="G392" i="74" l="1"/>
  <c r="B392" i="74"/>
  <c r="H392" i="74"/>
  <c r="I392" i="74"/>
  <c r="B393" i="74" l="1"/>
  <c r="H393" i="74"/>
  <c r="I393" i="74"/>
  <c r="G393" i="74"/>
  <c r="B394" i="74" l="1"/>
  <c r="H394" i="74"/>
  <c r="I394" i="74"/>
  <c r="G394" i="74"/>
  <c r="B395" i="74" l="1"/>
  <c r="G395" i="74"/>
  <c r="H395" i="74"/>
  <c r="I395" i="74"/>
  <c r="G396" i="74" l="1"/>
  <c r="H396" i="74"/>
  <c r="I396" i="74"/>
  <c r="B396" i="74"/>
  <c r="B397" i="74" l="1"/>
  <c r="G397" i="74"/>
  <c r="I397" i="74"/>
  <c r="H397" i="74"/>
  <c r="B398" i="74" l="1"/>
  <c r="H398" i="74"/>
  <c r="G398" i="74"/>
  <c r="I398" i="74"/>
  <c r="I399" i="74" l="1"/>
  <c r="B399" i="74"/>
  <c r="H399" i="74"/>
  <c r="G399" i="74"/>
  <c r="I400" i="74" l="1"/>
  <c r="H400" i="74"/>
  <c r="B400" i="74"/>
  <c r="G400" i="74"/>
  <c r="I401" i="74" l="1"/>
  <c r="G401" i="74"/>
  <c r="B401" i="74"/>
  <c r="H401" i="74"/>
  <c r="B402" i="74" l="1"/>
  <c r="G402" i="74"/>
  <c r="I402" i="74"/>
  <c r="H402" i="74"/>
  <c r="I403" i="74" l="1"/>
  <c r="B403" i="74"/>
  <c r="H403" i="74"/>
  <c r="G403" i="74"/>
  <c r="I404" i="74" l="1"/>
  <c r="B404" i="74"/>
  <c r="H404" i="74"/>
  <c r="G404" i="74"/>
  <c r="B405" i="74" l="1"/>
  <c r="H405" i="74"/>
  <c r="G405" i="74"/>
  <c r="I405" i="74"/>
  <c r="H406" i="74" l="1"/>
  <c r="G406" i="74"/>
  <c r="I406" i="74"/>
  <c r="B406" i="74"/>
  <c r="I407" i="74" l="1"/>
  <c r="H407" i="74"/>
  <c r="B407" i="74"/>
  <c r="G407" i="74"/>
  <c r="H408" i="74" l="1"/>
  <c r="H42" i="74" s="1"/>
  <c r="G408" i="74"/>
  <c r="G42" i="74" s="1"/>
  <c r="B408" i="74"/>
  <c r="I408" i="74"/>
  <c r="I42" i="7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15" authorId="0" shapeId="0" xr:uid="{F02CDA88-3215-408E-9793-2AA182D930A4}">
      <text>
        <r>
          <rPr>
            <sz val="10"/>
            <color indexed="81"/>
            <rFont val="Tahoma"/>
            <family val="2"/>
          </rPr>
          <t>These cells will display if "Scheme pipeline" is chosen in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C23" authorId="0" shapeId="0" xr:uid="{FDEB3878-DD4C-4C79-AD6A-77A0D5C3F107}">
      <text>
        <r>
          <rPr>
            <sz val="9"/>
            <color indexed="81"/>
            <rFont val="Tahoma"/>
            <family val="2"/>
          </rPr>
          <t>The sum of percentages should not be greater than 100%. If above 100%, the cell will be shaded red. If less than 100%, it will be shaded in light red.</t>
        </r>
      </text>
    </comment>
    <comment ref="C35" authorId="0" shapeId="0" xr:uid="{5700A12A-1348-468A-9916-60971AEE00E5}">
      <text>
        <r>
          <rPr>
            <sz val="9"/>
            <color indexed="81"/>
            <rFont val="Tahoma"/>
            <family val="2"/>
          </rPr>
          <t>The sum of percentages should not be greater than 100%. If above 100%, the cell will be shaded red. If less than 100%, it will be shaded in light red.</t>
        </r>
      </text>
    </comment>
    <comment ref="C47" authorId="0" shapeId="0" xr:uid="{A7316928-79EB-4217-8727-7C25665CCA47}">
      <text>
        <r>
          <rPr>
            <sz val="9"/>
            <color indexed="81"/>
            <rFont val="Tahoma"/>
            <family val="2"/>
          </rPr>
          <t>The sum of percentages should not be greater than 100%. If above 100%, the cell will be shaded red. If less than 100%, it will be shaded in light red.</t>
        </r>
      </text>
    </comment>
    <comment ref="C66" authorId="0" shapeId="0" xr:uid="{3CF633B9-79EB-4B12-A84C-8E627BB0F5A1}">
      <text>
        <r>
          <rPr>
            <sz val="9"/>
            <color indexed="81"/>
            <rFont val="Tahoma"/>
            <family val="2"/>
          </rPr>
          <t>The sum of percentages should not be greater than 100%. If above 100%, the cell will be shaded red. If less than 100%, it will be shaded in light red.</t>
        </r>
      </text>
    </comment>
    <comment ref="C78" authorId="0" shapeId="0" xr:uid="{C794CFFA-4498-4944-9248-0618E275B379}">
      <text>
        <r>
          <rPr>
            <sz val="9"/>
            <color indexed="81"/>
            <rFont val="Tahoma"/>
            <family val="2"/>
          </rPr>
          <t>The sum of percentages should not be greater than 100%. If above 100%, the cell will be shaded red. If less than 100%, it will be shaded in light red.</t>
        </r>
      </text>
    </comment>
    <comment ref="C90" authorId="0" shapeId="0" xr:uid="{1820406E-6BC0-46C7-A555-F4ABDCFACB12}">
      <text>
        <r>
          <rPr>
            <sz val="9"/>
            <color indexed="81"/>
            <rFont val="Tahoma"/>
            <family val="2"/>
          </rPr>
          <t>The sum of percentages should not be greater than 100%. If above 100%, the cell will be shaded red. If less than 100%, it will be shaded in light red.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Zhang, Cathy</author>
  </authors>
  <commentList>
    <comment ref="D19" authorId="0" shapeId="0" xr:uid="{359C1011-D8B1-4476-BD54-3C3D993E3DBF}">
      <text>
        <r>
          <rPr>
            <sz val="9"/>
            <color indexed="81"/>
            <rFont val="Tahoma"/>
            <family val="2"/>
          </rPr>
          <t>This item only to be used for periods from the implementation of the revised accounting standard on leases AASB16</t>
        </r>
      </text>
    </comment>
    <comment ref="D27" authorId="0" shapeId="0" xr:uid="{A6BDAE6D-854E-4478-A820-B89E56CF16C5}">
      <text>
        <r>
          <rPr>
            <sz val="9"/>
            <color indexed="81"/>
            <rFont val="Tahoma"/>
            <family val="2"/>
          </rPr>
          <t>This item only to be used for periods from the implementation of the revised accounting standard on leases AASB16</t>
        </r>
      </text>
    </comment>
    <comment ref="D34" authorId="0" shapeId="0" xr:uid="{AD799A5D-F8B1-4268-8AEB-1BFE7E9651BA}">
      <text>
        <r>
          <rPr>
            <sz val="9"/>
            <color indexed="81"/>
            <rFont val="Tahoma"/>
            <family val="2"/>
          </rPr>
          <t>This item only to be used for periods from the implementation of the revised accounting standard on leases AASB16</t>
        </r>
      </text>
    </comment>
    <comment ref="D35" authorId="1" shapeId="0" xr:uid="{EBC061E4-A776-4ED6-8D55-5A23C99BE901}">
      <text>
        <r>
          <rPr>
            <sz val="9"/>
            <color indexed="81"/>
            <rFont val="Tahoma"/>
            <family val="2"/>
          </rPr>
          <t xml:space="preserve">This item should not be greater than </t>
        </r>
        <r>
          <rPr>
            <i/>
            <sz val="9"/>
            <color indexed="81"/>
            <rFont val="Tahoma"/>
            <family val="2"/>
          </rPr>
          <t xml:space="preserve">Revenue </t>
        </r>
        <r>
          <rPr>
            <sz val="9"/>
            <color indexed="81"/>
            <rFont val="Tahoma"/>
            <family val="2"/>
          </rPr>
          <t>within the year. If incorrect figure is recorded, the cell will be shaded red.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31" authorId="0" shapeId="0" xr:uid="{D1781BEA-1071-46B2-B8D8-DB8187D3F981}">
      <text>
        <r>
          <rPr>
            <sz val="9"/>
            <color indexed="81"/>
            <rFont val="Tahoma"/>
            <family val="2"/>
          </rPr>
          <t>This item should not be greater than 100%. If above 100%, the cell will be shaded red. If less than 100%, it will be shaded in light red.</t>
        </r>
      </text>
    </comment>
  </commentList>
</comments>
</file>

<file path=xl/sharedStrings.xml><?xml version="1.0" encoding="utf-8"?>
<sst xmlns="http://schemas.openxmlformats.org/spreadsheetml/2006/main" count="1797" uniqueCount="750">
  <si>
    <t>1. Pipeline information</t>
  </si>
  <si>
    <t>4.1 Pipelines capex</t>
  </si>
  <si>
    <t>Date</t>
  </si>
  <si>
    <t>Gas Pipeline Operator</t>
  </si>
  <si>
    <t>Part 10 Financial Reporting Template</t>
  </si>
  <si>
    <t xml:space="preserve">This template is to be uploaded by a Gas Pipeline Operator to its website to fulfil its annual reporting obligations. </t>
  </si>
  <si>
    <t>Basis of preparation document is to be uploaded alongside this financial template, providing assumptions, methodologies, and other relevant information.</t>
  </si>
  <si>
    <t>Colour coding of input sheets:</t>
  </si>
  <si>
    <t>Light Blue / Dark Blue = AER instructions / headings</t>
  </si>
  <si>
    <t>Orange = Input cells</t>
  </si>
  <si>
    <t>Grey = Not applicable/No inputs required</t>
  </si>
  <si>
    <t>Leave coloured cells blank if no information exists - PLEASE DO NOT ENTER TEXT unless specifically requested to do so.</t>
  </si>
  <si>
    <t>All dollar amounts are to be unrounded, and in nominal terms.</t>
  </si>
  <si>
    <t>Service provider:</t>
  </si>
  <si>
    <t xml:space="preserve">Australian business number: </t>
  </si>
  <si>
    <t>Pipeline name:</t>
  </si>
  <si>
    <t>Amadeus Gas Pipeline</t>
  </si>
  <si>
    <t>Type of regulated pipeline:</t>
  </si>
  <si>
    <t>Scheme pipeline</t>
  </si>
  <si>
    <t>Reporting period start date:</t>
  </si>
  <si>
    <t>Reporting period end date:</t>
  </si>
  <si>
    <t xml:space="preserve">Publication date of this financial report: </t>
  </si>
  <si>
    <t>Reported information is current as at:</t>
  </si>
  <si>
    <t>Has any information in this template been amended since last published within this current reporting period?</t>
  </si>
  <si>
    <t>No</t>
  </si>
  <si>
    <t>Basis of preparation ID</t>
  </si>
  <si>
    <t>Business address</t>
  </si>
  <si>
    <t>Address</t>
  </si>
  <si>
    <t>Level 10, 121 Castlereagh Street</t>
  </si>
  <si>
    <t>Suburb</t>
  </si>
  <si>
    <t>Sydney</t>
  </si>
  <si>
    <t>State</t>
  </si>
  <si>
    <t>NSW</t>
  </si>
  <si>
    <t>Postcode</t>
  </si>
  <si>
    <t>Postal address</t>
  </si>
  <si>
    <t>PO Box R41</t>
  </si>
  <si>
    <t>Royal Exchange</t>
  </si>
  <si>
    <t>Contact name/s</t>
  </si>
  <si>
    <t>Andrew Nairn (General Manager Investor Relations)</t>
  </si>
  <si>
    <t>Contact phone/s</t>
  </si>
  <si>
    <t>+61 (03) 8416 2887</t>
  </si>
  <si>
    <t>Contact email address/s</t>
  </si>
  <si>
    <t>APARegReporting@apa.com.au</t>
  </si>
  <si>
    <t xml:space="preserve"> </t>
  </si>
  <si>
    <t xml:space="preserve">Year ending </t>
  </si>
  <si>
    <t>CONTENTS</t>
  </si>
  <si>
    <t>SUMMARY</t>
  </si>
  <si>
    <t>Financial summary</t>
  </si>
  <si>
    <t>Data visualisation</t>
  </si>
  <si>
    <t>Pricing benchmarks summary</t>
  </si>
  <si>
    <t>1. PIPELINE INFORMATION</t>
  </si>
  <si>
    <t>2. REVENUE AND EXPENSES</t>
  </si>
  <si>
    <t>2.1 Profit &amp; Loss by component</t>
  </si>
  <si>
    <t>2.2 Allocation to pipeline services</t>
  </si>
  <si>
    <t xml:space="preserve">2.3 Revenue contributions </t>
  </si>
  <si>
    <t>2.4 Indirect revenue</t>
  </si>
  <si>
    <t>2.5 Shared expenses</t>
  </si>
  <si>
    <t>3.1 ASSET VALUE - DEPRICIATED BOOK VALUE METHOD (DBVM)</t>
  </si>
  <si>
    <t>3.3 Asset useful life</t>
  </si>
  <si>
    <t>3.2 ASSET VALUE - REGULATORY ASSET BASE (RAB)</t>
  </si>
  <si>
    <t>3.4 Asset impairment</t>
  </si>
  <si>
    <t>3.5 Depreciation amortisation</t>
  </si>
  <si>
    <t>3.6 Shared supporting assets</t>
  </si>
  <si>
    <t>4. ASSET VALUE - RECOVERED CAPITAL METHOD (RCM)</t>
  </si>
  <si>
    <t>5. HISTORICAL DEMAND</t>
  </si>
  <si>
    <t>6. PRICING TEMPLATE</t>
  </si>
  <si>
    <t>Part 10 Financial Reporting</t>
  </si>
  <si>
    <t>All numbers are expressed in $nominal.</t>
  </si>
  <si>
    <t>Profit and loss (Table 2.1.1)</t>
  </si>
  <si>
    <t>Total</t>
  </si>
  <si>
    <t>Direct revenue</t>
  </si>
  <si>
    <t>Indirect revenue allocated</t>
  </si>
  <si>
    <t>Total revenue</t>
  </si>
  <si>
    <t>Direct expenses</t>
  </si>
  <si>
    <t>Shared expenses allocated</t>
  </si>
  <si>
    <t>Total expenses</t>
  </si>
  <si>
    <t>Earnings before interest and tax (EBIT)</t>
  </si>
  <si>
    <t xml:space="preserve">Depreciated book value method (Table 3.1.1 for Non-scheme pipelines) </t>
  </si>
  <si>
    <t>Value as at current reporting period</t>
  </si>
  <si>
    <t xml:space="preserve">Total assets </t>
  </si>
  <si>
    <t>Return on assets</t>
  </si>
  <si>
    <t xml:space="preserve">Regulatory Asset Base (Table 3.2.1 for Scheme pipelines) </t>
  </si>
  <si>
    <t>Recovered capital method  (Table 4.1)</t>
  </si>
  <si>
    <t>Total assets</t>
  </si>
  <si>
    <t>Revenue &amp; Expense allocation to pipeline services</t>
  </si>
  <si>
    <t>Historical demand</t>
  </si>
  <si>
    <t>Price benchmarks</t>
  </si>
  <si>
    <t>Total cost per unit</t>
  </si>
  <si>
    <t>Measurement unit</t>
  </si>
  <si>
    <t>Low</t>
  </si>
  <si>
    <t>High</t>
  </si>
  <si>
    <t>Firm forward haul transportation service</t>
  </si>
  <si>
    <t>$/GJ/day of Pipeline MDQ</t>
  </si>
  <si>
    <t>Backhaul service</t>
  </si>
  <si>
    <t>Interruptible or as available transportation service</t>
  </si>
  <si>
    <t>Firm stand-alone compression service</t>
  </si>
  <si>
    <t>Interruptible or as available stand-alone compression service</t>
  </si>
  <si>
    <t>Park service</t>
  </si>
  <si>
    <t>Park and loan services</t>
  </si>
  <si>
    <t>Capacity trading service</t>
  </si>
  <si>
    <t>$/GJ of MDQ traded</t>
  </si>
  <si>
    <t>In pipe trading service</t>
  </si>
  <si>
    <t>$/GJ traded</t>
  </si>
  <si>
    <t>Other</t>
  </si>
  <si>
    <t>Pipeline information</t>
  </si>
  <si>
    <t>Table 1.1: Pipeline details</t>
  </si>
  <si>
    <t>Pipeline location</t>
  </si>
  <si>
    <t>Pipeline length (kilometres)</t>
  </si>
  <si>
    <t>Number of customers</t>
  </si>
  <si>
    <t>Service type</t>
  </si>
  <si>
    <t>Transmission</t>
  </si>
  <si>
    <t>Pipeline nameplate capacity</t>
  </si>
  <si>
    <t>Construction date</t>
  </si>
  <si>
    <t>Table 1.2: Pipeline services provided</t>
  </si>
  <si>
    <t>Service description</t>
  </si>
  <si>
    <t>Provided to non related parties</t>
  </si>
  <si>
    <t>Provided to related parties</t>
  </si>
  <si>
    <t>Transportation services</t>
  </si>
  <si>
    <t>Yes</t>
  </si>
  <si>
    <t>Backhaul services</t>
  </si>
  <si>
    <t>Stand-alone compression services</t>
  </si>
  <si>
    <t>Storage services</t>
  </si>
  <si>
    <t>Park services</t>
  </si>
  <si>
    <t>Trading services</t>
  </si>
  <si>
    <t>Other (please specify)</t>
  </si>
  <si>
    <t>other service (insert description)</t>
  </si>
  <si>
    <t>Revenue and expenses</t>
  </si>
  <si>
    <t>Table 2.1:  Statement of pipeline revenue and expenses by service</t>
  </si>
  <si>
    <t>Basis of Preparation ID</t>
  </si>
  <si>
    <t>Description</t>
  </si>
  <si>
    <t>Earnings before interest and tax (EBIT) by service</t>
  </si>
  <si>
    <t>$ nominal</t>
  </si>
  <si>
    <t>Revenue</t>
  </si>
  <si>
    <t>Expenses</t>
  </si>
  <si>
    <t>Total net revenue</t>
  </si>
  <si>
    <t>Total Expenses</t>
  </si>
  <si>
    <t>Profit &amp; Loss statement by component</t>
  </si>
  <si>
    <t>Table 2.1.1:  Statement of pipeline revenue and expenses by component</t>
  </si>
  <si>
    <t>Current reporting period</t>
  </si>
  <si>
    <t>Previous reporting period</t>
  </si>
  <si>
    <t>Amounts excluding related party transactions</t>
  </si>
  <si>
    <t>Related party transactions</t>
  </si>
  <si>
    <t>Direct revenue by pipeline</t>
  </si>
  <si>
    <t>Section 12</t>
  </si>
  <si>
    <t>Total service revenue</t>
  </si>
  <si>
    <t>Customer contribution revenue</t>
  </si>
  <si>
    <t>Government contribution revenue</t>
  </si>
  <si>
    <t>Profit from sale of fixed assets</t>
  </si>
  <si>
    <t>Other direct revenue</t>
  </si>
  <si>
    <t>Total direct revenue by pipeline</t>
  </si>
  <si>
    <t>Indirect revenue allocated to pipeline</t>
  </si>
  <si>
    <t>Other indirect revenue</t>
  </si>
  <si>
    <t>Total indirect revenue by pipeline</t>
  </si>
  <si>
    <t>Total revenue by pipeline</t>
  </si>
  <si>
    <t>Direct expenses by pipeline</t>
  </si>
  <si>
    <t>Repairs and maintenance</t>
  </si>
  <si>
    <t>Wages</t>
  </si>
  <si>
    <t xml:space="preserve">Depreciation </t>
  </si>
  <si>
    <t>Insurance</t>
  </si>
  <si>
    <t>Licence and regulatory costs</t>
  </si>
  <si>
    <t>Directly attributable finance charges</t>
  </si>
  <si>
    <t>Leasing and rental costs</t>
  </si>
  <si>
    <t>Other direct expenses</t>
  </si>
  <si>
    <t>Total direct expenses by pipeline</t>
  </si>
  <si>
    <t>Shared expenses by pipeline</t>
  </si>
  <si>
    <t>Employee expenses</t>
  </si>
  <si>
    <t>Information technology and communication costs</t>
  </si>
  <si>
    <t>Indirect operating expenses</t>
  </si>
  <si>
    <t xml:space="preserve">Shared asset depreciation </t>
  </si>
  <si>
    <t>Rental and leasing costs</t>
  </si>
  <si>
    <t>Borrowing costs</t>
  </si>
  <si>
    <t>Loss from sale of shared fixed assets</t>
  </si>
  <si>
    <t>Impairment losses (nature of the impairment loss)</t>
  </si>
  <si>
    <t>Other shared expenses</t>
  </si>
  <si>
    <t>Total shared expenses allocated to pipeline</t>
  </si>
  <si>
    <t>Total expenses by pipeline</t>
  </si>
  <si>
    <t>Allocation to pipeline services</t>
  </si>
  <si>
    <t>Table 2.2.1:  Revenue by service</t>
  </si>
  <si>
    <t>Reporting period</t>
  </si>
  <si>
    <t>Allocation to pipeline service</t>
  </si>
  <si>
    <t>%</t>
  </si>
  <si>
    <t>Direct revenue (excl. capital contributions)</t>
  </si>
  <si>
    <t>Section 13</t>
  </si>
  <si>
    <t>Total direct revenue (excl. capital contributions)</t>
  </si>
  <si>
    <t>Capital contributions</t>
  </si>
  <si>
    <t>Total capital contributions</t>
  </si>
  <si>
    <t>Total indirect revenue</t>
  </si>
  <si>
    <t>Table 2.2.2:  Expenses by service</t>
  </si>
  <si>
    <t>Direct expenses (excl. depreciation)</t>
  </si>
  <si>
    <t>Total direct expenses (excl. depreciation)</t>
  </si>
  <si>
    <t>Depreciation</t>
  </si>
  <si>
    <t>Total depreciation</t>
  </si>
  <si>
    <t>Shared expenses allocated (excl. depreciation)</t>
  </si>
  <si>
    <t>Total shared expenses (excl. depreciation)</t>
  </si>
  <si>
    <t>Revenue contributions</t>
  </si>
  <si>
    <t>Table 2.3.1: Customer contributions received</t>
  </si>
  <si>
    <t>Table 2.3.2: Government contributions received</t>
  </si>
  <si>
    <t>Source</t>
  </si>
  <si>
    <t xml:space="preserve">Total </t>
  </si>
  <si>
    <t>Indirect revenue</t>
  </si>
  <si>
    <t>Please ensure allocation methodologies are explained in sufficient detail in the Basis of Preparation as required under the Guideline.</t>
  </si>
  <si>
    <t>Table 2.4.1: Indirect revenue allocation</t>
  </si>
  <si>
    <t xml:space="preserve">Description </t>
  </si>
  <si>
    <t>Indirect revenue excluding related parties</t>
  </si>
  <si>
    <t>Indirect revenue from related parties</t>
  </si>
  <si>
    <t>% allocated to pipeline</t>
  </si>
  <si>
    <t>Total allocated to pipeline excluding related parties</t>
  </si>
  <si>
    <t>Total related party amounts allocated to pipeline</t>
  </si>
  <si>
    <t>Total amounts allocated to pipeline</t>
  </si>
  <si>
    <t>(list each individual revenue item)</t>
  </si>
  <si>
    <t>Shared expenses</t>
  </si>
  <si>
    <t>Table 2.5.1: Shared expense allocation</t>
  </si>
  <si>
    <t>Income statement account applied to</t>
  </si>
  <si>
    <t>Shared expenses excluding related parties</t>
  </si>
  <si>
    <t>Shared expenses paid to related parties</t>
  </si>
  <si>
    <t xml:space="preserve"> (list each individual cost)</t>
  </si>
  <si>
    <t>Section 16</t>
  </si>
  <si>
    <t>Corporate operating expenditure</t>
  </si>
  <si>
    <t>Asset value - Depreciated Book Value Method (DBVM) (For Non-scheme pipeline only)</t>
  </si>
  <si>
    <t xml:space="preserve">This template is for a non-indexed asset value based on the Australian Accounting Standards, featuring allowances for acquisition costs and asset impairments, for non-scheme pipelines.
</t>
  </si>
  <si>
    <t>Table 3.1.1: Pipeline assets (DBVM)</t>
  </si>
  <si>
    <t>Pipeline assets</t>
  </si>
  <si>
    <t xml:space="preserve">Pipelines </t>
  </si>
  <si>
    <t>Section 17</t>
  </si>
  <si>
    <t>Opening Cost Base</t>
  </si>
  <si>
    <t>Additions</t>
  </si>
  <si>
    <t>Capitalised maintenance or improvements</t>
  </si>
  <si>
    <t>Total capitalised pipeline construction costs</t>
  </si>
  <si>
    <t>Depreciation (excl. impairment)</t>
  </si>
  <si>
    <t>Impairment losses</t>
  </si>
  <si>
    <t>Disposals or early termination (at cost)</t>
  </si>
  <si>
    <t>Closing pipelines carrying value</t>
  </si>
  <si>
    <t xml:space="preserve">Compressors </t>
  </si>
  <si>
    <t>Closing compressors carrying value</t>
  </si>
  <si>
    <t xml:space="preserve">City Gates, supply regulators and valve stations </t>
  </si>
  <si>
    <t>Closing city gates, supply regulators and valve stations carrying value</t>
  </si>
  <si>
    <t xml:space="preserve">Metering </t>
  </si>
  <si>
    <t xml:space="preserve">Additions </t>
  </si>
  <si>
    <t>Closing metering carrying value</t>
  </si>
  <si>
    <t xml:space="preserve">Odorant plants </t>
  </si>
  <si>
    <t>Closing odorant plants carrying value</t>
  </si>
  <si>
    <t xml:space="preserve">SCADA (Communications) </t>
  </si>
  <si>
    <t>Closing SCADA carrying value</t>
  </si>
  <si>
    <t xml:space="preserve">Buildings </t>
  </si>
  <si>
    <t>Closing buildings carrying value</t>
  </si>
  <si>
    <t>Land and easements</t>
  </si>
  <si>
    <t>Closing land and easements carrying value</t>
  </si>
  <si>
    <t>Other depreciable pipeline assets</t>
  </si>
  <si>
    <t>Closing other depreciable pipeline assets carrying value</t>
  </si>
  <si>
    <t xml:space="preserve">Leased assets </t>
  </si>
  <si>
    <t>Depreciation (Amortisation) (excl. impairment)</t>
  </si>
  <si>
    <t>Closing leased asset carrying value</t>
  </si>
  <si>
    <t>Other non-depreciable pipeline assets</t>
  </si>
  <si>
    <t>Closing other non-depreciable pipeline assets carrying value</t>
  </si>
  <si>
    <t>Total pipeline assets</t>
  </si>
  <si>
    <t>Shared supporting assets allocated</t>
  </si>
  <si>
    <t>Shared property, plant and equipment</t>
  </si>
  <si>
    <t>Closing shared property, plant and equipment carrying value</t>
  </si>
  <si>
    <t>Shared leased assets</t>
  </si>
  <si>
    <t>Closing leased assets carrying value</t>
  </si>
  <si>
    <t xml:space="preserve">Inventories </t>
  </si>
  <si>
    <t>Deferred tax assets</t>
  </si>
  <si>
    <r>
      <t>Other</t>
    </r>
    <r>
      <rPr>
        <b/>
        <sz val="10"/>
        <color indexed="10"/>
        <rFont val="Arial"/>
        <family val="2"/>
      </rPr>
      <t xml:space="preserve"> </t>
    </r>
    <r>
      <rPr>
        <b/>
        <sz val="10"/>
        <color indexed="51"/>
        <rFont val="Arial"/>
        <family val="2"/>
      </rPr>
      <t>assets</t>
    </r>
  </si>
  <si>
    <t xml:space="preserve">Total shared supporting assets allocated </t>
  </si>
  <si>
    <t>TOTAL ASSETS</t>
  </si>
  <si>
    <t>Table 3.1.2:  Initial costs of pipeline assets (DBVM)</t>
  </si>
  <si>
    <t>Date RAB estabilished</t>
  </si>
  <si>
    <t>Asset value - Regulatory Asset Base (RAB) (For Scheme pipeline only)</t>
  </si>
  <si>
    <t>This template is for a non-indexed asset value derived from a regulator-determined initial regulatory asset base and capital expenditure with straight-line depreciation, for scheme pipelines.</t>
  </si>
  <si>
    <t>Table 3.2.1: Pipeline assets (RAB)</t>
  </si>
  <si>
    <t>Year</t>
  </si>
  <si>
    <t xml:space="preserve"> Pipelines </t>
  </si>
  <si>
    <t>$</t>
  </si>
  <si>
    <t>Section 18</t>
  </si>
  <si>
    <t xml:space="preserve"> Nominal Opening Regulatory Asset Base  </t>
  </si>
  <si>
    <t xml:space="preserve"> Nominal Capex </t>
  </si>
  <si>
    <t xml:space="preserve"> Total capitalised pipeline construction costs </t>
  </si>
  <si>
    <t xml:space="preserve"> Less Asset disposal (at cost) </t>
  </si>
  <si>
    <t xml:space="preserve"> Less Nominal Actual Regulatory Depreciation  </t>
  </si>
  <si>
    <t xml:space="preserve"> Closing pipeline carrying value </t>
  </si>
  <si>
    <t xml:space="preserve"> Compressors </t>
  </si>
  <si>
    <t xml:space="preserve"> Additions and improvements capitalised </t>
  </si>
  <si>
    <t xml:space="preserve"> Less Depreciation of compressors </t>
  </si>
  <si>
    <t xml:space="preserve"> Less Disposal (at cost) </t>
  </si>
  <si>
    <t xml:space="preserve"> Closing compressors carrying value </t>
  </si>
  <si>
    <t xml:space="preserve"> City Gates, supply regulators and valve stations </t>
  </si>
  <si>
    <t xml:space="preserve"> Improvements capitalised </t>
  </si>
  <si>
    <t xml:space="preserve"> Less Depreciation of city gates, supply regulators and valve stations </t>
  </si>
  <si>
    <t xml:space="preserve"> Closing city gates, supply regulators and valve stations carrying value </t>
  </si>
  <si>
    <t xml:space="preserve"> Metering </t>
  </si>
  <si>
    <t xml:space="preserve"> Less Depreciation of metering </t>
  </si>
  <si>
    <t xml:space="preserve"> Closing Metering </t>
  </si>
  <si>
    <t xml:space="preserve"> Odorant plants </t>
  </si>
  <si>
    <t xml:space="preserve"> Less Depreciation of odourant plants </t>
  </si>
  <si>
    <t xml:space="preserve"> Closing odourant plants carrying value </t>
  </si>
  <si>
    <t xml:space="preserve"> SCADA (Communications) </t>
  </si>
  <si>
    <t xml:space="preserve"> Less Depreciation of SCADA </t>
  </si>
  <si>
    <t xml:space="preserve"> Closing SCADA carrying value </t>
  </si>
  <si>
    <t xml:space="preserve"> Buildings </t>
  </si>
  <si>
    <t xml:space="preserve"> Less Depreciation of buildings </t>
  </si>
  <si>
    <t xml:space="preserve"> Closing buildings carrying value </t>
  </si>
  <si>
    <t xml:space="preserve"> Land and easements </t>
  </si>
  <si>
    <t xml:space="preserve"> Less Depreciation of land and easement </t>
  </si>
  <si>
    <t xml:space="preserve"> Closing land and easements carrying value </t>
  </si>
  <si>
    <t xml:space="preserve"> Other depreciable pipeline assets </t>
  </si>
  <si>
    <t xml:space="preserve"> Less Depreciation/amortisation </t>
  </si>
  <si>
    <t xml:space="preserve"> Closing other depreciable pipeline assets carrying value </t>
  </si>
  <si>
    <t xml:space="preserve"> Leased pipeline assets </t>
  </si>
  <si>
    <t xml:space="preserve"> Closing leased pipeline assets carrying value </t>
  </si>
  <si>
    <t xml:space="preserve"> Total pipeline assets </t>
  </si>
  <si>
    <t xml:space="preserve"> Shared supporting assets (RAB)</t>
  </si>
  <si>
    <t xml:space="preserve"> Less Shared property, plant and equipment depreciation </t>
  </si>
  <si>
    <t xml:space="preserve"> Less disposals of shared supporting assets </t>
  </si>
  <si>
    <t xml:space="preserve"> Closing shared property, plant and equipment </t>
  </si>
  <si>
    <t xml:space="preserve"> Shared leased assets </t>
  </si>
  <si>
    <t xml:space="preserve"> Closing shared leased assets carrying value </t>
  </si>
  <si>
    <t xml:space="preserve"> Opening other assets </t>
  </si>
  <si>
    <t xml:space="preserve"> Change in other assets </t>
  </si>
  <si>
    <t xml:space="preserve"> Closing other assets </t>
  </si>
  <si>
    <t xml:space="preserve"> Total shared supporting assets allocated </t>
  </si>
  <si>
    <t xml:space="preserve"> TOTAL ASSETS </t>
  </si>
  <si>
    <t>Asset useful life</t>
  </si>
  <si>
    <t>Table 3.3.1: Asset useful life</t>
  </si>
  <si>
    <t>Description (list each individual  balance sheet item)</t>
  </si>
  <si>
    <t>Commission date (provide a range)</t>
  </si>
  <si>
    <t xml:space="preserve">Useful life </t>
  </si>
  <si>
    <t>Reason for choosing this useful life</t>
  </si>
  <si>
    <t>years</t>
  </si>
  <si>
    <t>Section 19</t>
  </si>
  <si>
    <t>Per Access Arrangement</t>
  </si>
  <si>
    <t>N/a</t>
  </si>
  <si>
    <t xml:space="preserve">insert asset description </t>
  </si>
  <si>
    <t>Asset impairment</t>
  </si>
  <si>
    <t>Table 3.4.1: Assets impaired</t>
  </si>
  <si>
    <t>Asset description</t>
  </si>
  <si>
    <t>Category</t>
  </si>
  <si>
    <t>Impairment amount $ nominal</t>
  </si>
  <si>
    <t>Impairment date</t>
  </si>
  <si>
    <t>Basis for impairment</t>
  </si>
  <si>
    <t>Table 3.4.2: Asset impairment reversals</t>
  </si>
  <si>
    <t>Prior Impairment amount 
$ nominal</t>
  </si>
  <si>
    <t>Reversal amount
$nominal</t>
  </si>
  <si>
    <t>Reversal date</t>
  </si>
  <si>
    <t>Basis for Reversal</t>
  </si>
  <si>
    <t>Depreciation amortisation</t>
  </si>
  <si>
    <t>Modify cost adjustment column if accelerated depreciation is applicable.</t>
  </si>
  <si>
    <t>Table 3.5.1: Pipeline assets at cost</t>
  </si>
  <si>
    <t>Acquisition date (provide a range)</t>
  </si>
  <si>
    <t>Useful life</t>
  </si>
  <si>
    <t>Estimated residual value</t>
  </si>
  <si>
    <t>Current year additions</t>
  </si>
  <si>
    <t>Current year capitalised maintenance or improvements</t>
  </si>
  <si>
    <t>Current year disposals or Early termination</t>
  </si>
  <si>
    <t>Cost base</t>
  </si>
  <si>
    <t>% Cost adjustment for accelerated depreciation (if applicable)</t>
  </si>
  <si>
    <t>Adjusted cost base</t>
  </si>
  <si>
    <t>Prior years' accumulated depreciation</t>
  </si>
  <si>
    <r>
      <t xml:space="preserve">Current year </t>
    </r>
    <r>
      <rPr>
        <b/>
        <sz val="10"/>
        <color indexed="9"/>
        <rFont val="Arial"/>
        <family val="2"/>
      </rPr>
      <t>depreciation</t>
    </r>
  </si>
  <si>
    <t>Written down value</t>
  </si>
  <si>
    <t>Years</t>
  </si>
  <si>
    <t>Section 21</t>
  </si>
  <si>
    <t>Table 3.5.2: Shared assets at cost</t>
  </si>
  <si>
    <t>Acquisition date</t>
  </si>
  <si>
    <t>Current year depreciation</t>
  </si>
  <si>
    <t>Total fixed assets</t>
  </si>
  <si>
    <t>Shared supporting assets</t>
  </si>
  <si>
    <t>Please ensure allocation methodologies are explained in sufficient detail within the Basis of Preparation as required under the Guideline.</t>
  </si>
  <si>
    <t>Table 3.6.1: Shared supporting asset allocation</t>
  </si>
  <si>
    <t>Description (list each individual shared asset category greater than 5%)</t>
  </si>
  <si>
    <t>Category of shared assets</t>
  </si>
  <si>
    <t>Total amount</t>
  </si>
  <si>
    <t>Total allocated to pipeline</t>
  </si>
  <si>
    <t>Section 22</t>
  </si>
  <si>
    <t>Information technology</t>
  </si>
  <si>
    <t xml:space="preserve">Shared leased premises </t>
  </si>
  <si>
    <t xml:space="preserve">Shared leased motor vehicles </t>
  </si>
  <si>
    <t>Asset value - Recovered Capital Method (RCM)</t>
  </si>
  <si>
    <t>This template is for a non-indexed asset value based on original construction costs and “depreciation” based on a notional cash-flow based “return of capital” approach, for non-scheme pipelines.</t>
  </si>
  <si>
    <t>Table 4.1: Pipeline assets (RCM)</t>
  </si>
  <si>
    <t>Drag and drop columns if required</t>
  </si>
  <si>
    <t>Section 23</t>
  </si>
  <si>
    <t>Construction cost</t>
  </si>
  <si>
    <t>Residual Value</t>
  </si>
  <si>
    <t>Maintenance capitalised</t>
  </si>
  <si>
    <t>Disposal (at cost)</t>
  </si>
  <si>
    <t>Leased Asset</t>
  </si>
  <si>
    <t>Pipeline assets cost base</t>
  </si>
  <si>
    <t>Shared assets</t>
  </si>
  <si>
    <t>Construction cost or acquisition cost (where allowed) apportioned</t>
  </si>
  <si>
    <t>Shared assets cost base</t>
  </si>
  <si>
    <t>Return of capital</t>
  </si>
  <si>
    <t>Operating expenses</t>
  </si>
  <si>
    <t>Net tax liabilities</t>
  </si>
  <si>
    <t>Leased Asset Interest/Financing Charge</t>
  </si>
  <si>
    <t>Return on capital</t>
  </si>
  <si>
    <t>Total Return of Capital</t>
  </si>
  <si>
    <t>Recovered capital method total asset value</t>
  </si>
  <si>
    <t>For information</t>
  </si>
  <si>
    <t>Opening asset value</t>
  </si>
  <si>
    <t>Rate of return (WACC)</t>
  </si>
  <si>
    <t>Table 4.2: Pipeline details</t>
  </si>
  <si>
    <t>Pipeline capital expenditure</t>
  </si>
  <si>
    <t>Please report all historical expansions/extensions in table 4.1.2, regardless of value.
Please ensure all extensions/expansions in the next 12 months that have advanced to the "Final Investment Decision" stage are comprehensively reported in table 4.1.3.</t>
  </si>
  <si>
    <t>Table 4.1.1: Capital expenditure greater than 5% of construction cost</t>
  </si>
  <si>
    <t>Description of works</t>
  </si>
  <si>
    <t>Date recognised</t>
  </si>
  <si>
    <t>Expenditure ($ nominal)</t>
  </si>
  <si>
    <t>Total expenditure</t>
  </si>
  <si>
    <t>Table 4.1.2: Historical expansions and extensions</t>
  </si>
  <si>
    <t>Section 24</t>
  </si>
  <si>
    <t>Table 4.1.3: Planned expansions and extensions of capacity</t>
  </si>
  <si>
    <t>Description of the matter</t>
  </si>
  <si>
    <t>Proposed commissioning date, or a range of dates</t>
  </si>
  <si>
    <t>Expected end date, or a range of dates</t>
  </si>
  <si>
    <t>Facility's proposed nameplate rating, or the estimated likely range during affected period</t>
  </si>
  <si>
    <t>Proposed expenditure (if available, required for publicly announced expansions)</t>
  </si>
  <si>
    <t>GJ/day</t>
  </si>
  <si>
    <t>Total proposed expenditure</t>
  </si>
  <si>
    <t>For information required to be published on the Gas Bulletin Board, please provide a publicly available link on their website to the relevant part of the Gas Bulletin Board.</t>
  </si>
  <si>
    <t>Table 5.1: Historical demand information</t>
  </si>
  <si>
    <t>Description of the information</t>
  </si>
  <si>
    <t>Publicly available link on Gas Bulletin Board</t>
  </si>
  <si>
    <t>Section 25</t>
  </si>
  <si>
    <t xml:space="preserve">Utilised capacity </t>
  </si>
  <si>
    <t>https://aemo.com.au/energy-systems/gas/gas-bulletin-board-gbb/data-gbb/gas-flows</t>
  </si>
  <si>
    <t>Table 5.2: Demand by pipeline service</t>
  </si>
  <si>
    <t>Contracted MDQ</t>
  </si>
  <si>
    <t>TJ/day</t>
  </si>
  <si>
    <t>Table 5.3: Daily demand</t>
  </si>
  <si>
    <t>Contracted firm capacity-transportation</t>
  </si>
  <si>
    <t>Contracted firm capacity-storage</t>
  </si>
  <si>
    <t>Utilised capacity</t>
  </si>
  <si>
    <t>Available capacity-total</t>
  </si>
  <si>
    <t>Available capacity-firm</t>
  </si>
  <si>
    <t>Available contracted capacity</t>
  </si>
  <si>
    <t xml:space="preserve"> -</t>
  </si>
  <si>
    <t>Pricing template</t>
  </si>
  <si>
    <t>All numbers are expressed in $nominal</t>
  </si>
  <si>
    <t>Please input the percentages of asset value allocated to each services, and the indexes provided by AER. Please ensure to include any necessary explanation in the Basis of Preparation of the allocation methodologies, or if alternative index is used.
The cost-based pricing benchmarks is calculated based on three elements. The basic logics of the methodology would be explained in the handbook.</t>
  </si>
  <si>
    <t>6.1 Inputs</t>
  </si>
  <si>
    <t>Service provider inputs</t>
  </si>
  <si>
    <t>AER inputs</t>
  </si>
  <si>
    <t>Asset allocation to pipeline service</t>
  </si>
  <si>
    <t>Average regulatory return on debt</t>
  </si>
  <si>
    <t>Gearing</t>
  </si>
  <si>
    <t>Statutory tax rate</t>
  </si>
  <si>
    <t>Gamma</t>
  </si>
  <si>
    <t>Average regulatory rate of return</t>
  </si>
  <si>
    <t>6.2 Pricing benchmarks</t>
  </si>
  <si>
    <t>Fixed operating costs per unit</t>
  </si>
  <si>
    <t>Return of capital per unit</t>
  </si>
  <si>
    <t>Return on capital &amp; Tax per unit</t>
  </si>
  <si>
    <t>6.3 Elements calculated</t>
  </si>
  <si>
    <t>Summary</t>
  </si>
  <si>
    <t>2 Fixed operating costs</t>
  </si>
  <si>
    <t>3 Return of capital</t>
  </si>
  <si>
    <t>3 Return on capital &amp; Tax</t>
  </si>
  <si>
    <t>Total costs less depreciation in Table 2.1.1 per capacity denominator</t>
  </si>
  <si>
    <t>Direct costs less depreciation in Table 2.1.1 per capacity denominator</t>
  </si>
  <si>
    <t>Total asset depreciation per capacity denominator</t>
  </si>
  <si>
    <t>Direct asset depreciation per capacity denominator</t>
  </si>
  <si>
    <t>Depreciation of RCM asset value per capacity denominator</t>
  </si>
  <si>
    <t>Based on the inferred rates of return under Depreciated book value method</t>
  </si>
  <si>
    <t>Based on the average regulatory rate of return</t>
  </si>
  <si>
    <t>Return on capital per capacity denominator</t>
  </si>
  <si>
    <t>Tax estimate per capacity denominator</t>
  </si>
  <si>
    <t>6.4 Calculation process</t>
  </si>
  <si>
    <t>Fixed operating costs</t>
  </si>
  <si>
    <t>29. Three estimates of opex per unit of capacity</t>
  </si>
  <si>
    <t>Total costs less depreciation in Table 2.1.1</t>
  </si>
  <si>
    <t>Direct costs less depreciation in Table 2.1.1</t>
  </si>
  <si>
    <t>Capacity denominator (report period) TJ</t>
  </si>
  <si>
    <t>28. Estimated remaining direct asset lives</t>
  </si>
  <si>
    <t>Depreciable direct assets in Table 3.1.1 or 3.2.1</t>
  </si>
  <si>
    <t>Estimated one-year direct asset depreciation</t>
  </si>
  <si>
    <t>Estimated remaining asset life</t>
  </si>
  <si>
    <t>30-31. Depreciation on (total: direct and shared/direct) assets per unit of capacity</t>
  </si>
  <si>
    <t>Total asset depreciation in Table 2.1.1</t>
  </si>
  <si>
    <t>Direct asset depreciation in Table 2.1.1</t>
  </si>
  <si>
    <t>32. Estimated RCM depreciation per unit of capacity</t>
  </si>
  <si>
    <t>Closing asset value based on Table 4.1</t>
  </si>
  <si>
    <t>Estimated yearly depreciation</t>
  </si>
  <si>
    <t>Return on capital &amp; Tax</t>
  </si>
  <si>
    <t>34. Estimation of taxes</t>
  </si>
  <si>
    <t>Pipeline rate of return</t>
  </si>
  <si>
    <t>Post-tax return on equity</t>
  </si>
  <si>
    <t>Estimated pretax return on equity</t>
  </si>
  <si>
    <t>Tax as a % of equity</t>
  </si>
  <si>
    <t>Tax as a % of assets</t>
  </si>
  <si>
    <t>Pre-tax rate of return</t>
  </si>
  <si>
    <t>35. Based on the inferred rates of return under Depreciated book value method</t>
  </si>
  <si>
    <t>Depreciable direct assets in Table 3.1.1 or 3.2.1 (Including Land and easements)</t>
  </si>
  <si>
    <t>Tax estimate</t>
  </si>
  <si>
    <t>36. Based on the average regulatory rate of return</t>
  </si>
  <si>
    <t>AER amendment#</t>
  </si>
  <si>
    <t>Worksheet</t>
  </si>
  <si>
    <t>Table</t>
  </si>
  <si>
    <t>Cell</t>
  </si>
  <si>
    <t>Change</t>
  </si>
  <si>
    <t>Reason</t>
  </si>
  <si>
    <t>Cover</t>
  </si>
  <si>
    <t>Column C, D, E, F, I, J, K</t>
  </si>
  <si>
    <t>adjust column width to allow more characters</t>
  </si>
  <si>
    <t>the restricted cell space precludes the complete display of service provider name</t>
  </si>
  <si>
    <t>C16</t>
  </si>
  <si>
    <t>change the format of cell C16 from “date” to “number”</t>
  </si>
  <si>
    <t>this cell currently displays # symbols instead of a number</t>
  </si>
  <si>
    <t>2. Revenue and expenses</t>
  </si>
  <si>
    <t>Table 2.1: Statement of pipeline revenue and expenses by service</t>
  </si>
  <si>
    <t>D12-D21, F12-F21</t>
  </si>
  <si>
    <t>update the formula</t>
  </si>
  <si>
    <t xml:space="preserve">#N/A in the cells cause the sum formula in cells D22/F22 to return an error </t>
  </si>
  <si>
    <t>APT PIPELINES (NT) PTY LIMITED</t>
  </si>
  <si>
    <t>40 075 733 336</t>
  </si>
  <si>
    <t>Northern Territory</t>
  </si>
  <si>
    <t>1986</t>
  </si>
  <si>
    <t>2012-13</t>
  </si>
  <si>
    <t>2010-11</t>
  </si>
  <si>
    <t>Data validation lists</t>
  </si>
  <si>
    <t>Data validation lists_1</t>
  </si>
  <si>
    <t>Initial acquisition costs</t>
  </si>
  <si>
    <t>Acquisition year</t>
  </si>
  <si>
    <t xml:space="preserve">Initial construction costs </t>
  </si>
  <si>
    <t>Construction year</t>
  </si>
  <si>
    <t>Closing Regulatory Asset Base value</t>
  </si>
  <si>
    <t>Year of closing RAB set</t>
  </si>
  <si>
    <t>Inventories</t>
  </si>
  <si>
    <t>Other assets</t>
  </si>
  <si>
    <t>Amendment record</t>
  </si>
  <si>
    <t>New worksheet inserted</t>
  </si>
  <si>
    <t>AER advised of errors in the published file - the amendment record allows for errors to be corrected in a transparent manner</t>
  </si>
  <si>
    <t>F13</t>
  </si>
  <si>
    <t>Formula corrected</t>
  </si>
  <si>
    <t>Formula amended to sum both elements of 'Direct revenue' to get 'Total direct revenue'.</t>
  </si>
  <si>
    <t>3 Statement of pipeline assets</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</si>
  <si>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</si>
  <si>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</si>
  <si>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</si>
  <si>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</si>
  <si>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</si>
  <si>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</si>
  <si>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</si>
  <si>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</si>
  <si>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</si>
  <si>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</si>
  <si>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</si>
  <si>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</si>
  <si>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</si>
  <si>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</si>
  <si>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Column O</t>
  </si>
  <si>
    <t>Formula updated</t>
  </si>
  <si>
    <t>Formula updated to avoid double counting of prior years' data.</t>
  </si>
  <si>
    <t>Rows 63-67 and 74-78</t>
  </si>
  <si>
    <t>rows inserted</t>
  </si>
  <si>
    <t>New items inserted to record Leased Assets as per AASB16.</t>
  </si>
  <si>
    <t>D68:E68 and D82:E82</t>
  </si>
  <si>
    <t>Formulae updated to include leased assets</t>
  </si>
  <si>
    <t xml:space="preserve">D14, D19, D25, D31, D37, D43, D49, D59 </t>
  </si>
  <si>
    <t>Formulae corrected</t>
  </si>
  <si>
    <t>Formulae ammended to include prior year accumulated depreciation plus current year depreciation.  It was only picking up current year depreciation.</t>
  </si>
  <si>
    <t>3.1 Pipeline asset useful life</t>
  </si>
  <si>
    <t>3.1.1</t>
  </si>
  <si>
    <t>B21:F25 and B32:F37</t>
  </si>
  <si>
    <t>Allow for lease asset information</t>
  </si>
  <si>
    <t>Reporting template</t>
  </si>
  <si>
    <t>D31:F32</t>
  </si>
  <si>
    <t>Formatting - font changed from white to black colour</t>
  </si>
  <si>
    <t>To be visible.</t>
  </si>
  <si>
    <t>1.1 Financial performance</t>
  </si>
  <si>
    <t>1.1.1</t>
  </si>
  <si>
    <t>C10</t>
  </si>
  <si>
    <t>Formatting - changed from Accounting Comma to Percentage Percent</t>
  </si>
  <si>
    <t>To disclose percentage with appropriate signage</t>
  </si>
  <si>
    <t>tab renamed 3.3 Depreciation amortisation</t>
  </si>
  <si>
    <t>3.3 Depreciation amortisation</t>
  </si>
  <si>
    <t>3.3.2</t>
  </si>
  <si>
    <t>L58:L78</t>
  </si>
  <si>
    <t>Insert column</t>
  </si>
  <si>
    <t>To explicitly allow for prior period depreciation</t>
  </si>
  <si>
    <t>Row 59</t>
  </si>
  <si>
    <t>to record additions and improvements capitalised</t>
  </si>
  <si>
    <t>D58</t>
  </si>
  <si>
    <t>to only pick up initial acquisition costs</t>
  </si>
  <si>
    <t>D9:D52</t>
  </si>
  <si>
    <t>List updated</t>
  </si>
  <si>
    <t>added Leased assets to drop list</t>
  </si>
  <si>
    <t>D60:D67</t>
  </si>
  <si>
    <t>added Shared leased assets to drop list</t>
  </si>
  <si>
    <t>4 Recovered Capital</t>
  </si>
  <si>
    <t>Rows 15, 22, 29</t>
  </si>
  <si>
    <t>New items inserted to record Leased Assets</t>
  </si>
  <si>
    <t>E15, E22 and E29</t>
  </si>
  <si>
    <t>Formula added</t>
  </si>
  <si>
    <t>to sum columns F to BH for respective items</t>
  </si>
  <si>
    <t>F16:BH16 and F23:BH23</t>
  </si>
  <si>
    <t>to include Leased Assets in total</t>
  </si>
  <si>
    <t>3.3.1 and 3.3.2</t>
  </si>
  <si>
    <t>B5, B56, K7, G58, J58 and M58</t>
  </si>
  <si>
    <t>Headings updated for clarity</t>
  </si>
  <si>
    <t>A7</t>
  </si>
  <si>
    <t xml:space="preserve">Heading amended </t>
  </si>
  <si>
    <t>Spelling correction - "insructions" changed to "instructions"</t>
  </si>
  <si>
    <t xml:space="preserve">Cover </t>
  </si>
  <si>
    <t>A25:E25</t>
  </si>
  <si>
    <t>Row inserted</t>
  </si>
  <si>
    <t xml:space="preserve">To record the publication date of the reporting template </t>
  </si>
  <si>
    <t>A27:E27</t>
  </si>
  <si>
    <t xml:space="preserve">To record the date to which the reported information is current </t>
  </si>
  <si>
    <t>A29:K29</t>
  </si>
  <si>
    <t>To record whether there has been any change in the template and disclose the basis of preparation reference, if relevant</t>
  </si>
  <si>
    <t xml:space="preserve">Contents </t>
  </si>
  <si>
    <t>Hyperlink added</t>
  </si>
  <si>
    <t xml:space="preserve">Hyperlink to 'Summary' worksheet inserted. </t>
  </si>
  <si>
    <t>Worksheet inserted</t>
  </si>
  <si>
    <t xml:space="preserve">To enhance accessibility and transparency of the reported information by providing 'a quick glance' view of the key information reported in the template. </t>
  </si>
  <si>
    <t>B16, B20, B21</t>
  </si>
  <si>
    <t>To make the labelling of pipeline service categories consistent with those listed in Table 2.1.1.</t>
  </si>
  <si>
    <t>2. Revenues and expenses</t>
  </si>
  <si>
    <t>Row 12 to Row 14 /
 C12: C14</t>
  </si>
  <si>
    <t>Rows inserted</t>
  </si>
  <si>
    <t>To improve the clarity of revenue categories, ‘Customer contribution revenue’ and ‘profit from sale of fixed assets’ are removed from the ‘Total service revenue’ category under Table 2.1.1. They are now reflected in Table 2.1 instead, where ‘Direct revenue’ category is reported. 
‘Government contribution revenue’ is added as a category, consistent with the treatment for ‘Customer contribution revenue’ under the ‘Direct revenue’ category.</t>
  </si>
  <si>
    <t xml:space="preserve">F11 and I11 </t>
  </si>
  <si>
    <t xml:space="preserve">To amend the formula to sum up D11 and E11 ; and G11 and H11 respectively. </t>
  </si>
  <si>
    <t>D32:D40 and E32:E40</t>
  </si>
  <si>
    <t>To amend the formula to sum up the relevant rows in Table 2.4.1 (rows 9-35 instead of rows 9-36).</t>
  </si>
  <si>
    <t>J24</t>
  </si>
  <si>
    <t>Comment removed</t>
  </si>
  <si>
    <t>To remove a comment made inadvertantly.</t>
  </si>
  <si>
    <t>C34 and C39</t>
  </si>
  <si>
    <t>To remove uppercase in some words.</t>
  </si>
  <si>
    <t>I16</t>
  </si>
  <si>
    <t>To correctly sum up revenue categories to derive 'total direct revenue'.</t>
  </si>
  <si>
    <t>2.1 Revenue by service</t>
  </si>
  <si>
    <t>2.1.1</t>
  </si>
  <si>
    <t xml:space="preserve">C10, C21 </t>
  </si>
  <si>
    <t xml:space="preserve">To clarify that Table 2.1.1 only captures service revenue, rather than all direct revenue. </t>
  </si>
  <si>
    <t>Rows removed</t>
  </si>
  <si>
    <t xml:space="preserve">The removed categories have been moved to Table 2.1, as discussed at amendment record number 31. </t>
  </si>
  <si>
    <t>Rows 16 and 17</t>
  </si>
  <si>
    <t>Rows amended and inserted</t>
  </si>
  <si>
    <t>To split “Park and park and loan services” into two rows: “Park services” and “Park and loan services” , consistent with how service categories are presented in Table 1.2.</t>
  </si>
  <si>
    <t>Row 20</t>
  </si>
  <si>
    <t xml:space="preserve">To replace 'Distribution/transmission revenue' with 'Other pipeline services (if relevant)', consistent with how service categories are presented in Table 1.2. </t>
  </si>
  <si>
    <t>I21</t>
  </si>
  <si>
    <t>To correctly calculate the 'total service revenue'.</t>
  </si>
  <si>
    <t xml:space="preserve">2.2 Revenue contributions </t>
  </si>
  <si>
    <t>2.2.1</t>
  </si>
  <si>
    <t>E9:E14</t>
  </si>
  <si>
    <t>Formula added and formatting changed</t>
  </si>
  <si>
    <t xml:space="preserve">Added sum formula. </t>
  </si>
  <si>
    <t>2.3 Indirect revenue</t>
  </si>
  <si>
    <t>2.3.1</t>
  </si>
  <si>
    <t>E2:G4</t>
  </si>
  <si>
    <t xml:space="preserve">A prompt has been added to the worksheet to highlight the need for pipeline operators to include sufficient information in their basis of preparation to explain its allocation methodologies and the basis of its allocators. </t>
  </si>
  <si>
    <t xml:space="preserve">2.4 Shared costs </t>
  </si>
  <si>
    <t>2.4.1</t>
  </si>
  <si>
    <t>As above.</t>
  </si>
  <si>
    <t>2.4 Shared costs</t>
  </si>
  <si>
    <t xml:space="preserve">H36 &amp; I36 </t>
  </si>
  <si>
    <t>To rectify a double counting error.</t>
  </si>
  <si>
    <t>C11 and C16</t>
  </si>
  <si>
    <t>Heading renamed</t>
  </si>
  <si>
    <t>To remove upppercase in some words.</t>
  </si>
  <si>
    <t>3. Statement of pipeline assets</t>
  </si>
  <si>
    <t>C38, C44</t>
  </si>
  <si>
    <t>Spelling correction - "Odourant" changed to "Odorant"</t>
  </si>
  <si>
    <t>C8 and C81</t>
  </si>
  <si>
    <t>Heading inserted</t>
  </si>
  <si>
    <t xml:space="preserve">To improve the clarity of asset categories </t>
  </si>
  <si>
    <t>C82</t>
  </si>
  <si>
    <t xml:space="preserve">To improve the consistency of labelling between worksheets </t>
  </si>
  <si>
    <t xml:space="preserve">Column C </t>
  </si>
  <si>
    <t>Rows added and headings amended</t>
  </si>
  <si>
    <t xml:space="preserve">To improve the consistency of labelling between worksheets, each asset category other than ‘pipelines’, ‘land and easements’, ‘other non-depreciable pipeline assets’, ‘inventories’, ‘deferred tax assets’ and ‘other assets’, is amended to have the following reporting lines, consistent with the headings in Table 3.3.1 : 
- Initial construction or acquisition costs 
- Additions
- Capitalised maintenance or improvements
- Depreciation 
- Disposals or early termination (at cost)
There are also some formatting changes. </t>
  </si>
  <si>
    <t>D71 &amp; E71</t>
  </si>
  <si>
    <t>To correctly sum up the cost components that derive the carrying value of ‘other depreciable pipeline assets’.</t>
  </si>
  <si>
    <t>D88 &amp; E88</t>
  </si>
  <si>
    <t xml:space="preserve">To correctly sum up the cost components that derive the carrying value of ‘shared property, plant and equipment’ (previously labelled ‘shared supporting assets’). </t>
  </si>
  <si>
    <t>3.1 Asset useful life</t>
  </si>
  <si>
    <t>Tab renamed</t>
  </si>
  <si>
    <t xml:space="preserve">Tab is renamed  from '3.1 Pipeline asset useful life' to '3.1 Asset useful life' to be consistent with the heading of the worksheet. The worksheet does not only contain pipeline asset useful life information, but also shared assets’. </t>
  </si>
  <si>
    <t>D9:D37</t>
  </si>
  <si>
    <t xml:space="preserve">Number formatting </t>
  </si>
  <si>
    <t>To disclose numbers as short dates.</t>
  </si>
  <si>
    <t>D7</t>
  </si>
  <si>
    <t>To correct spelling mistake: "Acqusition" changed to "Acquisition"</t>
  </si>
  <si>
    <t>3.2 Asset impairment</t>
  </si>
  <si>
    <t xml:space="preserve">Tab is renamed  from '3.2 Pipeline asset impairment' to '3.2 Asset impairment' to be consistent with the heading of the worksheet. The worksheet does not only contain pipeline asset impairment information, but also shared assets’. </t>
  </si>
  <si>
    <t>3.2.1 and 3.2.2</t>
  </si>
  <si>
    <t>D8:D22, D28:D54, G28:G54,</t>
  </si>
  <si>
    <t>H7 and G58</t>
  </si>
  <si>
    <t>J7 and I58</t>
  </si>
  <si>
    <t>G53</t>
  </si>
  <si>
    <t>To rectify a missing formula.</t>
  </si>
  <si>
    <t>F9:F52 and F60:F77</t>
  </si>
  <si>
    <t xml:space="preserve">To disclose numbers to the nearest whole number. </t>
  </si>
  <si>
    <t>N7, M58</t>
  </si>
  <si>
    <t>The heading has been amended to make it clear that depreciation for the current reporting period does not include accumulated depreciation for the prior years.</t>
  </si>
  <si>
    <t>The dropdown box values have been amended to match the asset categories terms used on worksheet 3.</t>
  </si>
  <si>
    <t>D60:D77</t>
  </si>
  <si>
    <t>3.4 Shared supporting assets</t>
  </si>
  <si>
    <t>3.4.1</t>
  </si>
  <si>
    <t>D9:D40</t>
  </si>
  <si>
    <t xml:space="preserve">3.4 Shared supporting assets </t>
  </si>
  <si>
    <t>4. Recovered capital</t>
  </si>
  <si>
    <t>Minor punctuation amendment.</t>
  </si>
  <si>
    <t>Background amended</t>
  </si>
  <si>
    <t>Background amended to white, consistent with the rest of the template worksheets.</t>
  </si>
  <si>
    <t>E11</t>
  </si>
  <si>
    <t xml:space="preserve">To revise the formula to sum F11:BH11, consistent with the formula of other cost compoenents that make up the 'cost base'. </t>
  </si>
  <si>
    <t>Rows 33 and 34</t>
  </si>
  <si>
    <t>To disclose opening asset value and rate of return (WACC) of each year.</t>
  </si>
  <si>
    <t>E25</t>
  </si>
  <si>
    <t>Formula deleted</t>
  </si>
  <si>
    <t>Formula not required.</t>
  </si>
  <si>
    <t>F31:BH31</t>
  </si>
  <si>
    <t>Previous sum formula included row 25 which is not an input cell</t>
  </si>
  <si>
    <t>F8:BH8</t>
  </si>
  <si>
    <t xml:space="preserve">To adjust the formula to display year numbers that would allow for cross-referencing in the Summary tab. </t>
  </si>
  <si>
    <t>D18</t>
  </si>
  <si>
    <t>To correct spelling error - "Acqusition" changed to "Acquisition"</t>
  </si>
  <si>
    <t>5. Weighted average price</t>
  </si>
  <si>
    <t>Column B</t>
  </si>
  <si>
    <t>Column added</t>
  </si>
  <si>
    <t xml:space="preserve">To disclose the reference to the basis of preparation where pipeline operator may have explained the basis of allocation between pipelines and service types. </t>
  </si>
  <si>
    <t>Column D</t>
  </si>
  <si>
    <t>To provide clarity on whether there has been any use of estimates by the pipeline operator to allocate revenue between pipelines and service types.</t>
  </si>
  <si>
    <t>B2:E3</t>
  </si>
  <si>
    <t>To insert Heading "Year ending XX/XX/XXXX", consistent with the strucure of other worksheets in the template.</t>
  </si>
  <si>
    <t>F10: BJ10</t>
  </si>
  <si>
    <t xml:space="preserve">To clarify the unit measurement the data is supposed to be expressed in. </t>
  </si>
  <si>
    <t>G10, N10, U10, AA10, AG10, AN10, AT10, AZ10, BF10</t>
  </si>
  <si>
    <t>Comment box inserted</t>
  </si>
  <si>
    <t>To provide guidance that MDQ Total TJ shall be reported as the sum of MDQ's over the reporting period in TJs</t>
  </si>
  <si>
    <t>All worksheets</t>
  </si>
  <si>
    <t xml:space="preserve">All data points expressed in dollars terms have been formatted to remove decimal points (except for weighted average prices) and to express negative values in brackets. </t>
  </si>
  <si>
    <t>Section 21 &amp; Section 22</t>
  </si>
  <si>
    <t>Section 18 &amp; Section 21</t>
  </si>
  <si>
    <t>Please refer to the Basis of Preparation Addendum</t>
  </si>
  <si>
    <t>This FY25 Part 10 template is published without an assurance report. Assurance over the "Historical Demand" will be provided as part of the FY26 assurance process and will be published within this reporting template on the APA website by 30 November 2026.</t>
  </si>
  <si>
    <t>2010-11 to 2024-25</t>
  </si>
  <si>
    <t>2001-02 to 2024-25</t>
  </si>
  <si>
    <t>2001-02 to 2001-02</t>
  </si>
  <si>
    <t>2021-22 to 2024-25</t>
  </si>
  <si>
    <t>Katherine meter station upgrade</t>
  </si>
  <si>
    <t>Channel Island meter upgrade</t>
  </si>
  <si>
    <t>2010-11 to 2012-13</t>
  </si>
  <si>
    <t>Katherine - new supply point</t>
  </si>
  <si>
    <t>Noonamah Off Take</t>
  </si>
  <si>
    <t>2013-2014 to 2014-15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</si>
</sst>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0.0"/>
    <numFmt numFmtId="167" formatCode="0.0000"/>
    <numFmt numFmtId="168" formatCode="#,##0.0"/>
    <numFmt numFmtId="169" formatCode="_-* #,##0_-;\-* #,##0_-;_-* &quot;-&quot;??_-;_-@_-"/>
    <numFmt numFmtId="170" formatCode="d/mm/yyyy;@"/>
    <numFmt numFmtId="171" formatCode="_(* #,##0.0_);_(* \(#,##0.0\);_(* &quot;-&quot;_);_(@_)"/>
    <numFmt numFmtId="172" formatCode="_(* #,##0.00_);_(* \(#,##0.00\);_(* &quot;-&quot;_);_(@_)"/>
    <numFmt numFmtId="173" formatCode="_(* #,##0.000_);_(* \(#,##0.000\);_(* &quot;-&quot;_);_(@_)"/>
    <numFmt numFmtId="174" formatCode="_(* #,##0.0000_);_(* \(#,##0.0000\);_(* &quot;-&quot;_);_(@_)"/>
    <numFmt numFmtId="175" formatCode="_(* #,##0_);_(* \(#,##0\);_(* &quot;&quot;_);_(@_)"/>
  </numFmts>
  <fonts count="74" x14ac:knownFonts="1">
    <font>
      <sz val="10"/>
      <name val="Arial"/>
    </font>
    <font>
      <sz val="10"/>
      <name val="Arial"/>
      <family val="2"/>
    </font>
    <font>
      <b/>
      <sz val="16"/>
      <name val="Arial"/>
      <family val="2"/>
    </font>
    <font>
      <b/>
      <sz val="10"/>
      <name val="Arial"/>
      <family val="2"/>
    </font>
    <font>
      <b/>
      <sz val="12"/>
      <name val="Arial"/>
      <family val="2"/>
    </font>
    <font>
      <b/>
      <sz val="10"/>
      <color indexed="51"/>
      <name val="Arial"/>
      <family val="2"/>
    </font>
    <font>
      <sz val="10"/>
      <name val="Arial"/>
      <family val="2"/>
    </font>
    <font>
      <sz val="8"/>
      <name val="Arial"/>
      <family val="2"/>
    </font>
    <font>
      <sz val="10"/>
      <color indexed="9"/>
      <name val="Arial"/>
      <family val="2"/>
    </font>
    <font>
      <sz val="18"/>
      <name val="Arial"/>
      <family val="2"/>
    </font>
    <font>
      <sz val="18"/>
      <color indexed="62"/>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0"/>
      <name val="Cambria"/>
      <family val="2"/>
    </font>
    <font>
      <sz val="10"/>
      <name val="Arial"/>
      <family val="2"/>
    </font>
    <font>
      <sz val="11"/>
      <name val="Arial"/>
      <family val="2"/>
    </font>
    <font>
      <b/>
      <i/>
      <sz val="10"/>
      <color indexed="9"/>
      <name val="Arial"/>
      <family val="2"/>
    </font>
    <font>
      <b/>
      <sz val="12"/>
      <color indexed="9"/>
      <name val="Arial"/>
      <family val="2"/>
    </font>
    <font>
      <sz val="9"/>
      <color indexed="81"/>
      <name val="Tahoma"/>
      <family val="2"/>
    </font>
    <font>
      <sz val="10"/>
      <name val="Arial"/>
      <family val="2"/>
    </font>
    <font>
      <b/>
      <sz val="10"/>
      <color indexed="10"/>
      <name val="Arial"/>
      <family val="2"/>
    </font>
    <font>
      <sz val="20"/>
      <name val="Arial"/>
      <family val="2"/>
    </font>
    <font>
      <sz val="20"/>
      <color indexed="18"/>
      <name val="Arial"/>
      <family val="2"/>
    </font>
    <font>
      <sz val="12"/>
      <name val="Arial"/>
      <family val="2"/>
    </font>
    <font>
      <sz val="12"/>
      <color indexed="9"/>
      <name val="Arial"/>
      <family val="2"/>
    </font>
    <font>
      <sz val="8"/>
      <name val="Malgun Gothic"/>
      <family val="2"/>
    </font>
    <font>
      <i/>
      <sz val="9"/>
      <color indexed="81"/>
      <name val="Tahoma"/>
      <family val="2"/>
    </font>
    <font>
      <sz val="10"/>
      <color indexed="81"/>
      <name val="Tahoma"/>
      <family val="2"/>
    </font>
    <font>
      <sz val="10"/>
      <color theme="1"/>
      <name val="Arial"/>
      <family val="2"/>
    </font>
    <font>
      <b/>
      <sz val="16"/>
      <color theme="0"/>
      <name val="Arial"/>
      <family val="2"/>
    </font>
    <font>
      <sz val="10"/>
      <name val="Cambria"/>
      <family val="2"/>
      <scheme val="major"/>
    </font>
    <font>
      <sz val="11"/>
      <color theme="1"/>
      <name val="Calibri"/>
      <family val="2"/>
      <scheme val="minor"/>
    </font>
    <font>
      <sz val="11"/>
      <color theme="1"/>
      <name val="Calibri"/>
      <family val="2"/>
    </font>
    <font>
      <sz val="10"/>
      <color theme="0"/>
      <name val="Arial"/>
      <family val="2"/>
    </font>
    <font>
      <b/>
      <i/>
      <sz val="10"/>
      <color theme="0"/>
      <name val="Arial"/>
      <family val="2"/>
    </font>
    <font>
      <b/>
      <sz val="10"/>
      <color theme="0"/>
      <name val="Arial"/>
      <family val="2"/>
    </font>
    <font>
      <sz val="10"/>
      <color rgb="FFFFFFFF"/>
      <name val="Arial"/>
      <family val="2"/>
    </font>
    <font>
      <b/>
      <sz val="20"/>
      <color theme="0"/>
      <name val="Arial"/>
      <family val="2"/>
    </font>
    <font>
      <sz val="20"/>
      <color theme="0"/>
      <name val="Arial"/>
      <family val="2"/>
    </font>
    <font>
      <sz val="20"/>
      <color rgb="FF17415D"/>
      <name val="Arial"/>
      <family val="2"/>
    </font>
    <font>
      <sz val="8"/>
      <color rgb="FF000000"/>
      <name val="Malgun Gothic"/>
      <family val="2"/>
    </font>
    <font>
      <sz val="11"/>
      <color rgb="FF1D1D1D"/>
      <name val="Arial"/>
      <family val="2"/>
    </font>
    <font>
      <b/>
      <sz val="10"/>
      <color theme="9"/>
      <name val="Arial"/>
      <family val="2"/>
    </font>
    <font>
      <sz val="10"/>
      <color rgb="FFFF0000"/>
      <name val="Arial"/>
      <family val="2"/>
    </font>
    <font>
      <i/>
      <sz val="12"/>
      <color theme="0"/>
      <name val="Arial"/>
      <family val="2"/>
    </font>
    <font>
      <b/>
      <sz val="12"/>
      <color theme="0"/>
      <name val="Arial"/>
      <family val="2"/>
    </font>
    <font>
      <b/>
      <sz val="12"/>
      <color rgb="FFFFFFFF"/>
      <name val="Arial"/>
      <family val="2"/>
    </font>
    <font>
      <sz val="28"/>
      <color rgb="FFFF0000"/>
      <name val="Arial"/>
      <family val="2"/>
    </font>
    <font>
      <sz val="10"/>
      <color rgb="FF000000"/>
      <name val="Arial"/>
      <family val="2"/>
    </font>
    <font>
      <sz val="12"/>
      <color rgb="FFFFFFFF"/>
      <name val="Arial"/>
      <family val="2"/>
    </font>
    <font>
      <b/>
      <sz val="20"/>
      <color rgb="FF17415D"/>
      <name val="Arial"/>
      <family val="2"/>
    </font>
    <font>
      <b/>
      <sz val="10"/>
      <color rgb="FFFFFFFF"/>
      <name val="Arial"/>
      <family val="2"/>
    </font>
    <font>
      <sz val="8"/>
      <name val="Arial"/>
      <family val="2"/>
    </font>
  </fonts>
  <fills count="43">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8"/>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theme="0" tint="-0.499984740745262"/>
        <bgColor indexed="64"/>
      </patternFill>
    </fill>
    <fill>
      <patternFill patternType="solid">
        <fgColor theme="1"/>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2B7AAF"/>
        <bgColor indexed="64"/>
      </patternFill>
    </fill>
    <fill>
      <patternFill patternType="solid">
        <fgColor rgb="FFFFECC9"/>
        <bgColor indexed="64"/>
      </patternFill>
    </fill>
    <fill>
      <patternFill patternType="solid">
        <fgColor rgb="FF17415D"/>
        <bgColor indexed="64"/>
      </patternFill>
    </fill>
    <fill>
      <patternFill patternType="solid">
        <fgColor rgb="FFC0C0C0"/>
        <bgColor indexed="64"/>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s>
  <borders count="4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style="thin">
        <color theme="4"/>
      </left>
      <right/>
      <top/>
      <bottom/>
      <diagonal/>
    </border>
    <border>
      <left/>
      <right style="thin">
        <color theme="4"/>
      </right>
      <top/>
      <bottom/>
      <diagonal/>
    </border>
  </borders>
  <cellStyleXfs count="257">
    <xf numFmtId="0" fontId="0" fillId="0" borderId="0"/>
    <xf numFmtId="0" fontId="6" fillId="0" borderId="0" applyNumberFormat="0" applyFill="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164" fontId="6" fillId="13" borderId="0" applyNumberFormat="0" applyFont="0" applyBorder="0" applyAlignment="0">
      <alignment horizontal="right"/>
    </xf>
    <xf numFmtId="41" fontId="6" fillId="13" borderId="0" applyNumberFormat="0" applyFont="0" applyBorder="0" applyAlignment="0">
      <alignment horizontal="right"/>
    </xf>
    <xf numFmtId="41" fontId="35"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35"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0" fontId="15" fillId="8" borderId="1" applyNumberFormat="0" applyAlignment="0" applyProtection="0"/>
    <xf numFmtId="0" fontId="15" fillId="9" borderId="1" applyNumberFormat="0" applyAlignment="0" applyProtection="0"/>
    <xf numFmtId="0" fontId="16" fillId="26" borderId="2" applyNumberFormat="0" applyAlignment="0" applyProtection="0"/>
    <xf numFmtId="0" fontId="16" fillId="27" borderId="2" applyNumberFormat="0" applyAlignment="0" applyProtection="0"/>
    <xf numFmtId="43" fontId="1" fillId="0" borderId="0" applyFont="0" applyFill="0" applyBorder="0" applyAlignment="0" applyProtection="0"/>
    <xf numFmtId="43" fontId="40" fillId="0" borderId="0" applyFont="0" applyFill="0" applyBorder="0" applyAlignment="0" applyProtection="0"/>
    <xf numFmtId="43" fontId="6" fillId="0" borderId="0" applyFont="0" applyFill="0" applyBorder="0" applyAlignment="0" applyProtection="0"/>
    <xf numFmtId="43" fontId="4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0" fillId="0" borderId="0" applyFont="0" applyFill="0" applyBorder="0" applyAlignment="0" applyProtection="0"/>
    <xf numFmtId="43" fontId="6" fillId="0" borderId="0" applyFont="0" applyFill="0" applyBorder="0" applyAlignment="0" applyProtection="0"/>
    <xf numFmtId="44" fontId="40"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50" fillId="32" borderId="0">
      <alignment vertical="center"/>
    </xf>
    <xf numFmtId="49" fontId="50" fillId="33" borderId="0">
      <alignment vertical="center"/>
    </xf>
    <xf numFmtId="0" fontId="17" fillId="0" borderId="0" applyNumberFormat="0" applyFill="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9" fillId="0" borderId="3" applyNumberFormat="0" applyFill="0" applyAlignment="0" applyProtection="0"/>
    <xf numFmtId="0" fontId="20" fillId="0" borderId="4" applyNumberFormat="0" applyFill="0" applyAlignment="0" applyProtection="0"/>
    <xf numFmtId="0" fontId="21" fillId="0" borderId="5" applyNumberFormat="0" applyFill="0" applyAlignment="0" applyProtection="0"/>
    <xf numFmtId="0" fontId="21" fillId="0" borderId="0" applyNumberFormat="0" applyFill="0" applyBorder="0" applyAlignment="0" applyProtection="0"/>
    <xf numFmtId="0" fontId="11" fillId="0" borderId="0" applyNumberFormat="0" applyFill="0" applyBorder="0" applyAlignment="0" applyProtection="0">
      <alignment vertical="top"/>
      <protection locked="0"/>
    </xf>
    <xf numFmtId="0" fontId="22" fillId="4" borderId="1" applyNumberFormat="0" applyAlignment="0" applyProtection="0"/>
    <xf numFmtId="0" fontId="22" fillId="5" borderId="1" applyNumberFormat="0" applyAlignment="0" applyProtection="0"/>
    <xf numFmtId="164" fontId="1" fillId="31" borderId="0" applyFont="0" applyBorder="0" applyAlignment="0">
      <alignment horizontal="right"/>
      <protection locked="0"/>
    </xf>
    <xf numFmtId="41" fontId="6" fillId="31" borderId="0" applyFont="0" applyBorder="0" applyAlignment="0">
      <alignment horizontal="right"/>
      <protection locked="0"/>
    </xf>
    <xf numFmtId="41" fontId="35"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35"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40" fillId="31" borderId="0" applyFont="0" applyBorder="0" applyAlignment="0">
      <alignment horizontal="right"/>
      <protection locked="0"/>
    </xf>
    <xf numFmtId="41" fontId="6" fillId="31" borderId="0" applyFont="0" applyBorder="0" applyAlignment="0">
      <alignment horizontal="right"/>
      <protection locked="0"/>
    </xf>
    <xf numFmtId="165" fontId="6" fillId="30" borderId="0" applyFont="0" applyBorder="0">
      <alignment horizontal="right"/>
      <protection locked="0"/>
    </xf>
    <xf numFmtId="165" fontId="35" fillId="30" borderId="0" applyFont="0" applyBorder="0">
      <alignment horizontal="right"/>
      <protection locked="0"/>
    </xf>
    <xf numFmtId="165" fontId="6" fillId="30" borderId="0" applyFont="0" applyBorder="0">
      <alignment horizontal="right"/>
      <protection locked="0"/>
    </xf>
    <xf numFmtId="164" fontId="6" fillId="7" borderId="0" applyFont="0" applyBorder="0">
      <alignment horizontal="right"/>
      <protection locked="0"/>
    </xf>
    <xf numFmtId="41" fontId="6" fillId="7" borderId="0" applyFont="0" applyBorder="0">
      <alignment horizontal="right"/>
      <protection locked="0"/>
    </xf>
    <xf numFmtId="41" fontId="35"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35"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0" fontId="23" fillId="0" borderId="6" applyNumberFormat="0" applyFill="0" applyAlignment="0" applyProtection="0"/>
    <xf numFmtId="0" fontId="24" fillId="10" borderId="0" applyNumberFormat="0" applyBorder="0" applyAlignment="0" applyProtection="0"/>
    <xf numFmtId="0" fontId="24" fillId="11" borderId="0" applyNumberFormat="0" applyBorder="0" applyAlignment="0" applyProtection="0"/>
    <xf numFmtId="0" fontId="6" fillId="0" borderId="0"/>
    <xf numFmtId="0" fontId="51" fillId="0" borderId="0"/>
    <xf numFmtId="0" fontId="34" fillId="0" borderId="0"/>
    <xf numFmtId="0" fontId="52" fillId="0" borderId="0"/>
    <xf numFmtId="0" fontId="6" fillId="0" borderId="0"/>
    <xf numFmtId="0" fontId="35" fillId="0" borderId="0"/>
    <xf numFmtId="0" fontId="6" fillId="0" borderId="0"/>
    <xf numFmtId="0" fontId="6" fillId="0" borderId="0" applyNumberFormat="0" applyFill="0" applyBorder="0" applyAlignment="0" applyProtection="0"/>
    <xf numFmtId="0" fontId="53" fillId="0" borderId="0"/>
    <xf numFmtId="0" fontId="52" fillId="0" borderId="0"/>
    <xf numFmtId="0" fontId="1" fillId="9" borderId="0"/>
    <xf numFmtId="0" fontId="1" fillId="9" borderId="0"/>
    <xf numFmtId="0" fontId="1" fillId="9" borderId="0"/>
    <xf numFmtId="0" fontId="1" fillId="0" borderId="0"/>
    <xf numFmtId="0" fontId="1" fillId="9" borderId="0"/>
    <xf numFmtId="0" fontId="6" fillId="9" borderId="0"/>
    <xf numFmtId="0" fontId="1" fillId="9" borderId="0"/>
    <xf numFmtId="0" fontId="1" fillId="9" borderId="0"/>
    <xf numFmtId="0" fontId="35" fillId="9" borderId="0"/>
    <xf numFmtId="0" fontId="1" fillId="9" borderId="0"/>
    <xf numFmtId="0" fontId="40" fillId="9" borderId="0"/>
    <xf numFmtId="0" fontId="6" fillId="6" borderId="7" applyNumberFormat="0" applyFont="0" applyAlignment="0" applyProtection="0"/>
    <xf numFmtId="0" fontId="35" fillId="7" borderId="7" applyNumberFormat="0" applyFont="0" applyAlignment="0" applyProtection="0"/>
    <xf numFmtId="0" fontId="6" fillId="7" borderId="7" applyNumberFormat="0" applyFont="0" applyAlignment="0" applyProtection="0"/>
    <xf numFmtId="0" fontId="25" fillId="8" borderId="8" applyNumberFormat="0" applyAlignment="0" applyProtection="0"/>
    <xf numFmtId="0" fontId="25" fillId="9" borderId="8" applyNumberFormat="0" applyAlignment="0" applyProtection="0"/>
    <xf numFmtId="9" fontId="1" fillId="0" borderId="0" applyFont="0" applyFill="0" applyBorder="0" applyAlignment="0" applyProtection="0"/>
    <xf numFmtId="9" fontId="4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 fillId="0" borderId="0"/>
    <xf numFmtId="0" fontId="6" fillId="0" borderId="0"/>
    <xf numFmtId="0" fontId="35" fillId="0" borderId="0"/>
    <xf numFmtId="0" fontId="6" fillId="0" borderId="0"/>
    <xf numFmtId="0" fontId="35" fillId="0" borderId="0"/>
    <xf numFmtId="0" fontId="6" fillId="0" borderId="0"/>
    <xf numFmtId="0" fontId="40" fillId="0" borderId="0"/>
    <xf numFmtId="0" fontId="6" fillId="0" borderId="0"/>
    <xf numFmtId="0" fontId="26" fillId="0" borderId="0" applyNumberFormat="0" applyFill="0" applyBorder="0" applyAlignment="0" applyProtection="0"/>
    <xf numFmtId="0" fontId="27" fillId="0" borderId="9" applyNumberFormat="0" applyFill="0" applyAlignment="0" applyProtection="0"/>
    <xf numFmtId="0" fontId="28" fillId="0" borderId="0" applyNumberFormat="0" applyFill="0" applyBorder="0" applyAlignment="0" applyProtection="0"/>
    <xf numFmtId="0" fontId="1" fillId="0" borderId="0"/>
  </cellStyleXfs>
  <cellXfs count="442">
    <xf numFmtId="0" fontId="0" fillId="0" borderId="0" xfId="0"/>
    <xf numFmtId="0" fontId="9" fillId="9" borderId="0" xfId="225" applyFont="1"/>
    <xf numFmtId="0" fontId="10" fillId="9" borderId="0" xfId="225" applyFont="1" applyAlignment="1">
      <alignment vertical="center"/>
    </xf>
    <xf numFmtId="0" fontId="9" fillId="9" borderId="0" xfId="225" applyFont="1" applyAlignment="1">
      <alignment vertical="center"/>
    </xf>
    <xf numFmtId="0" fontId="1" fillId="9" borderId="0" xfId="229"/>
    <xf numFmtId="0" fontId="0" fillId="0" borderId="0" xfId="0" applyAlignment="1">
      <alignment horizontal="center"/>
    </xf>
    <xf numFmtId="0" fontId="0" fillId="34" borderId="0" xfId="0" applyFill="1"/>
    <xf numFmtId="0" fontId="0" fillId="34" borderId="0" xfId="0" applyFill="1" applyAlignment="1">
      <alignment horizontal="center"/>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43" fontId="0" fillId="0" borderId="0" xfId="0" applyNumberFormat="1"/>
    <xf numFmtId="164" fontId="33" fillId="13" borderId="10" xfId="78" applyNumberFormat="1" applyFont="1" applyFill="1" applyBorder="1" applyAlignment="1"/>
    <xf numFmtId="0" fontId="1" fillId="9" borderId="0" xfId="229" applyProtection="1">
      <protection locked="0"/>
    </xf>
    <xf numFmtId="164" fontId="3" fillId="13" borderId="10" xfId="78" applyNumberFormat="1" applyFont="1" applyFill="1" applyBorder="1" applyAlignment="1" applyProtection="1">
      <alignment horizontal="right"/>
    </xf>
    <xf numFmtId="10" fontId="3" fillId="13" borderId="10" xfId="232" applyNumberFormat="1" applyFont="1" applyFill="1" applyBorder="1" applyAlignment="1">
      <alignment horizontal="right"/>
    </xf>
    <xf numFmtId="167" fontId="8" fillId="28" borderId="0" xfId="0" applyNumberFormat="1" applyFont="1" applyFill="1" applyAlignment="1">
      <alignment horizontal="left" vertical="center" wrapText="1"/>
    </xf>
    <xf numFmtId="170" fontId="3" fillId="13" borderId="10" xfId="234" applyNumberFormat="1" applyFont="1" applyFill="1" applyBorder="1" applyAlignment="1">
      <alignment horizontal="right"/>
    </xf>
    <xf numFmtId="166" fontId="3" fillId="13" borderId="10" xfId="234" applyNumberFormat="1" applyFont="1" applyFill="1" applyBorder="1" applyAlignment="1">
      <alignment horizontal="right"/>
    </xf>
    <xf numFmtId="43" fontId="3" fillId="13" borderId="10" xfId="78" applyFont="1" applyFill="1" applyBorder="1" applyAlignment="1" applyProtection="1">
      <alignment horizontal="right"/>
    </xf>
    <xf numFmtId="49" fontId="8" fillId="36" borderId="10" xfId="229" applyNumberFormat="1" applyFont="1" applyFill="1" applyBorder="1" applyAlignment="1">
      <alignment horizontal="left"/>
    </xf>
    <xf numFmtId="49" fontId="54" fillId="36" borderId="10" xfId="229" applyNumberFormat="1" applyFont="1" applyFill="1" applyBorder="1" applyAlignment="1">
      <alignment horizontal="left"/>
    </xf>
    <xf numFmtId="2" fontId="31" fillId="36" borderId="11" xfId="230" applyNumberFormat="1" applyFont="1" applyFill="1" applyBorder="1" applyAlignment="1">
      <alignment horizontal="left" vertical="center" wrapText="1"/>
    </xf>
    <xf numFmtId="167" fontId="8" fillId="36" borderId="10" xfId="229" quotePrefix="1" applyNumberFormat="1" applyFont="1" applyFill="1" applyBorder="1" applyAlignment="1">
      <alignment vertical="center" wrapText="1"/>
    </xf>
    <xf numFmtId="49" fontId="31" fillId="36" borderId="10" xfId="229" applyNumberFormat="1" applyFont="1" applyFill="1" applyBorder="1" applyAlignment="1">
      <alignment horizontal="center" vertical="center" wrapText="1"/>
    </xf>
    <xf numFmtId="167" fontId="37" fillId="36" borderId="10" xfId="229" quotePrefix="1" applyNumberFormat="1" applyFont="1" applyFill="1" applyBorder="1" applyAlignment="1">
      <alignment horizontal="left" vertical="center" wrapText="1"/>
    </xf>
    <xf numFmtId="167" fontId="54" fillId="36" borderId="10" xfId="229" quotePrefix="1" applyNumberFormat="1" applyFont="1" applyFill="1" applyBorder="1" applyAlignment="1">
      <alignment horizontal="left" vertical="center" wrapText="1" indent="1"/>
    </xf>
    <xf numFmtId="167" fontId="55" fillId="36" borderId="10" xfId="229" quotePrefix="1" applyNumberFormat="1" applyFont="1" applyFill="1" applyBorder="1" applyAlignment="1">
      <alignment horizontal="left" vertical="center" wrapText="1"/>
    </xf>
    <xf numFmtId="49" fontId="54" fillId="36" borderId="10" xfId="229" applyNumberFormat="1" applyFont="1" applyFill="1" applyBorder="1" applyAlignment="1">
      <alignment horizontal="left" indent="1"/>
    </xf>
    <xf numFmtId="49" fontId="54" fillId="36" borderId="10" xfId="233" applyNumberFormat="1" applyFont="1" applyFill="1" applyBorder="1" applyAlignment="1">
      <alignment horizontal="left" vertical="center" wrapText="1" indent="1"/>
    </xf>
    <xf numFmtId="167" fontId="31" fillId="36" borderId="10" xfId="229" quotePrefix="1" applyNumberFormat="1" applyFont="1" applyFill="1" applyBorder="1" applyAlignment="1">
      <alignment horizontal="center" vertical="center" wrapText="1"/>
    </xf>
    <xf numFmtId="2" fontId="31" fillId="36" borderId="10" xfId="229" applyNumberFormat="1" applyFont="1" applyFill="1" applyBorder="1" applyAlignment="1">
      <alignment horizontal="center" vertical="center" wrapText="1"/>
    </xf>
    <xf numFmtId="2" fontId="8" fillId="36" borderId="10" xfId="78" applyNumberFormat="1" applyFont="1" applyFill="1" applyBorder="1" applyAlignment="1" applyProtection="1">
      <alignment horizontal="center"/>
    </xf>
    <xf numFmtId="49" fontId="8" fillId="36" borderId="10" xfId="229" applyNumberFormat="1" applyFont="1" applyFill="1" applyBorder="1"/>
    <xf numFmtId="49" fontId="31" fillId="36" borderId="10" xfId="229" applyNumberFormat="1" applyFont="1" applyFill="1" applyBorder="1" applyAlignment="1">
      <alignment horizontal="left"/>
    </xf>
    <xf numFmtId="49" fontId="8" fillId="36" borderId="10" xfId="229" applyNumberFormat="1" applyFont="1" applyFill="1" applyBorder="1" applyAlignment="1">
      <alignment horizontal="left" wrapText="1"/>
    </xf>
    <xf numFmtId="49" fontId="31" fillId="36" borderId="12" xfId="229" applyNumberFormat="1" applyFont="1" applyFill="1" applyBorder="1" applyAlignment="1">
      <alignment horizontal="center" vertical="center" wrapText="1"/>
    </xf>
    <xf numFmtId="49" fontId="31" fillId="36" borderId="13" xfId="229" applyNumberFormat="1" applyFont="1" applyFill="1" applyBorder="1" applyAlignment="1">
      <alignment horizontal="center" vertical="center" wrapText="1"/>
    </xf>
    <xf numFmtId="49" fontId="31" fillId="36" borderId="10" xfId="232" applyNumberFormat="1" applyFont="1" applyFill="1" applyBorder="1" applyAlignment="1">
      <alignment horizontal="center" vertical="center" wrapText="1"/>
    </xf>
    <xf numFmtId="164" fontId="31" fillId="36" borderId="10" xfId="232" applyNumberFormat="1" applyFont="1" applyFill="1" applyBorder="1" applyAlignment="1">
      <alignment horizontal="right" vertical="center" wrapText="1"/>
    </xf>
    <xf numFmtId="49" fontId="31" fillId="36" borderId="10" xfId="232" applyNumberFormat="1" applyFont="1" applyFill="1" applyBorder="1" applyAlignment="1">
      <alignment horizontal="center"/>
    </xf>
    <xf numFmtId="166" fontId="8" fillId="36" borderId="14" xfId="78" applyNumberFormat="1" applyFont="1" applyFill="1" applyBorder="1" applyAlignment="1" applyProtection="1">
      <alignment horizontal="right" vertical="center"/>
    </xf>
    <xf numFmtId="49" fontId="31" fillId="36" borderId="10" xfId="232" applyNumberFormat="1" applyFont="1" applyFill="1" applyBorder="1" applyAlignment="1">
      <alignment horizontal="right" vertical="center" wrapText="1"/>
    </xf>
    <xf numFmtId="49" fontId="31" fillId="36" borderId="14" xfId="232" applyNumberFormat="1" applyFont="1" applyFill="1" applyBorder="1" applyAlignment="1">
      <alignment horizontal="center"/>
    </xf>
    <xf numFmtId="49" fontId="8" fillId="36" borderId="10" xfId="229" applyNumberFormat="1" applyFont="1" applyFill="1" applyBorder="1" applyAlignment="1">
      <alignment wrapText="1"/>
    </xf>
    <xf numFmtId="167" fontId="31" fillId="36" borderId="10" xfId="230" quotePrefix="1" applyNumberFormat="1" applyFont="1" applyFill="1" applyBorder="1" applyAlignment="1">
      <alignment horizontal="center" vertical="center" wrapText="1"/>
    </xf>
    <xf numFmtId="2" fontId="31" fillId="36" borderId="11" xfId="230" applyNumberFormat="1" applyFont="1" applyFill="1" applyBorder="1" applyAlignment="1">
      <alignment horizontal="center" vertical="center" wrapText="1"/>
    </xf>
    <xf numFmtId="2" fontId="56" fillId="36" borderId="11" xfId="230" applyNumberFormat="1" applyFont="1" applyFill="1" applyBorder="1" applyAlignment="1">
      <alignment horizontal="left" vertical="center" wrapText="1"/>
    </xf>
    <xf numFmtId="41" fontId="8" fillId="36" borderId="15" xfId="230" applyNumberFormat="1" applyFont="1" applyFill="1" applyBorder="1" applyAlignment="1">
      <alignment horizontal="left" indent="1"/>
    </xf>
    <xf numFmtId="41" fontId="5" fillId="36" borderId="15" xfId="230" applyNumberFormat="1" applyFont="1" applyFill="1" applyBorder="1"/>
    <xf numFmtId="164" fontId="31" fillId="36" borderId="10" xfId="232" applyNumberFormat="1" applyFont="1" applyFill="1" applyBorder="1" applyAlignment="1">
      <alignment horizontal="center" vertical="center" wrapText="1"/>
    </xf>
    <xf numFmtId="167" fontId="31" fillId="36" borderId="10" xfId="234" applyNumberFormat="1" applyFont="1" applyFill="1" applyBorder="1" applyAlignment="1">
      <alignment horizontal="center" vertical="center" wrapText="1"/>
    </xf>
    <xf numFmtId="49" fontId="31" fillId="36" borderId="10" xfId="234" applyNumberFormat="1" applyFont="1" applyFill="1" applyBorder="1" applyAlignment="1">
      <alignment horizontal="center" vertical="center" wrapText="1"/>
    </xf>
    <xf numFmtId="49" fontId="56" fillId="36" borderId="10" xfId="234" applyNumberFormat="1" applyFont="1" applyFill="1" applyBorder="1" applyAlignment="1">
      <alignment horizontal="center" vertical="center" wrapText="1"/>
    </xf>
    <xf numFmtId="166" fontId="8" fillId="36" borderId="14" xfId="78" applyNumberFormat="1" applyFont="1" applyFill="1" applyBorder="1" applyAlignment="1" applyProtection="1">
      <alignment horizontal="center" vertical="center"/>
    </xf>
    <xf numFmtId="166" fontId="54" fillId="36" borderId="14" xfId="78" applyNumberFormat="1" applyFont="1" applyFill="1" applyBorder="1" applyAlignment="1" applyProtection="1">
      <alignment horizontal="center" vertical="center"/>
    </xf>
    <xf numFmtId="2" fontId="54" fillId="36" borderId="14" xfId="78" applyNumberFormat="1" applyFont="1" applyFill="1" applyBorder="1" applyAlignment="1" applyProtection="1">
      <alignment horizontal="center" vertical="center"/>
    </xf>
    <xf numFmtId="1" fontId="8" fillId="36" borderId="14" xfId="78" applyNumberFormat="1" applyFont="1" applyFill="1" applyBorder="1" applyAlignment="1" applyProtection="1">
      <alignment horizontal="center" vertical="center"/>
    </xf>
    <xf numFmtId="49" fontId="31" fillId="36" borderId="10" xfId="234" applyNumberFormat="1" applyFont="1" applyFill="1" applyBorder="1" applyAlignment="1">
      <alignment horizontal="left" vertical="center" wrapText="1"/>
    </xf>
    <xf numFmtId="167" fontId="8" fillId="36" borderId="10" xfId="0" applyNumberFormat="1" applyFont="1" applyFill="1" applyBorder="1" applyAlignment="1">
      <alignment horizontal="left" vertical="center" wrapText="1"/>
    </xf>
    <xf numFmtId="49" fontId="8" fillId="36" borderId="10" xfId="234" applyNumberFormat="1" applyFont="1" applyFill="1" applyBorder="1" applyAlignment="1">
      <alignment horizontal="left" vertical="center" wrapText="1"/>
    </xf>
    <xf numFmtId="49" fontId="54" fillId="36" borderId="10" xfId="234" applyNumberFormat="1" applyFont="1" applyFill="1" applyBorder="1" applyAlignment="1">
      <alignment horizontal="left" vertical="center" wrapText="1"/>
    </xf>
    <xf numFmtId="166" fontId="57" fillId="36" borderId="10" xfId="234" applyNumberFormat="1" applyFont="1" applyFill="1" applyBorder="1" applyAlignment="1">
      <alignment horizontal="left"/>
    </xf>
    <xf numFmtId="167" fontId="38" fillId="38" borderId="0" xfId="0" applyNumberFormat="1" applyFont="1" applyFill="1" applyAlignment="1">
      <alignment horizontal="left" vertical="center" wrapText="1"/>
    </xf>
    <xf numFmtId="10" fontId="33" fillId="13" borderId="10" xfId="241" applyNumberFormat="1" applyFont="1" applyFill="1" applyBorder="1" applyAlignment="1">
      <alignment horizontal="right"/>
    </xf>
    <xf numFmtId="41" fontId="8" fillId="38" borderId="10" xfId="230" applyNumberFormat="1" applyFont="1" applyFill="1" applyBorder="1"/>
    <xf numFmtId="41" fontId="56" fillId="38" borderId="10" xfId="230" applyNumberFormat="1" applyFont="1" applyFill="1" applyBorder="1" applyAlignment="1">
      <alignment horizontal="left"/>
    </xf>
    <xf numFmtId="41" fontId="31" fillId="38" borderId="10" xfId="230" applyNumberFormat="1" applyFont="1" applyFill="1" applyBorder="1"/>
    <xf numFmtId="49" fontId="8" fillId="38" borderId="10" xfId="229" applyNumberFormat="1" applyFont="1" applyFill="1" applyBorder="1"/>
    <xf numFmtId="167" fontId="8" fillId="38" borderId="0" xfId="0" applyNumberFormat="1" applyFont="1" applyFill="1" applyAlignment="1">
      <alignment horizontal="left" vertical="center" wrapText="1"/>
    </xf>
    <xf numFmtId="49" fontId="31" fillId="36" borderId="10" xfId="232" applyNumberFormat="1" applyFont="1" applyFill="1" applyBorder="1" applyAlignment="1">
      <alignment horizontal="center" vertical="center"/>
    </xf>
    <xf numFmtId="0" fontId="50" fillId="32" borderId="0" xfId="151">
      <alignment vertical="center"/>
    </xf>
    <xf numFmtId="0" fontId="42" fillId="0" borderId="0" xfId="0" applyFont="1" applyAlignment="1">
      <alignment horizontal="right" indent="2"/>
    </xf>
    <xf numFmtId="0" fontId="42" fillId="0" borderId="0" xfId="0" applyFont="1"/>
    <xf numFmtId="0" fontId="42" fillId="0" borderId="17" xfId="0" applyFont="1" applyBorder="1"/>
    <xf numFmtId="0" fontId="42" fillId="0" borderId="18" xfId="0" applyFont="1" applyBorder="1"/>
    <xf numFmtId="49" fontId="58" fillId="38" borderId="0" xfId="152" applyFont="1" applyFill="1">
      <alignment vertical="center"/>
    </xf>
    <xf numFmtId="14" fontId="58" fillId="38" borderId="0" xfId="229" applyNumberFormat="1" applyFont="1" applyFill="1" applyAlignment="1">
      <alignment horizontal="left"/>
    </xf>
    <xf numFmtId="14" fontId="58" fillId="38" borderId="0" xfId="229" applyNumberFormat="1" applyFont="1" applyFill="1" applyAlignment="1">
      <alignment horizontal="right"/>
    </xf>
    <xf numFmtId="14" fontId="50" fillId="38" borderId="0" xfId="229" applyNumberFormat="1" applyFont="1" applyFill="1" applyAlignment="1">
      <alignment horizontal="right"/>
    </xf>
    <xf numFmtId="0" fontId="0" fillId="9" borderId="0" xfId="229" applyFont="1"/>
    <xf numFmtId="167" fontId="8" fillId="36" borderId="10" xfId="0" applyNumberFormat="1" applyFont="1" applyFill="1" applyBorder="1" applyAlignment="1">
      <alignment horizontal="center" vertical="center" wrapText="1"/>
    </xf>
    <xf numFmtId="167" fontId="31" fillId="36" borderId="10" xfId="0" applyNumberFormat="1" applyFont="1" applyFill="1" applyBorder="1" applyAlignment="1">
      <alignment horizontal="center" vertical="center" wrapText="1"/>
    </xf>
    <xf numFmtId="167" fontId="57" fillId="36" borderId="10" xfId="0" applyNumberFormat="1" applyFont="1" applyFill="1" applyBorder="1" applyAlignment="1">
      <alignment horizontal="center" vertical="center" wrapText="1"/>
    </xf>
    <xf numFmtId="0" fontId="0" fillId="40" borderId="0" xfId="0" applyFill="1"/>
    <xf numFmtId="0" fontId="4" fillId="40" borderId="0" xfId="0" applyFont="1" applyFill="1"/>
    <xf numFmtId="49" fontId="31" fillId="36" borderId="10" xfId="229" applyNumberFormat="1" applyFont="1" applyFill="1" applyBorder="1" applyAlignment="1">
      <alignment horizontal="left" vertical="center" wrapText="1"/>
    </xf>
    <xf numFmtId="2" fontId="8" fillId="36" borderId="0" xfId="78" applyNumberFormat="1" applyFont="1" applyFill="1" applyBorder="1" applyAlignment="1" applyProtection="1">
      <alignment horizontal="center"/>
    </xf>
    <xf numFmtId="49" fontId="8" fillId="36" borderId="10" xfId="230" applyNumberFormat="1" applyFont="1" applyFill="1" applyBorder="1" applyAlignment="1">
      <alignment horizontal="center" vertical="center"/>
    </xf>
    <xf numFmtId="2" fontId="8" fillId="36" borderId="10" xfId="80" applyNumberFormat="1" applyFont="1" applyFill="1" applyBorder="1" applyAlignment="1" applyProtection="1">
      <alignment horizontal="center"/>
    </xf>
    <xf numFmtId="49" fontId="54" fillId="36" borderId="10" xfId="230" applyNumberFormat="1" applyFont="1" applyFill="1" applyBorder="1"/>
    <xf numFmtId="164" fontId="3" fillId="13" borderId="10" xfId="80" applyNumberFormat="1" applyFont="1" applyFill="1" applyBorder="1" applyAlignment="1" applyProtection="1">
      <alignment horizontal="right"/>
    </xf>
    <xf numFmtId="164" fontId="3" fillId="39" borderId="10" xfId="80" applyNumberFormat="1" applyFont="1" applyFill="1" applyBorder="1" applyAlignment="1" applyProtection="1">
      <alignment horizontal="right"/>
    </xf>
    <xf numFmtId="49" fontId="8" fillId="36" borderId="10" xfId="229" applyNumberFormat="1" applyFont="1" applyFill="1" applyBorder="1" applyAlignment="1">
      <alignment horizontal="left" vertical="center" wrapText="1"/>
    </xf>
    <xf numFmtId="49" fontId="8" fillId="38" borderId="10" xfId="229" applyNumberFormat="1" applyFont="1" applyFill="1" applyBorder="1" applyAlignment="1">
      <alignment horizontal="left" vertical="center" wrapText="1"/>
    </xf>
    <xf numFmtId="10" fontId="3" fillId="13" borderId="10" xfId="80" applyNumberFormat="1" applyFont="1" applyFill="1" applyBorder="1" applyAlignment="1" applyProtection="1">
      <alignment horizontal="right"/>
    </xf>
    <xf numFmtId="0" fontId="8" fillId="36" borderId="10" xfId="229" applyFont="1" applyFill="1" applyBorder="1" applyAlignment="1">
      <alignment horizontal="left"/>
    </xf>
    <xf numFmtId="49" fontId="31" fillId="38" borderId="10" xfId="229" applyNumberFormat="1" applyFont="1" applyFill="1" applyBorder="1" applyAlignment="1">
      <alignment horizontal="left"/>
    </xf>
    <xf numFmtId="164" fontId="33" fillId="13" borderId="10" xfId="78" applyNumberFormat="1" applyFont="1" applyFill="1" applyBorder="1" applyAlignment="1">
      <alignment horizontal="right"/>
    </xf>
    <xf numFmtId="167" fontId="8" fillId="36" borderId="10" xfId="229" quotePrefix="1" applyNumberFormat="1" applyFont="1" applyFill="1" applyBorder="1" applyAlignment="1">
      <alignment horizontal="left" vertical="center" wrapText="1"/>
    </xf>
    <xf numFmtId="164" fontId="33" fillId="13" borderId="10" xfId="78" applyNumberFormat="1" applyFont="1" applyFill="1" applyBorder="1" applyAlignment="1" applyProtection="1">
      <alignment horizontal="right"/>
    </xf>
    <xf numFmtId="164" fontId="32" fillId="13" borderId="10" xfId="78" applyNumberFormat="1" applyFont="1" applyFill="1" applyBorder="1" applyAlignment="1" applyProtection="1">
      <alignment horizontal="right"/>
    </xf>
    <xf numFmtId="49" fontId="50" fillId="38" borderId="0" xfId="152" applyFill="1">
      <alignment vertical="center"/>
    </xf>
    <xf numFmtId="167" fontId="31" fillId="36" borderId="10" xfId="229" quotePrefix="1" applyNumberFormat="1" applyFont="1" applyFill="1" applyBorder="1" applyAlignment="1">
      <alignment horizontal="left" vertical="center" wrapText="1"/>
    </xf>
    <xf numFmtId="49" fontId="31" fillId="38" borderId="10" xfId="229" applyNumberFormat="1" applyFont="1" applyFill="1" applyBorder="1"/>
    <xf numFmtId="174" fontId="33" fillId="13" borderId="10" xfId="80" applyNumberFormat="1" applyFont="1" applyFill="1" applyBorder="1" applyAlignment="1">
      <alignment horizontal="right"/>
    </xf>
    <xf numFmtId="174" fontId="33" fillId="13" borderId="10" xfId="80" applyNumberFormat="1" applyFont="1" applyFill="1" applyBorder="1" applyAlignment="1">
      <alignment horizontal="center" vertical="center"/>
    </xf>
    <xf numFmtId="164" fontId="3" fillId="39" borderId="10" xfId="78" applyNumberFormat="1" applyFont="1" applyFill="1" applyBorder="1" applyAlignment="1" applyProtection="1">
      <alignment horizontal="right"/>
    </xf>
    <xf numFmtId="0" fontId="43" fillId="0" borderId="19" xfId="0" applyFont="1" applyBorder="1"/>
    <xf numFmtId="0" fontId="43" fillId="0" borderId="20" xfId="0" applyFont="1" applyBorder="1"/>
    <xf numFmtId="0" fontId="43" fillId="0" borderId="21" xfId="0" applyFont="1" applyBorder="1"/>
    <xf numFmtId="0" fontId="43" fillId="0" borderId="17" xfId="0" applyFont="1" applyBorder="1"/>
    <xf numFmtId="0" fontId="43" fillId="0" borderId="18" xfId="0" applyFont="1" applyBorder="1"/>
    <xf numFmtId="0" fontId="43" fillId="0" borderId="0" xfId="0" applyFont="1"/>
    <xf numFmtId="0" fontId="43" fillId="0" borderId="22" xfId="0" applyFont="1" applyBorder="1"/>
    <xf numFmtId="0" fontId="43" fillId="0" borderId="23" xfId="0" applyFont="1" applyBorder="1" applyAlignment="1">
      <alignment horizontal="right" indent="2"/>
    </xf>
    <xf numFmtId="0" fontId="43" fillId="0" borderId="23" xfId="0" applyFont="1" applyBorder="1"/>
    <xf numFmtId="0" fontId="43" fillId="0" borderId="24" xfId="0" applyFont="1" applyBorder="1"/>
    <xf numFmtId="0" fontId="58" fillId="38" borderId="0" xfId="0" applyFont="1" applyFill="1" applyAlignment="1">
      <alignment horizontal="right" indent="2"/>
    </xf>
    <xf numFmtId="0" fontId="59" fillId="38" borderId="0" xfId="160" quotePrefix="1" applyFont="1" applyFill="1" applyBorder="1" applyAlignment="1" applyProtection="1"/>
    <xf numFmtId="0" fontId="59" fillId="38" borderId="0" xfId="0" quotePrefix="1" applyFont="1" applyFill="1" applyAlignment="1">
      <alignment horizontal="left"/>
    </xf>
    <xf numFmtId="0" fontId="60" fillId="40" borderId="0" xfId="160" quotePrefix="1" applyFont="1" applyFill="1" applyBorder="1" applyAlignment="1" applyProtection="1"/>
    <xf numFmtId="0" fontId="60" fillId="40" borderId="0" xfId="0" quotePrefix="1" applyFont="1" applyFill="1" applyAlignment="1">
      <alignment horizontal="left"/>
    </xf>
    <xf numFmtId="0" fontId="44" fillId="37" borderId="12" xfId="230" applyFont="1" applyFill="1" applyBorder="1" applyAlignment="1" applyProtection="1">
      <alignment horizontal="right" vertical="center"/>
      <protection locked="0"/>
    </xf>
    <xf numFmtId="0" fontId="46" fillId="41" borderId="0" xfId="0" applyFont="1" applyFill="1"/>
    <xf numFmtId="0" fontId="61" fillId="41" borderId="0" xfId="0" applyFont="1" applyFill="1"/>
    <xf numFmtId="2" fontId="8" fillId="36" borderId="10" xfId="230" applyNumberFormat="1" applyFont="1" applyFill="1" applyBorder="1" applyAlignment="1">
      <alignment horizontal="center" vertical="center" wrapText="1"/>
    </xf>
    <xf numFmtId="41" fontId="8" fillId="36" borderId="10" xfId="230" applyNumberFormat="1" applyFont="1" applyFill="1" applyBorder="1" applyAlignment="1">
      <alignment horizontal="left" indent="1"/>
    </xf>
    <xf numFmtId="49" fontId="56" fillId="36" borderId="10" xfId="230" applyNumberFormat="1" applyFont="1" applyFill="1" applyBorder="1" applyAlignment="1">
      <alignment horizontal="left" vertical="center" wrapText="1"/>
    </xf>
    <xf numFmtId="10" fontId="6" fillId="0" borderId="0" xfId="219" applyNumberFormat="1"/>
    <xf numFmtId="166" fontId="33" fillId="39" borderId="10" xfId="80" applyNumberFormat="1" applyFont="1" applyFill="1" applyBorder="1" applyAlignment="1" applyProtection="1">
      <alignment horizontal="right"/>
    </xf>
    <xf numFmtId="49" fontId="56" fillId="36" borderId="10" xfId="230" applyNumberFormat="1" applyFont="1" applyFill="1" applyBorder="1"/>
    <xf numFmtId="172" fontId="33" fillId="13" borderId="10" xfId="80" applyNumberFormat="1" applyFont="1" applyFill="1" applyBorder="1" applyAlignment="1" applyProtection="1">
      <alignment horizontal="right"/>
    </xf>
    <xf numFmtId="164" fontId="33" fillId="13" borderId="10" xfId="80" applyNumberFormat="1" applyFont="1" applyFill="1" applyBorder="1" applyAlignment="1" applyProtection="1"/>
    <xf numFmtId="171" fontId="33" fillId="13" borderId="10" xfId="80" applyNumberFormat="1" applyFont="1" applyFill="1" applyBorder="1" applyAlignment="1" applyProtection="1"/>
    <xf numFmtId="0" fontId="6" fillId="0" borderId="0" xfId="219" applyAlignment="1">
      <alignment horizontal="left" vertical="center" wrapText="1"/>
    </xf>
    <xf numFmtId="49" fontId="8" fillId="36" borderId="10" xfId="230" applyNumberFormat="1" applyFont="1" applyFill="1" applyBorder="1" applyAlignment="1">
      <alignment horizontal="left" vertical="center" wrapText="1"/>
    </xf>
    <xf numFmtId="49" fontId="31" fillId="36" borderId="10" xfId="230" applyNumberFormat="1" applyFont="1" applyFill="1" applyBorder="1" applyAlignment="1">
      <alignment horizontal="left" vertical="center" wrapText="1"/>
    </xf>
    <xf numFmtId="173" fontId="33" fillId="13" borderId="25" xfId="80" applyNumberFormat="1" applyFont="1" applyFill="1" applyBorder="1" applyAlignment="1" applyProtection="1">
      <alignment horizontal="right"/>
    </xf>
    <xf numFmtId="173" fontId="33" fillId="13" borderId="26" xfId="80" applyNumberFormat="1" applyFont="1" applyFill="1" applyBorder="1" applyAlignment="1" applyProtection="1">
      <alignment horizontal="right"/>
    </xf>
    <xf numFmtId="173" fontId="33" fillId="13" borderId="27" xfId="80" applyNumberFormat="1" applyFont="1" applyFill="1" applyBorder="1" applyAlignment="1" applyProtection="1">
      <alignment horizontal="right"/>
    </xf>
    <xf numFmtId="173" fontId="33" fillId="13" borderId="10" xfId="80" applyNumberFormat="1" applyFont="1" applyFill="1" applyBorder="1" applyAlignment="1" applyProtection="1">
      <alignment horizontal="right"/>
    </xf>
    <xf numFmtId="173" fontId="33" fillId="13" borderId="28" xfId="80" applyNumberFormat="1" applyFont="1" applyFill="1" applyBorder="1" applyAlignment="1" applyProtection="1">
      <alignment horizontal="right"/>
    </xf>
    <xf numFmtId="173" fontId="33" fillId="13" borderId="29" xfId="80" applyNumberFormat="1" applyFont="1" applyFill="1" applyBorder="1" applyAlignment="1" applyProtection="1">
      <alignment horizontal="right"/>
    </xf>
    <xf numFmtId="49" fontId="8" fillId="36" borderId="29" xfId="230" applyNumberFormat="1" applyFont="1" applyFill="1" applyBorder="1" applyAlignment="1">
      <alignment horizontal="center" vertical="center" wrapText="1"/>
    </xf>
    <xf numFmtId="0" fontId="6" fillId="0" borderId="0" xfId="219" applyAlignment="1">
      <alignment horizontal="center" vertical="center"/>
    </xf>
    <xf numFmtId="49" fontId="31" fillId="36" borderId="15" xfId="230" applyNumberFormat="1" applyFont="1" applyFill="1" applyBorder="1" applyAlignment="1">
      <alignment horizontal="center" vertical="center"/>
    </xf>
    <xf numFmtId="0" fontId="4" fillId="40" borderId="0" xfId="230" applyFont="1" applyFill="1"/>
    <xf numFmtId="174" fontId="33" fillId="13" borderId="10" xfId="80" applyNumberFormat="1" applyFont="1" applyFill="1" applyBorder="1" applyAlignment="1" applyProtection="1">
      <alignment horizontal="right"/>
    </xf>
    <xf numFmtId="49" fontId="54" fillId="36" borderId="10" xfId="230" applyNumberFormat="1" applyFont="1" applyFill="1" applyBorder="1" applyAlignment="1">
      <alignment horizontal="center" vertical="center"/>
    </xf>
    <xf numFmtId="49" fontId="54" fillId="38" borderId="10" xfId="230" applyNumberFormat="1" applyFont="1" applyFill="1" applyBorder="1"/>
    <xf numFmtId="49" fontId="8" fillId="36" borderId="0" xfId="230" applyNumberFormat="1" applyFont="1" applyFill="1" applyAlignment="1">
      <alignment horizontal="left"/>
    </xf>
    <xf numFmtId="49" fontId="8" fillId="36" borderId="10" xfId="230" applyNumberFormat="1" applyFont="1" applyFill="1" applyBorder="1" applyAlignment="1">
      <alignment horizontal="left"/>
    </xf>
    <xf numFmtId="0" fontId="4" fillId="9" borderId="0" xfId="230" applyFont="1"/>
    <xf numFmtId="0" fontId="6" fillId="0" borderId="0" xfId="219"/>
    <xf numFmtId="0" fontId="6" fillId="9" borderId="0" xfId="230"/>
    <xf numFmtId="14" fontId="54" fillId="36" borderId="10" xfId="229" applyNumberFormat="1" applyFont="1" applyFill="1" applyBorder="1" applyAlignment="1">
      <alignment horizontal="right"/>
    </xf>
    <xf numFmtId="14" fontId="56" fillId="36" borderId="10" xfId="229" applyNumberFormat="1" applyFont="1" applyFill="1" applyBorder="1" applyAlignment="1">
      <alignment horizontal="right"/>
    </xf>
    <xf numFmtId="49" fontId="54" fillId="36" borderId="10" xfId="233" applyNumberFormat="1" applyFont="1" applyFill="1" applyBorder="1" applyAlignment="1">
      <alignment horizontal="left" vertical="center" wrapText="1"/>
    </xf>
    <xf numFmtId="0" fontId="62" fillId="0" borderId="0" xfId="0" applyFont="1"/>
    <xf numFmtId="0" fontId="0" fillId="0" borderId="0" xfId="0" applyAlignment="1">
      <alignment horizontal="left" vertical="center"/>
    </xf>
    <xf numFmtId="0" fontId="4" fillId="0" borderId="0" xfId="0" applyFont="1"/>
    <xf numFmtId="9" fontId="33" fillId="37" borderId="10" xfId="243" applyFont="1" applyFill="1" applyBorder="1" applyAlignment="1" applyProtection="1">
      <alignment horizontal="right"/>
      <protection locked="0"/>
    </xf>
    <xf numFmtId="10" fontId="33" fillId="37" borderId="10" xfId="243" applyNumberFormat="1" applyFont="1" applyFill="1" applyBorder="1" applyAlignment="1" applyProtection="1">
      <alignment horizontal="right"/>
      <protection locked="0"/>
    </xf>
    <xf numFmtId="49" fontId="31" fillId="36" borderId="0" xfId="230" applyNumberFormat="1" applyFont="1" applyFill="1" applyAlignment="1">
      <alignment horizontal="left" vertical="center" wrapText="1"/>
    </xf>
    <xf numFmtId="2" fontId="33" fillId="13" borderId="10" xfId="80" applyNumberFormat="1" applyFont="1" applyFill="1" applyBorder="1" applyAlignment="1" applyProtection="1">
      <alignment horizontal="right"/>
    </xf>
    <xf numFmtId="49" fontId="8" fillId="36" borderId="0" xfId="230" applyNumberFormat="1" applyFont="1" applyFill="1" applyAlignment="1">
      <alignment horizontal="left" vertical="center" wrapText="1"/>
    </xf>
    <xf numFmtId="0" fontId="30" fillId="9" borderId="0" xfId="228" applyFont="1" applyFill="1"/>
    <xf numFmtId="0" fontId="1" fillId="9" borderId="0" xfId="232"/>
    <xf numFmtId="0" fontId="2" fillId="9" borderId="0" xfId="232" applyFont="1"/>
    <xf numFmtId="166" fontId="4" fillId="9" borderId="0" xfId="232" applyNumberFormat="1" applyFont="1" applyAlignment="1">
      <alignment horizontal="left"/>
    </xf>
    <xf numFmtId="166" fontId="4" fillId="0" borderId="0" xfId="232" applyNumberFormat="1" applyFont="1" applyFill="1" applyAlignment="1">
      <alignment horizontal="left"/>
    </xf>
    <xf numFmtId="49" fontId="31" fillId="36" borderId="10" xfId="235" applyNumberFormat="1" applyFont="1" applyFill="1" applyBorder="1" applyAlignment="1">
      <alignment horizontal="left" vertical="center" wrapText="1"/>
    </xf>
    <xf numFmtId="0" fontId="63" fillId="0" borderId="0" xfId="0" applyFont="1" applyAlignment="1">
      <alignment vertical="center"/>
    </xf>
    <xf numFmtId="0" fontId="4" fillId="9" borderId="0" xfId="229" applyFont="1"/>
    <xf numFmtId="166" fontId="3" fillId="9" borderId="0" xfId="229" applyNumberFormat="1" applyFont="1" applyAlignment="1">
      <alignment horizontal="left"/>
    </xf>
    <xf numFmtId="0" fontId="64" fillId="0" borderId="0" xfId="0" applyFont="1"/>
    <xf numFmtId="49" fontId="8" fillId="36" borderId="28" xfId="230" applyNumberFormat="1" applyFont="1" applyFill="1" applyBorder="1" applyAlignment="1">
      <alignment horizontal="center" vertical="center" wrapText="1"/>
    </xf>
    <xf numFmtId="2" fontId="31" fillId="36" borderId="10" xfId="230" applyNumberFormat="1" applyFont="1" applyFill="1" applyBorder="1" applyAlignment="1">
      <alignment horizontal="center" vertical="center" wrapText="1"/>
    </xf>
    <xf numFmtId="49" fontId="31" fillId="36" borderId="30" xfId="234" applyNumberFormat="1" applyFont="1" applyFill="1" applyBorder="1" applyAlignment="1">
      <alignment horizontal="center" vertical="center" wrapText="1"/>
    </xf>
    <xf numFmtId="49" fontId="31" fillId="36" borderId="0" xfId="234" applyNumberFormat="1" applyFont="1" applyFill="1" applyAlignment="1">
      <alignment horizontal="center" vertical="center" wrapText="1"/>
    </xf>
    <xf numFmtId="0" fontId="1" fillId="9" borderId="0" xfId="227"/>
    <xf numFmtId="0" fontId="50" fillId="38" borderId="0" xfId="227" applyFont="1" applyFill="1" applyAlignment="1">
      <alignment vertical="center"/>
    </xf>
    <xf numFmtId="0" fontId="1" fillId="9" borderId="0" xfId="227" applyAlignment="1">
      <alignment horizontal="left" vertical="center"/>
    </xf>
    <xf numFmtId="0" fontId="65" fillId="36" borderId="0" xfId="227" applyFont="1" applyFill="1" applyAlignment="1">
      <alignment vertical="center"/>
    </xf>
    <xf numFmtId="0" fontId="66" fillId="36" borderId="0" xfId="227" applyFont="1" applyFill="1" applyAlignment="1">
      <alignment vertical="center"/>
    </xf>
    <xf numFmtId="0" fontId="56" fillId="36" borderId="0" xfId="227" applyFont="1" applyFill="1" applyAlignment="1">
      <alignment vertical="center"/>
    </xf>
    <xf numFmtId="0" fontId="3" fillId="9" borderId="0" xfId="227" applyFont="1"/>
    <xf numFmtId="0" fontId="44" fillId="9" borderId="0" xfId="227" applyFont="1" applyAlignment="1">
      <alignment horizontal="left" vertical="center"/>
    </xf>
    <xf numFmtId="0" fontId="67" fillId="36" borderId="17" xfId="227" applyFont="1" applyFill="1" applyBorder="1" applyAlignment="1">
      <alignment vertical="center"/>
    </xf>
    <xf numFmtId="0" fontId="67" fillId="36" borderId="0" xfId="227" applyFont="1" applyFill="1" applyAlignment="1">
      <alignment vertical="center"/>
    </xf>
    <xf numFmtId="0" fontId="67" fillId="38" borderId="0" xfId="227" applyFont="1" applyFill="1" applyAlignment="1">
      <alignment vertical="center"/>
    </xf>
    <xf numFmtId="0" fontId="67" fillId="38" borderId="18" xfId="227" applyFont="1" applyFill="1" applyBorder="1" applyAlignment="1">
      <alignment vertical="center"/>
    </xf>
    <xf numFmtId="2" fontId="4" fillId="9" borderId="0" xfId="227" applyNumberFormat="1" applyFont="1" applyAlignment="1">
      <alignment horizontal="left" vertical="center"/>
    </xf>
    <xf numFmtId="0" fontId="4" fillId="9" borderId="0" xfId="227" applyFont="1" applyAlignment="1">
      <alignment horizontal="left" vertical="center"/>
    </xf>
    <xf numFmtId="0" fontId="44" fillId="9" borderId="0" xfId="227" applyFont="1" applyAlignment="1">
      <alignment horizontal="right" vertical="center"/>
    </xf>
    <xf numFmtId="0" fontId="44" fillId="9" borderId="0" xfId="227" applyFont="1"/>
    <xf numFmtId="0" fontId="45" fillId="36" borderId="0" xfId="230" applyFont="1" applyFill="1"/>
    <xf numFmtId="0" fontId="45" fillId="36" borderId="0" xfId="230" applyFont="1" applyFill="1" applyAlignment="1">
      <alignment horizontal="right" indent="1"/>
    </xf>
    <xf numFmtId="0" fontId="44" fillId="36" borderId="0" xfId="230" applyFont="1" applyFill="1"/>
    <xf numFmtId="0" fontId="67" fillId="36" borderId="17" xfId="230" applyFont="1" applyFill="1" applyBorder="1" applyAlignment="1">
      <alignment horizontal="left" indent="1"/>
    </xf>
    <xf numFmtId="0" fontId="68" fillId="9" borderId="0" xfId="227" applyFont="1"/>
    <xf numFmtId="0" fontId="2" fillId="9" borderId="0" xfId="229" applyFont="1"/>
    <xf numFmtId="0" fontId="36" fillId="35" borderId="10" xfId="229" applyFont="1" applyFill="1" applyBorder="1"/>
    <xf numFmtId="0" fontId="4" fillId="0" borderId="0" xfId="231" applyFont="1" applyFill="1" applyAlignment="1">
      <alignment vertical="center"/>
    </xf>
    <xf numFmtId="166" fontId="3" fillId="9" borderId="0" xfId="230" applyNumberFormat="1" applyFont="1" applyAlignment="1">
      <alignment horizontal="left"/>
    </xf>
    <xf numFmtId="49" fontId="6" fillId="9" borderId="0" xfId="230" applyNumberFormat="1"/>
    <xf numFmtId="2" fontId="6" fillId="9" borderId="0" xfId="230" applyNumberFormat="1"/>
    <xf numFmtId="49" fontId="31" fillId="36" borderId="10" xfId="230" applyNumberFormat="1" applyFont="1" applyFill="1" applyBorder="1" applyAlignment="1">
      <alignment horizontal="center" vertical="center" wrapText="1"/>
    </xf>
    <xf numFmtId="166" fontId="8" fillId="36" borderId="10" xfId="230" applyNumberFormat="1" applyFont="1" applyFill="1" applyBorder="1" applyAlignment="1">
      <alignment horizontal="left"/>
    </xf>
    <xf numFmtId="0" fontId="8" fillId="36" borderId="10" xfId="230" applyFont="1" applyFill="1" applyBorder="1"/>
    <xf numFmtId="0" fontId="31" fillId="36" borderId="10" xfId="230" applyFont="1" applyFill="1" applyBorder="1"/>
    <xf numFmtId="49" fontId="31" fillId="38" borderId="10" xfId="230" applyNumberFormat="1" applyFont="1" applyFill="1" applyBorder="1"/>
    <xf numFmtId="0" fontId="56" fillId="36" borderId="10" xfId="230" applyFont="1" applyFill="1" applyBorder="1"/>
    <xf numFmtId="0" fontId="0" fillId="9" borderId="0" xfId="230" applyFont="1"/>
    <xf numFmtId="0" fontId="36" fillId="35" borderId="10" xfId="230" applyFont="1" applyFill="1" applyBorder="1"/>
    <xf numFmtId="0" fontId="1" fillId="9" borderId="0" xfId="232" applyAlignment="1">
      <alignment horizontal="center" vertical="center"/>
    </xf>
    <xf numFmtId="0" fontId="64" fillId="9" borderId="0" xfId="229" applyFont="1"/>
    <xf numFmtId="0" fontId="1" fillId="9" borderId="0" xfId="229" applyAlignment="1">
      <alignment horizontal="left" indent="1"/>
    </xf>
    <xf numFmtId="43" fontId="1" fillId="9" borderId="0" xfId="229" applyNumberFormat="1"/>
    <xf numFmtId="49" fontId="8" fillId="36" borderId="14" xfId="232" applyNumberFormat="1" applyFont="1" applyFill="1" applyBorder="1" applyAlignment="1">
      <alignment horizontal="center"/>
    </xf>
    <xf numFmtId="2" fontId="8" fillId="36" borderId="10" xfId="78" applyNumberFormat="1" applyFont="1" applyFill="1" applyBorder="1" applyAlignment="1" applyProtection="1">
      <alignment horizontal="center" wrapText="1"/>
    </xf>
    <xf numFmtId="0" fontId="0" fillId="9" borderId="0" xfId="232" applyFont="1"/>
    <xf numFmtId="0" fontId="69" fillId="37" borderId="10" xfId="0" applyFont="1" applyFill="1" applyBorder="1" applyAlignment="1" applyProtection="1">
      <alignment horizontal="right"/>
      <protection locked="0"/>
    </xf>
    <xf numFmtId="0" fontId="3" fillId="9" borderId="0" xfId="232" applyFont="1" applyAlignment="1">
      <alignment horizontal="right"/>
    </xf>
    <xf numFmtId="0" fontId="1" fillId="9" borderId="0" xfId="232" applyAlignment="1">
      <alignment horizontal="right"/>
    </xf>
    <xf numFmtId="0" fontId="31" fillId="38" borderId="15" xfId="232" applyFont="1" applyFill="1" applyBorder="1" applyAlignment="1">
      <alignment horizontal="left"/>
    </xf>
    <xf numFmtId="49" fontId="56" fillId="36" borderId="10" xfId="230" applyNumberFormat="1" applyFont="1" applyFill="1" applyBorder="1" applyAlignment="1">
      <alignment vertical="center" wrapText="1"/>
    </xf>
    <xf numFmtId="49" fontId="31" fillId="36" borderId="31" xfId="230" applyNumberFormat="1" applyFont="1" applyFill="1" applyBorder="1" applyAlignment="1">
      <alignment horizontal="left" vertical="center" wrapText="1"/>
    </xf>
    <xf numFmtId="0" fontId="6" fillId="0" borderId="0" xfId="219" applyAlignment="1">
      <alignment vertical="center" wrapText="1"/>
    </xf>
    <xf numFmtId="49" fontId="6" fillId="36" borderId="10" xfId="230" applyNumberFormat="1" applyFill="1" applyBorder="1" applyAlignment="1">
      <alignment horizontal="left"/>
    </xf>
    <xf numFmtId="49" fontId="31" fillId="13" borderId="15" xfId="232" applyNumberFormat="1" applyFont="1" applyFill="1" applyBorder="1" applyAlignment="1">
      <alignment horizontal="right"/>
    </xf>
    <xf numFmtId="49" fontId="57" fillId="36" borderId="10" xfId="230" applyNumberFormat="1" applyFont="1" applyFill="1" applyBorder="1" applyAlignment="1">
      <alignment horizontal="left"/>
    </xf>
    <xf numFmtId="49" fontId="31" fillId="36" borderId="10" xfId="230" quotePrefix="1" applyNumberFormat="1" applyFont="1" applyFill="1" applyBorder="1" applyAlignment="1">
      <alignment horizontal="center" vertical="center" wrapText="1"/>
    </xf>
    <xf numFmtId="49" fontId="57" fillId="36" borderId="10" xfId="234" applyNumberFormat="1" applyFont="1" applyFill="1" applyBorder="1" applyAlignment="1">
      <alignment horizontal="left"/>
    </xf>
    <xf numFmtId="49" fontId="54" fillId="36" borderId="10" xfId="234" applyNumberFormat="1" applyFont="1" applyFill="1" applyBorder="1" applyAlignment="1">
      <alignment horizontal="left"/>
    </xf>
    <xf numFmtId="41" fontId="8" fillId="36" borderId="15" xfId="230" applyNumberFormat="1" applyFont="1" applyFill="1" applyBorder="1" applyAlignment="1" applyProtection="1">
      <alignment horizontal="left" indent="1"/>
      <protection locked="0"/>
    </xf>
    <xf numFmtId="175" fontId="3" fillId="13" borderId="10" xfId="80" applyNumberFormat="1" applyFont="1" applyFill="1" applyBorder="1" applyAlignment="1" applyProtection="1">
      <alignment horizontal="right"/>
    </xf>
    <xf numFmtId="0" fontId="56" fillId="36" borderId="42" xfId="0" applyFont="1" applyFill="1" applyBorder="1"/>
    <xf numFmtId="0" fontId="56" fillId="36" borderId="0" xfId="0" applyFont="1" applyFill="1" applyAlignment="1">
      <alignment horizontal="center"/>
    </xf>
    <xf numFmtId="0" fontId="56" fillId="36" borderId="0" xfId="0" applyFont="1" applyFill="1"/>
    <xf numFmtId="0" fontId="56" fillId="36" borderId="43" xfId="0" applyFont="1" applyFill="1" applyBorder="1"/>
    <xf numFmtId="14" fontId="0" fillId="0" borderId="0" xfId="0" applyNumberFormat="1"/>
    <xf numFmtId="14" fontId="1" fillId="37" borderId="10" xfId="232" applyNumberFormat="1" applyFill="1" applyBorder="1" applyAlignment="1" applyProtection="1">
      <alignment horizontal="center"/>
      <protection locked="0"/>
    </xf>
    <xf numFmtId="168" fontId="1" fillId="37" borderId="10" xfId="232" applyNumberFormat="1" applyFill="1" applyBorder="1" applyAlignment="1" applyProtection="1">
      <alignment horizontal="center" vertical="center" wrapText="1"/>
      <protection locked="0"/>
    </xf>
    <xf numFmtId="0" fontId="1" fillId="37" borderId="10" xfId="232" applyFill="1" applyBorder="1" applyProtection="1">
      <protection locked="0"/>
    </xf>
    <xf numFmtId="0" fontId="1" fillId="37" borderId="16" xfId="229" applyFill="1" applyBorder="1" applyAlignment="1" applyProtection="1">
      <alignment horizontal="center"/>
      <protection locked="0"/>
    </xf>
    <xf numFmtId="0" fontId="1" fillId="0" borderId="0" xfId="0" applyFont="1"/>
    <xf numFmtId="49" fontId="1" fillId="37" borderId="10" xfId="229" applyNumberFormat="1" applyFill="1" applyBorder="1" applyAlignment="1" applyProtection="1">
      <alignment horizontal="center"/>
      <protection locked="0"/>
    </xf>
    <xf numFmtId="49" fontId="1" fillId="37" borderId="10" xfId="232" applyNumberFormat="1" applyFill="1" applyBorder="1" applyProtection="1">
      <protection locked="0"/>
    </xf>
    <xf numFmtId="49" fontId="1" fillId="37" borderId="10" xfId="234" applyNumberFormat="1" applyFill="1" applyBorder="1" applyAlignment="1" applyProtection="1">
      <alignment horizontal="right"/>
      <protection locked="0"/>
    </xf>
    <xf numFmtId="49" fontId="1" fillId="37" borderId="10" xfId="234" applyNumberFormat="1" applyFill="1" applyBorder="1" applyAlignment="1" applyProtection="1">
      <alignment vertical="top"/>
      <protection locked="0"/>
    </xf>
    <xf numFmtId="49" fontId="1" fillId="37" borderId="10" xfId="229" quotePrefix="1" applyNumberFormat="1" applyFill="1" applyBorder="1" applyAlignment="1" applyProtection="1">
      <alignment horizontal="center" vertical="center" wrapText="1"/>
      <protection locked="0"/>
    </xf>
    <xf numFmtId="49" fontId="1" fillId="37" borderId="10" xfId="78" applyNumberFormat="1" applyFont="1" applyFill="1" applyBorder="1" applyAlignment="1" applyProtection="1">
      <alignment horizontal="center"/>
      <protection locked="0"/>
    </xf>
    <xf numFmtId="49" fontId="1" fillId="37" borderId="10" xfId="80" applyNumberFormat="1" applyFont="1" applyFill="1" applyBorder="1" applyAlignment="1" applyProtection="1">
      <alignment horizontal="center"/>
      <protection locked="0"/>
    </xf>
    <xf numFmtId="49" fontId="6" fillId="36" borderId="10" xfId="230" applyNumberFormat="1" applyFill="1" applyBorder="1" applyAlignment="1">
      <alignment horizontal="center"/>
    </xf>
    <xf numFmtId="49" fontId="8" fillId="36" borderId="10" xfId="230" applyNumberFormat="1" applyFont="1" applyFill="1" applyBorder="1" applyAlignment="1">
      <alignment horizontal="center"/>
    </xf>
    <xf numFmtId="14" fontId="1" fillId="37" borderId="16" xfId="229" quotePrefix="1" applyNumberFormat="1" applyFill="1" applyBorder="1" applyAlignment="1" applyProtection="1">
      <alignment horizontal="right"/>
      <protection locked="0"/>
    </xf>
    <xf numFmtId="49" fontId="57" fillId="36" borderId="10" xfId="230" applyNumberFormat="1" applyFont="1" applyFill="1" applyBorder="1" applyAlignment="1">
      <alignment horizontal="center"/>
    </xf>
    <xf numFmtId="49" fontId="1" fillId="37" borderId="10" xfId="232" applyNumberFormat="1" applyFill="1" applyBorder="1" applyAlignment="1" applyProtection="1">
      <alignment horizontal="center"/>
      <protection locked="0"/>
    </xf>
    <xf numFmtId="164" fontId="1" fillId="37" borderId="10" xfId="78" applyNumberFormat="1" applyFont="1" applyFill="1" applyBorder="1" applyAlignment="1" applyProtection="1">
      <alignment horizontal="right"/>
      <protection locked="0"/>
    </xf>
    <xf numFmtId="49" fontId="1" fillId="37" borderId="10" xfId="234" applyNumberFormat="1" applyFill="1" applyBorder="1" applyAlignment="1" applyProtection="1">
      <alignment horizontal="center"/>
      <protection locked="0"/>
    </xf>
    <xf numFmtId="49" fontId="1" fillId="9" borderId="0" xfId="232" applyNumberFormat="1"/>
    <xf numFmtId="164" fontId="1" fillId="9" borderId="0" xfId="229" applyNumberFormat="1" applyAlignment="1">
      <alignment horizontal="center"/>
    </xf>
    <xf numFmtId="164" fontId="1" fillId="9" borderId="0" xfId="229" applyNumberFormat="1"/>
    <xf numFmtId="39" fontId="1" fillId="9" borderId="0" xfId="229" applyNumberFormat="1"/>
    <xf numFmtId="0" fontId="1" fillId="37" borderId="16" xfId="229" applyFill="1" applyBorder="1" applyAlignment="1" applyProtection="1">
      <alignment horizontal="right"/>
      <protection locked="0"/>
    </xf>
    <xf numFmtId="2" fontId="1" fillId="37" borderId="16" xfId="229" applyNumberFormat="1" applyFill="1" applyBorder="1" applyAlignment="1" applyProtection="1">
      <alignment horizontal="right"/>
      <protection locked="0"/>
    </xf>
    <xf numFmtId="166" fontId="1" fillId="37" borderId="16" xfId="229" applyNumberFormat="1" applyFill="1" applyBorder="1" applyAlignment="1" applyProtection="1">
      <alignment horizontal="right"/>
      <protection locked="0"/>
    </xf>
    <xf numFmtId="1" fontId="1" fillId="37" borderId="16" xfId="229" applyNumberFormat="1" applyFill="1" applyBorder="1" applyAlignment="1" applyProtection="1">
      <alignment horizontal="right"/>
      <protection locked="0"/>
    </xf>
    <xf numFmtId="14" fontId="1" fillId="37" borderId="16" xfId="229" applyNumberFormat="1" applyFill="1" applyBorder="1" applyAlignment="1" applyProtection="1">
      <alignment horizontal="right"/>
      <protection locked="0"/>
    </xf>
    <xf numFmtId="164" fontId="1" fillId="37" borderId="16" xfId="229" applyNumberFormat="1" applyFill="1" applyBorder="1" applyAlignment="1" applyProtection="1">
      <alignment horizontal="right"/>
      <protection locked="0"/>
    </xf>
    <xf numFmtId="166" fontId="1" fillId="37" borderId="10" xfId="229" applyNumberFormat="1" applyFill="1" applyBorder="1" applyAlignment="1" applyProtection="1">
      <alignment horizontal="center"/>
      <protection locked="0"/>
    </xf>
    <xf numFmtId="166" fontId="1" fillId="37" borderId="10" xfId="229" applyNumberFormat="1" applyFill="1" applyBorder="1" applyAlignment="1" applyProtection="1">
      <alignment horizontal="left" indent="1"/>
      <protection locked="0"/>
    </xf>
    <xf numFmtId="166" fontId="1" fillId="37" borderId="16" xfId="229" applyNumberFormat="1" applyFill="1" applyBorder="1" applyAlignment="1" applyProtection="1">
      <alignment horizontal="center"/>
      <protection locked="0"/>
    </xf>
    <xf numFmtId="0" fontId="1" fillId="42" borderId="0" xfId="229" applyFill="1"/>
    <xf numFmtId="0" fontId="1" fillId="37" borderId="10" xfId="80" applyNumberFormat="1" applyFont="1" applyFill="1" applyBorder="1" applyAlignment="1" applyProtection="1">
      <alignment horizontal="right"/>
    </xf>
    <xf numFmtId="49" fontId="1" fillId="9" borderId="0" xfId="229" applyNumberFormat="1"/>
    <xf numFmtId="164" fontId="1" fillId="39" borderId="10" xfId="78" applyNumberFormat="1" applyFont="1" applyFill="1" applyBorder="1" applyAlignment="1" applyProtection="1">
      <alignment horizontal="right"/>
    </xf>
    <xf numFmtId="10" fontId="1" fillId="37" borderId="10" xfId="232" applyNumberFormat="1" applyFill="1" applyBorder="1" applyAlignment="1" applyProtection="1">
      <alignment horizontal="right"/>
      <protection locked="0"/>
    </xf>
    <xf numFmtId="164" fontId="1" fillId="39" borderId="10" xfId="80" applyNumberFormat="1" applyFont="1" applyFill="1" applyBorder="1" applyAlignment="1" applyProtection="1">
      <alignment horizontal="right"/>
    </xf>
    <xf numFmtId="164" fontId="1" fillId="13" borderId="10" xfId="80" applyNumberFormat="1" applyFont="1" applyFill="1" applyBorder="1" applyAlignment="1" applyProtection="1">
      <alignment horizontal="right"/>
    </xf>
    <xf numFmtId="166" fontId="1" fillId="37" borderId="10" xfId="229" applyNumberFormat="1" applyFill="1" applyBorder="1" applyAlignment="1" applyProtection="1">
      <alignment horizontal="right"/>
      <protection locked="0"/>
    </xf>
    <xf numFmtId="164" fontId="1" fillId="9" borderId="0" xfId="232" applyNumberFormat="1"/>
    <xf numFmtId="164" fontId="1" fillId="37" borderId="10" xfId="232" applyNumberFormat="1" applyFill="1" applyBorder="1" applyAlignment="1" applyProtection="1">
      <alignment horizontal="right"/>
      <protection locked="0"/>
    </xf>
    <xf numFmtId="164" fontId="1" fillId="13" borderId="10" xfId="78" applyNumberFormat="1" applyFont="1" applyFill="1" applyBorder="1" applyAlignment="1" applyProtection="1">
      <alignment horizontal="right"/>
    </xf>
    <xf numFmtId="0" fontId="1" fillId="37" borderId="10" xfId="232" applyFill="1" applyBorder="1" applyAlignment="1" applyProtection="1">
      <alignment horizontal="left" vertical="center"/>
      <protection locked="0"/>
    </xf>
    <xf numFmtId="164" fontId="1" fillId="40" borderId="10" xfId="232" applyNumberFormat="1" applyFill="1" applyBorder="1" applyAlignment="1">
      <alignment horizontal="right"/>
    </xf>
    <xf numFmtId="10" fontId="1" fillId="40" borderId="10" xfId="232" applyNumberFormat="1" applyFill="1" applyBorder="1" applyAlignment="1">
      <alignment horizontal="right"/>
    </xf>
    <xf numFmtId="10" fontId="1" fillId="13" borderId="10" xfId="78" applyNumberFormat="1" applyFont="1" applyFill="1" applyBorder="1" applyAlignment="1" applyProtection="1">
      <alignment horizontal="right"/>
    </xf>
    <xf numFmtId="0" fontId="1" fillId="42" borderId="0" xfId="231" applyFill="1" applyAlignment="1">
      <alignment vertical="center"/>
    </xf>
    <xf numFmtId="164" fontId="1" fillId="36" borderId="10" xfId="78" applyNumberFormat="1" applyFont="1" applyFill="1" applyBorder="1" applyAlignment="1" applyProtection="1">
      <alignment horizontal="right"/>
    </xf>
    <xf numFmtId="164" fontId="1" fillId="37" borderId="10" xfId="78" applyNumberFormat="1" applyFont="1" applyFill="1" applyBorder="1" applyAlignment="1" applyProtection="1">
      <alignment horizontal="right" indent="1"/>
      <protection locked="0"/>
    </xf>
    <xf numFmtId="49" fontId="1" fillId="37" borderId="10" xfId="78" applyNumberFormat="1" applyFont="1" applyFill="1" applyBorder="1" applyAlignment="1" applyProtection="1">
      <protection locked="0"/>
    </xf>
    <xf numFmtId="164" fontId="1" fillId="37" borderId="10" xfId="78" applyNumberFormat="1" applyFont="1" applyFill="1" applyBorder="1" applyAlignment="1" applyProtection="1">
      <protection locked="0"/>
    </xf>
    <xf numFmtId="168" fontId="1" fillId="35" borderId="10" xfId="232" applyNumberFormat="1" applyFill="1" applyBorder="1"/>
    <xf numFmtId="3" fontId="1" fillId="37" borderId="10" xfId="232" applyNumberFormat="1" applyFill="1" applyBorder="1" applyAlignment="1" applyProtection="1">
      <alignment horizontal="center" vertical="center"/>
      <protection locked="0"/>
    </xf>
    <xf numFmtId="168" fontId="1" fillId="37" borderId="10" xfId="232" applyNumberFormat="1" applyFill="1" applyBorder="1" applyProtection="1">
      <protection locked="0"/>
    </xf>
    <xf numFmtId="168" fontId="1" fillId="37" borderId="10" xfId="232" applyNumberFormat="1" applyFill="1" applyBorder="1" applyAlignment="1" applyProtection="1">
      <alignment horizontal="center" vertical="center"/>
      <protection locked="0"/>
    </xf>
    <xf numFmtId="166" fontId="1" fillId="37" borderId="10" xfId="234" applyNumberFormat="1" applyFill="1" applyBorder="1" applyAlignment="1" applyProtection="1">
      <alignment horizontal="right"/>
      <protection locked="0"/>
    </xf>
    <xf numFmtId="170" fontId="1" fillId="37" borderId="16" xfId="229" applyNumberFormat="1" applyFill="1" applyBorder="1" applyAlignment="1" applyProtection="1">
      <alignment horizontal="right"/>
      <protection locked="0"/>
    </xf>
    <xf numFmtId="170" fontId="1" fillId="37" borderId="10" xfId="234" applyNumberFormat="1" applyFill="1" applyBorder="1" applyAlignment="1" applyProtection="1">
      <alignment horizontal="center"/>
      <protection locked="0"/>
    </xf>
    <xf numFmtId="1" fontId="1" fillId="37" borderId="10" xfId="234" applyNumberFormat="1" applyFill="1" applyBorder="1" applyAlignment="1" applyProtection="1">
      <alignment horizontal="center"/>
      <protection locked="0"/>
    </xf>
    <xf numFmtId="164" fontId="1" fillId="37" borderId="10" xfId="234" applyNumberFormat="1" applyFill="1" applyBorder="1" applyAlignment="1" applyProtection="1">
      <alignment horizontal="right"/>
      <protection locked="0"/>
    </xf>
    <xf numFmtId="169" fontId="1" fillId="37" borderId="10" xfId="78" applyNumberFormat="1" applyFont="1" applyFill="1" applyBorder="1" applyAlignment="1" applyProtection="1">
      <alignment horizontal="right"/>
      <protection locked="0"/>
    </xf>
    <xf numFmtId="43" fontId="1" fillId="37" borderId="10" xfId="78" applyFont="1" applyFill="1" applyBorder="1" applyAlignment="1" applyProtection="1">
      <alignment horizontal="right"/>
      <protection locked="0"/>
    </xf>
    <xf numFmtId="164" fontId="1" fillId="35" borderId="10" xfId="78" applyNumberFormat="1" applyFont="1" applyFill="1" applyBorder="1" applyAlignment="1" applyProtection="1">
      <alignment horizontal="right"/>
    </xf>
    <xf numFmtId="170" fontId="1" fillId="37" borderId="10" xfId="234" applyNumberFormat="1" applyFill="1" applyBorder="1" applyAlignment="1" applyProtection="1">
      <alignment horizontal="right"/>
      <protection locked="0"/>
    </xf>
    <xf numFmtId="1" fontId="1" fillId="37" borderId="10" xfId="234" applyNumberFormat="1" applyFill="1" applyBorder="1" applyAlignment="1" applyProtection="1">
      <alignment horizontal="right"/>
      <protection locked="0"/>
    </xf>
    <xf numFmtId="49" fontId="1" fillId="13" borderId="10" xfId="234" applyNumberFormat="1" applyFill="1" applyBorder="1" applyAlignment="1">
      <alignment horizontal="right"/>
    </xf>
    <xf numFmtId="0" fontId="1" fillId="37" borderId="10" xfId="234" applyFill="1" applyBorder="1" applyAlignment="1" applyProtection="1">
      <alignment horizontal="right"/>
      <protection locked="0"/>
    </xf>
    <xf numFmtId="166" fontId="1" fillId="13" borderId="10" xfId="234" applyNumberFormat="1" applyFill="1" applyBorder="1" applyAlignment="1">
      <alignment horizontal="right"/>
    </xf>
    <xf numFmtId="10" fontId="1" fillId="37" borderId="10" xfId="78" applyNumberFormat="1" applyFont="1" applyFill="1" applyBorder="1" applyAlignment="1" applyProtection="1">
      <alignment horizontal="right"/>
      <protection locked="0"/>
    </xf>
    <xf numFmtId="14" fontId="1" fillId="39" borderId="16" xfId="229" applyNumberFormat="1" applyFill="1" applyBorder="1" applyAlignment="1">
      <alignment horizontal="center"/>
    </xf>
    <xf numFmtId="168" fontId="1" fillId="37" borderId="10" xfId="232" applyNumberFormat="1" applyFill="1" applyBorder="1" applyAlignment="1" applyProtection="1">
      <alignment horizontal="left" wrapText="1"/>
      <protection locked="0"/>
    </xf>
    <xf numFmtId="14" fontId="1" fillId="37" borderId="10" xfId="232" applyNumberFormat="1" applyFill="1" applyBorder="1" applyProtection="1">
      <protection locked="0"/>
    </xf>
    <xf numFmtId="164" fontId="1" fillId="39" borderId="10" xfId="232" applyNumberFormat="1" applyFill="1" applyBorder="1" applyAlignment="1">
      <alignment horizontal="right"/>
    </xf>
    <xf numFmtId="0" fontId="1" fillId="37" borderId="10" xfId="232" applyFill="1" applyBorder="1" applyAlignment="1" applyProtection="1">
      <alignment horizontal="left" wrapText="1"/>
      <protection locked="0"/>
    </xf>
    <xf numFmtId="0" fontId="1" fillId="37" borderId="10" xfId="229" applyFill="1" applyBorder="1" applyAlignment="1" applyProtection="1">
      <alignment horizontal="center"/>
      <protection locked="0"/>
    </xf>
    <xf numFmtId="164" fontId="1" fillId="37" borderId="10" xfId="232" applyNumberFormat="1" applyFill="1" applyBorder="1" applyProtection="1">
      <protection locked="0"/>
    </xf>
    <xf numFmtId="171" fontId="1" fillId="13" borderId="10" xfId="80" applyNumberFormat="1" applyFont="1" applyFill="1" applyBorder="1" applyAlignment="1" applyProtection="1">
      <alignment horizontal="right"/>
    </xf>
    <xf numFmtId="10" fontId="1" fillId="39" borderId="10" xfId="80" applyNumberFormat="1" applyFont="1" applyFill="1" applyBorder="1" applyAlignment="1" applyProtection="1">
      <alignment horizontal="right"/>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vertical="center" wrapText="1"/>
    </xf>
    <xf numFmtId="14" fontId="1" fillId="0" borderId="0" xfId="0" applyNumberFormat="1" applyFont="1" applyAlignment="1">
      <alignment vertical="center"/>
    </xf>
    <xf numFmtId="0" fontId="1" fillId="0" borderId="0" xfId="0" applyFont="1" applyAlignment="1">
      <alignment wrapText="1"/>
    </xf>
    <xf numFmtId="0" fontId="1" fillId="37" borderId="10" xfId="234" applyFill="1" applyBorder="1" applyAlignment="1" applyProtection="1">
      <alignment horizontal="center"/>
      <protection locked="0"/>
    </xf>
    <xf numFmtId="0" fontId="45" fillId="36" borderId="0" xfId="230" applyFont="1" applyFill="1" applyAlignment="1">
      <alignment horizontal="right" indent="1"/>
    </xf>
    <xf numFmtId="0" fontId="45" fillId="36" borderId="31" xfId="230" applyFont="1" applyFill="1" applyBorder="1" applyAlignment="1">
      <alignment horizontal="right" indent="1"/>
    </xf>
    <xf numFmtId="0" fontId="70" fillId="36" borderId="19" xfId="230" applyFont="1" applyFill="1" applyBorder="1" applyAlignment="1">
      <alignment horizontal="center"/>
    </xf>
    <xf numFmtId="0" fontId="70" fillId="36" borderId="20" xfId="230" applyFont="1" applyFill="1" applyBorder="1" applyAlignment="1">
      <alignment horizontal="center"/>
    </xf>
    <xf numFmtId="0" fontId="70" fillId="36" borderId="21" xfId="230" applyFont="1" applyFill="1" applyBorder="1" applyAlignment="1">
      <alignment horizontal="center"/>
    </xf>
    <xf numFmtId="14" fontId="4" fillId="37" borderId="33" xfId="227" applyNumberFormat="1" applyFont="1" applyFill="1" applyBorder="1" applyAlignment="1" applyProtection="1">
      <alignment horizontal="right" vertical="center"/>
      <protection locked="0"/>
    </xf>
    <xf numFmtId="14" fontId="44" fillId="37" borderId="33" xfId="226" applyNumberFormat="1" applyFont="1" applyFill="1" applyBorder="1" applyAlignment="1" applyProtection="1">
      <alignment horizontal="right" vertical="center"/>
      <protection locked="0"/>
    </xf>
    <xf numFmtId="14" fontId="44" fillId="37" borderId="16" xfId="226" applyNumberFormat="1" applyFont="1" applyFill="1" applyBorder="1" applyAlignment="1" applyProtection="1">
      <alignment horizontal="right" vertical="center"/>
      <protection locked="0"/>
    </xf>
    <xf numFmtId="49" fontId="4" fillId="37" borderId="33" xfId="227" applyNumberFormat="1" applyFont="1" applyFill="1" applyBorder="1" applyAlignment="1" applyProtection="1">
      <alignment horizontal="right" vertical="center"/>
      <protection locked="0"/>
    </xf>
    <xf numFmtId="49" fontId="44" fillId="37" borderId="33" xfId="226" applyNumberFormat="1" applyFont="1" applyFill="1" applyBorder="1" applyAlignment="1" applyProtection="1">
      <alignment horizontal="right" vertical="center"/>
      <protection locked="0"/>
    </xf>
    <xf numFmtId="49" fontId="44" fillId="37" borderId="16" xfId="226" applyNumberFormat="1" applyFont="1" applyFill="1" applyBorder="1" applyAlignment="1" applyProtection="1">
      <alignment horizontal="right" vertical="center"/>
      <protection locked="0"/>
    </xf>
    <xf numFmtId="0" fontId="67" fillId="36" borderId="30" xfId="227" applyFont="1" applyFill="1" applyBorder="1" applyAlignment="1">
      <alignment horizontal="left" vertical="center" wrapText="1"/>
    </xf>
    <xf numFmtId="0" fontId="67" fillId="36" borderId="0" xfId="227" applyFont="1" applyFill="1" applyAlignment="1">
      <alignment horizontal="left" vertical="center" wrapText="1"/>
    </xf>
    <xf numFmtId="0" fontId="67" fillId="36" borderId="15" xfId="227" applyFont="1" applyFill="1" applyBorder="1" applyAlignment="1">
      <alignment horizontal="left" vertical="center"/>
    </xf>
    <xf numFmtId="0" fontId="67" fillId="36" borderId="33" xfId="227" applyFont="1" applyFill="1" applyBorder="1" applyAlignment="1">
      <alignment horizontal="left" vertical="center"/>
    </xf>
    <xf numFmtId="0" fontId="67" fillId="36" borderId="0" xfId="227" applyFont="1" applyFill="1" applyAlignment="1">
      <alignment horizontal="left" vertical="center"/>
    </xf>
    <xf numFmtId="0" fontId="44" fillId="37" borderId="15" xfId="230" applyFont="1" applyFill="1" applyBorder="1" applyAlignment="1" applyProtection="1">
      <alignment horizontal="right" vertical="center"/>
      <protection locked="0"/>
    </xf>
    <xf numFmtId="0" fontId="44" fillId="37" borderId="33" xfId="230" applyFont="1" applyFill="1" applyBorder="1" applyAlignment="1" applyProtection="1">
      <alignment horizontal="right" vertical="center"/>
      <protection locked="0"/>
    </xf>
    <xf numFmtId="0" fontId="44" fillId="37" borderId="16" xfId="230" applyFont="1" applyFill="1" applyBorder="1" applyAlignment="1" applyProtection="1">
      <alignment horizontal="right" vertical="center"/>
      <protection locked="0"/>
    </xf>
    <xf numFmtId="0" fontId="70" fillId="36" borderId="22" xfId="230" applyFont="1" applyFill="1" applyBorder="1" applyAlignment="1">
      <alignment horizontal="center"/>
    </xf>
    <xf numFmtId="0" fontId="70" fillId="36" borderId="23" xfId="230" applyFont="1" applyFill="1" applyBorder="1" applyAlignment="1">
      <alignment horizontal="center"/>
    </xf>
    <xf numFmtId="0" fontId="70" fillId="36" borderId="24" xfId="230" applyFont="1" applyFill="1" applyBorder="1" applyAlignment="1">
      <alignment horizontal="center"/>
    </xf>
    <xf numFmtId="0" fontId="67" fillId="36" borderId="17" xfId="230" applyFont="1" applyFill="1" applyBorder="1" applyAlignment="1">
      <alignment horizontal="left" vertical="top"/>
    </xf>
    <xf numFmtId="0" fontId="67" fillId="36" borderId="22" xfId="230" applyFont="1" applyFill="1" applyBorder="1" applyAlignment="1">
      <alignment horizontal="left" vertical="top"/>
    </xf>
    <xf numFmtId="0" fontId="70" fillId="36" borderId="23" xfId="230" applyFont="1" applyFill="1" applyBorder="1" applyAlignment="1">
      <alignment horizontal="center" vertical="center"/>
    </xf>
    <xf numFmtId="0" fontId="70" fillId="36" borderId="24" xfId="230" applyFont="1" applyFill="1" applyBorder="1" applyAlignment="1">
      <alignment horizontal="center" vertical="center"/>
    </xf>
    <xf numFmtId="0" fontId="45" fillId="36" borderId="18" xfId="230" applyFont="1" applyFill="1" applyBorder="1" applyAlignment="1">
      <alignment horizontal="center"/>
    </xf>
    <xf numFmtId="0" fontId="45" fillId="36" borderId="0" xfId="230" applyFont="1" applyFill="1" applyAlignment="1">
      <alignment horizontal="center"/>
    </xf>
    <xf numFmtId="0" fontId="44" fillId="37" borderId="10" xfId="230" applyFont="1" applyFill="1" applyBorder="1" applyAlignment="1" applyProtection="1">
      <alignment horizontal="right" vertical="center"/>
      <protection locked="0"/>
    </xf>
    <xf numFmtId="0" fontId="44" fillId="36" borderId="30" xfId="230" applyFont="1" applyFill="1" applyBorder="1" applyAlignment="1">
      <alignment horizontal="center"/>
    </xf>
    <xf numFmtId="0" fontId="44" fillId="36" borderId="18" xfId="230" applyFont="1" applyFill="1" applyBorder="1" applyAlignment="1">
      <alignment horizontal="center"/>
    </xf>
    <xf numFmtId="0" fontId="44" fillId="9" borderId="33" xfId="230" applyFont="1" applyBorder="1" applyAlignment="1" applyProtection="1">
      <alignment horizontal="right" vertical="center"/>
      <protection locked="0"/>
    </xf>
    <xf numFmtId="0" fontId="44" fillId="9" borderId="16" xfId="230" applyFont="1" applyBorder="1" applyAlignment="1" applyProtection="1">
      <alignment horizontal="right" vertical="center"/>
      <protection locked="0"/>
    </xf>
    <xf numFmtId="0" fontId="44" fillId="37" borderId="15" xfId="230" quotePrefix="1" applyFont="1" applyFill="1" applyBorder="1" applyAlignment="1" applyProtection="1">
      <alignment horizontal="right" vertical="center"/>
      <protection locked="0"/>
    </xf>
    <xf numFmtId="0" fontId="67" fillId="36" borderId="16" xfId="227" applyFont="1" applyFill="1" applyBorder="1" applyAlignment="1">
      <alignment horizontal="left" vertical="center"/>
    </xf>
    <xf numFmtId="0" fontId="4" fillId="9" borderId="19" xfId="227" applyFont="1" applyBorder="1" applyAlignment="1">
      <alignment horizontal="left" vertical="center"/>
    </xf>
    <xf numFmtId="0" fontId="44" fillId="9" borderId="20" xfId="227" applyFont="1" applyBorder="1" applyAlignment="1">
      <alignment horizontal="left" vertical="center"/>
    </xf>
    <xf numFmtId="0" fontId="44" fillId="9" borderId="21" xfId="227" applyFont="1" applyBorder="1" applyAlignment="1">
      <alignment horizontal="left" vertical="center"/>
    </xf>
    <xf numFmtId="164" fontId="4" fillId="13" borderId="22" xfId="52" applyFont="1" applyBorder="1" applyAlignment="1">
      <alignment horizontal="left" vertical="center"/>
    </xf>
    <xf numFmtId="0" fontId="44" fillId="9" borderId="23" xfId="227" applyFont="1" applyBorder="1" applyAlignment="1">
      <alignment horizontal="left" vertical="center"/>
    </xf>
    <xf numFmtId="0" fontId="44" fillId="9" borderId="24" xfId="227" applyFont="1" applyBorder="1" applyAlignment="1">
      <alignment horizontal="left" vertical="center"/>
    </xf>
    <xf numFmtId="164" fontId="4" fillId="37" borderId="17" xfId="163" applyFont="1" applyFill="1" applyBorder="1" applyAlignment="1" applyProtection="1">
      <alignment horizontal="left" vertical="center"/>
    </xf>
    <xf numFmtId="0" fontId="44" fillId="37" borderId="0" xfId="227" applyFont="1" applyFill="1" applyAlignment="1">
      <alignment horizontal="left" vertical="center"/>
    </xf>
    <xf numFmtId="0" fontId="44" fillId="37" borderId="18" xfId="227" applyFont="1" applyFill="1" applyBorder="1" applyAlignment="1">
      <alignment horizontal="left" vertical="center"/>
    </xf>
    <xf numFmtId="0" fontId="44" fillId="0" borderId="0" xfId="227" applyFont="1" applyFill="1" applyAlignment="1">
      <alignment horizontal="left" vertical="center"/>
    </xf>
    <xf numFmtId="0" fontId="44" fillId="9" borderId="0" xfId="227" applyFont="1" applyAlignment="1">
      <alignment horizontal="left" vertical="center"/>
    </xf>
    <xf numFmtId="0" fontId="4" fillId="0" borderId="0" xfId="227" applyFont="1" applyFill="1" applyAlignment="1">
      <alignment horizontal="right" vertical="center"/>
    </xf>
    <xf numFmtId="0" fontId="44" fillId="0" borderId="0" xfId="226" applyFont="1" applyFill="1" applyAlignment="1">
      <alignment horizontal="right" vertical="center"/>
    </xf>
    <xf numFmtId="0" fontId="4" fillId="37" borderId="33" xfId="227" applyFont="1" applyFill="1" applyBorder="1" applyAlignment="1" applyProtection="1">
      <alignment horizontal="right" vertical="center" wrapText="1"/>
      <protection locked="0"/>
    </xf>
    <xf numFmtId="0" fontId="44" fillId="37" borderId="33" xfId="226" applyFont="1" applyFill="1" applyBorder="1" applyAlignment="1" applyProtection="1">
      <alignment horizontal="right" vertical="center" wrapText="1"/>
      <protection locked="0"/>
    </xf>
    <xf numFmtId="0" fontId="44" fillId="37" borderId="16" xfId="226" applyFont="1" applyFill="1" applyBorder="1" applyAlignment="1" applyProtection="1">
      <alignment horizontal="right" vertical="center" wrapText="1"/>
      <protection locked="0"/>
    </xf>
    <xf numFmtId="0" fontId="4" fillId="37" borderId="10" xfId="227" applyFont="1" applyFill="1" applyBorder="1" applyAlignment="1" applyProtection="1">
      <alignment horizontal="right" vertical="center" wrapText="1"/>
      <protection locked="0"/>
    </xf>
    <xf numFmtId="0" fontId="44" fillId="37" borderId="10" xfId="227" applyFont="1" applyFill="1" applyBorder="1" applyAlignment="1" applyProtection="1">
      <alignment horizontal="right" vertical="center" wrapText="1"/>
      <protection locked="0"/>
    </xf>
    <xf numFmtId="0" fontId="4" fillId="37" borderId="10" xfId="227" applyFont="1" applyFill="1" applyBorder="1" applyAlignment="1" applyProtection="1">
      <alignment horizontal="right" vertical="center"/>
      <protection locked="0"/>
    </xf>
    <xf numFmtId="0" fontId="44" fillId="37" borderId="10" xfId="227" applyFont="1" applyFill="1" applyBorder="1" applyAlignment="1" applyProtection="1">
      <alignment horizontal="right" vertical="center"/>
      <protection locked="0"/>
    </xf>
    <xf numFmtId="0" fontId="4" fillId="37" borderId="33" xfId="227" applyFont="1" applyFill="1" applyBorder="1" applyAlignment="1" applyProtection="1">
      <alignment horizontal="right" vertical="center"/>
      <protection locked="0"/>
    </xf>
    <xf numFmtId="0" fontId="44" fillId="37" borderId="33" xfId="226" applyFont="1" applyFill="1" applyBorder="1" applyAlignment="1" applyProtection="1">
      <alignment horizontal="right" vertical="center"/>
      <protection locked="0"/>
    </xf>
    <xf numFmtId="0" fontId="44" fillId="37" borderId="16" xfId="226" applyFont="1" applyFill="1" applyBorder="1" applyAlignment="1" applyProtection="1">
      <alignment horizontal="right" vertical="center"/>
      <protection locked="0"/>
    </xf>
    <xf numFmtId="0" fontId="71" fillId="40" borderId="0" xfId="0" applyFont="1" applyFill="1" applyAlignment="1">
      <alignment horizontal="center"/>
    </xf>
    <xf numFmtId="49" fontId="31" fillId="36" borderId="15" xfId="230" applyNumberFormat="1" applyFont="1" applyFill="1" applyBorder="1" applyAlignment="1">
      <alignment horizontal="center" vertical="center"/>
    </xf>
    <xf numFmtId="49" fontId="31" fillId="36" borderId="16" xfId="230" applyNumberFormat="1" applyFont="1" applyFill="1" applyBorder="1" applyAlignment="1">
      <alignment horizontal="center" vertical="center"/>
    </xf>
    <xf numFmtId="49" fontId="31" fillId="36" borderId="34" xfId="230" applyNumberFormat="1" applyFont="1" applyFill="1" applyBorder="1" applyAlignment="1">
      <alignment horizontal="center" vertical="center"/>
    </xf>
    <xf numFmtId="49" fontId="31" fillId="36" borderId="11" xfId="230" applyNumberFormat="1" applyFont="1" applyFill="1" applyBorder="1" applyAlignment="1">
      <alignment horizontal="center" vertical="center"/>
    </xf>
    <xf numFmtId="2" fontId="31" fillId="36" borderId="11" xfId="229" applyNumberFormat="1" applyFont="1" applyFill="1" applyBorder="1" applyAlignment="1">
      <alignment horizontal="center" vertical="center" wrapText="1"/>
    </xf>
    <xf numFmtId="2" fontId="31" fillId="36" borderId="13" xfId="229" applyNumberFormat="1" applyFont="1" applyFill="1" applyBorder="1" applyAlignment="1">
      <alignment horizontal="center" vertical="center" wrapText="1"/>
    </xf>
    <xf numFmtId="2" fontId="31" fillId="36" borderId="15" xfId="229" applyNumberFormat="1" applyFont="1" applyFill="1" applyBorder="1" applyAlignment="1">
      <alignment horizontal="center" vertical="center" wrapText="1"/>
    </xf>
    <xf numFmtId="2" fontId="31" fillId="36" borderId="33" xfId="229" applyNumberFormat="1" applyFont="1" applyFill="1" applyBorder="1" applyAlignment="1">
      <alignment horizontal="center" vertical="center" wrapText="1"/>
    </xf>
    <xf numFmtId="2" fontId="31" fillId="36" borderId="15" xfId="230" applyNumberFormat="1" applyFont="1" applyFill="1" applyBorder="1" applyAlignment="1">
      <alignment horizontal="center" vertical="center" wrapText="1"/>
    </xf>
    <xf numFmtId="2" fontId="31" fillId="36" borderId="33" xfId="230" applyNumberFormat="1" applyFont="1" applyFill="1" applyBorder="1" applyAlignment="1">
      <alignment horizontal="center" vertical="center" wrapText="1"/>
    </xf>
    <xf numFmtId="2" fontId="31" fillId="36" borderId="16" xfId="230" applyNumberFormat="1" applyFont="1" applyFill="1" applyBorder="1" applyAlignment="1">
      <alignment horizontal="center" vertical="center" wrapText="1"/>
    </xf>
    <xf numFmtId="167" fontId="31" fillId="36" borderId="15" xfId="229" quotePrefix="1" applyNumberFormat="1" applyFont="1" applyFill="1" applyBorder="1" applyAlignment="1">
      <alignment horizontal="left" vertical="center" wrapText="1"/>
    </xf>
    <xf numFmtId="167" fontId="31" fillId="36" borderId="16" xfId="229" quotePrefix="1" applyNumberFormat="1" applyFont="1" applyFill="1" applyBorder="1" applyAlignment="1">
      <alignment horizontal="left" vertical="center" wrapText="1"/>
    </xf>
    <xf numFmtId="0" fontId="4" fillId="40" borderId="0" xfId="0" applyFont="1" applyFill="1" applyAlignment="1">
      <alignment horizontal="left" vertical="top" wrapText="1"/>
    </xf>
    <xf numFmtId="49" fontId="8" fillId="36" borderId="15" xfId="229" applyNumberFormat="1" applyFont="1" applyFill="1" applyBorder="1" applyAlignment="1">
      <alignment horizontal="left" wrapText="1"/>
    </xf>
    <xf numFmtId="49" fontId="8" fillId="36" borderId="16" xfId="229" applyNumberFormat="1" applyFont="1" applyFill="1" applyBorder="1" applyAlignment="1">
      <alignment horizontal="left" wrapText="1"/>
    </xf>
    <xf numFmtId="0" fontId="4" fillId="0" borderId="0" xfId="231" applyFont="1" applyFill="1" applyAlignment="1">
      <alignment horizontal="left" vertical="center"/>
    </xf>
    <xf numFmtId="0" fontId="50" fillId="32" borderId="0" xfId="151" applyAlignment="1">
      <alignment horizontal="left" vertical="top" wrapText="1"/>
    </xf>
    <xf numFmtId="2" fontId="31" fillId="36" borderId="10" xfId="230" applyNumberFormat="1" applyFont="1" applyFill="1" applyBorder="1" applyAlignment="1">
      <alignment horizontal="center" vertical="center" wrapText="1"/>
    </xf>
    <xf numFmtId="0" fontId="4" fillId="40" borderId="0" xfId="0" applyFont="1" applyFill="1" applyAlignment="1">
      <alignment horizontal="left" vertical="center" wrapText="1"/>
    </xf>
    <xf numFmtId="0" fontId="31" fillId="38" borderId="33" xfId="232" applyFont="1" applyFill="1" applyBorder="1" applyAlignment="1">
      <alignment horizontal="left"/>
    </xf>
    <xf numFmtId="0" fontId="31" fillId="38" borderId="16" xfId="232" applyFont="1" applyFill="1" applyBorder="1" applyAlignment="1">
      <alignment horizontal="left"/>
    </xf>
    <xf numFmtId="49" fontId="31" fillId="36" borderId="30" xfId="234" applyNumberFormat="1" applyFont="1" applyFill="1" applyBorder="1" applyAlignment="1">
      <alignment horizontal="center" vertical="center" wrapText="1"/>
    </xf>
    <xf numFmtId="49" fontId="31" fillId="36" borderId="0" xfId="234" applyNumberFormat="1" applyFont="1" applyFill="1" applyAlignment="1">
      <alignment horizontal="center" vertical="center" wrapText="1"/>
    </xf>
    <xf numFmtId="49" fontId="31" fillId="36" borderId="15" xfId="234" applyNumberFormat="1" applyFont="1" applyFill="1" applyBorder="1" applyAlignment="1">
      <alignment horizontal="center" vertical="center" wrapText="1"/>
    </xf>
    <xf numFmtId="49" fontId="31" fillId="36" borderId="16" xfId="234" applyNumberFormat="1" applyFont="1" applyFill="1" applyBorder="1" applyAlignment="1">
      <alignment horizontal="center" vertical="center" wrapText="1"/>
    </xf>
    <xf numFmtId="49" fontId="54" fillId="38" borderId="34" xfId="229" applyNumberFormat="1" applyFont="1" applyFill="1" applyBorder="1" applyAlignment="1">
      <alignment horizontal="left"/>
    </xf>
    <xf numFmtId="49" fontId="54" fillId="38" borderId="32" xfId="229" applyNumberFormat="1" applyFont="1" applyFill="1" applyBorder="1" applyAlignment="1">
      <alignment horizontal="left"/>
    </xf>
    <xf numFmtId="168" fontId="54" fillId="38" borderId="15" xfId="232" applyNumberFormat="1" applyFont="1" applyFill="1" applyBorder="1" applyAlignment="1">
      <alignment horizontal="left"/>
    </xf>
    <xf numFmtId="168" fontId="54" fillId="38" borderId="33" xfId="232" applyNumberFormat="1" applyFont="1" applyFill="1" applyBorder="1" applyAlignment="1">
      <alignment horizontal="left"/>
    </xf>
    <xf numFmtId="168" fontId="54" fillId="38" borderId="16" xfId="232" applyNumberFormat="1" applyFont="1" applyFill="1" applyBorder="1" applyAlignment="1">
      <alignment horizontal="left"/>
    </xf>
    <xf numFmtId="49" fontId="72" fillId="36" borderId="35" xfId="230" applyNumberFormat="1" applyFont="1" applyFill="1" applyBorder="1" applyAlignment="1">
      <alignment horizontal="center" vertical="center" wrapText="1"/>
    </xf>
    <xf numFmtId="49" fontId="72" fillId="36" borderId="36" xfId="230" applyNumberFormat="1" applyFont="1" applyFill="1" applyBorder="1" applyAlignment="1">
      <alignment horizontal="center" vertical="center" wrapText="1"/>
    </xf>
    <xf numFmtId="49" fontId="31" fillId="36" borderId="19" xfId="230" applyNumberFormat="1" applyFont="1" applyFill="1" applyBorder="1" applyAlignment="1">
      <alignment horizontal="center" vertical="center" wrapText="1"/>
    </xf>
    <xf numFmtId="49" fontId="31" fillId="36" borderId="20" xfId="230" applyNumberFormat="1" applyFont="1" applyFill="1" applyBorder="1" applyAlignment="1">
      <alignment horizontal="center" vertical="center" wrapText="1"/>
    </xf>
    <xf numFmtId="49" fontId="31" fillId="36" borderId="21" xfId="230" applyNumberFormat="1" applyFont="1" applyFill="1" applyBorder="1" applyAlignment="1">
      <alignment horizontal="center" vertical="center" wrapText="1"/>
    </xf>
    <xf numFmtId="49" fontId="31" fillId="36" borderId="35" xfId="230" applyNumberFormat="1" applyFont="1" applyFill="1" applyBorder="1" applyAlignment="1">
      <alignment horizontal="center" vertical="center" wrapText="1"/>
    </xf>
    <xf numFmtId="49" fontId="31" fillId="36" borderId="41" xfId="230" applyNumberFormat="1" applyFont="1" applyFill="1" applyBorder="1" applyAlignment="1">
      <alignment horizontal="center" vertical="center" wrapText="1"/>
    </xf>
    <xf numFmtId="49" fontId="31" fillId="36" borderId="36" xfId="230" applyNumberFormat="1" applyFont="1" applyFill="1" applyBorder="1" applyAlignment="1">
      <alignment horizontal="center" vertical="center" wrapText="1"/>
    </xf>
    <xf numFmtId="49" fontId="8" fillId="36" borderId="37" xfId="230" applyNumberFormat="1" applyFont="1" applyFill="1" applyBorder="1" applyAlignment="1">
      <alignment horizontal="center" vertical="center" wrapText="1"/>
    </xf>
    <xf numFmtId="49" fontId="8" fillId="36" borderId="38" xfId="230" applyNumberFormat="1" applyFont="1" applyFill="1" applyBorder="1" applyAlignment="1">
      <alignment horizontal="center" vertical="center" wrapText="1"/>
    </xf>
    <xf numFmtId="49" fontId="8" fillId="36" borderId="14" xfId="230" applyNumberFormat="1" applyFont="1" applyFill="1" applyBorder="1" applyAlignment="1">
      <alignment horizontal="center" vertical="center" wrapText="1"/>
    </xf>
    <xf numFmtId="49" fontId="8" fillId="36" borderId="12" xfId="230" applyNumberFormat="1" applyFont="1" applyFill="1" applyBorder="1" applyAlignment="1">
      <alignment horizontal="center" vertical="center" wrapText="1"/>
    </xf>
    <xf numFmtId="49" fontId="8" fillId="36" borderId="39" xfId="230" applyNumberFormat="1" applyFont="1" applyFill="1" applyBorder="1" applyAlignment="1">
      <alignment horizontal="center" vertical="center" wrapText="1"/>
    </xf>
    <xf numFmtId="49" fontId="8" fillId="36" borderId="40" xfId="230" applyNumberFormat="1" applyFont="1" applyFill="1" applyBorder="1" applyAlignment="1">
      <alignment horizontal="center" vertical="center" wrapText="1"/>
    </xf>
    <xf numFmtId="49" fontId="31" fillId="36" borderId="14" xfId="230" applyNumberFormat="1" applyFont="1" applyFill="1" applyBorder="1" applyAlignment="1">
      <alignment horizontal="center" vertical="center" wrapText="1"/>
    </xf>
    <xf numFmtId="49" fontId="31" fillId="36" borderId="12" xfId="230" applyNumberFormat="1" applyFont="1" applyFill="1" applyBorder="1" applyAlignment="1">
      <alignment horizontal="center" vertical="center" wrapText="1"/>
    </xf>
    <xf numFmtId="2" fontId="31" fillId="36" borderId="14" xfId="230" applyNumberFormat="1" applyFont="1" applyFill="1" applyBorder="1" applyAlignment="1">
      <alignment horizontal="center" vertical="center" wrapText="1"/>
    </xf>
    <xf numFmtId="2" fontId="31" fillId="36" borderId="12" xfId="230" applyNumberFormat="1" applyFont="1" applyFill="1" applyBorder="1" applyAlignment="1">
      <alignment horizontal="center" vertical="center" wrapText="1"/>
    </xf>
    <xf numFmtId="49" fontId="56" fillId="36" borderId="14" xfId="230" applyNumberFormat="1" applyFont="1" applyFill="1" applyBorder="1" applyAlignment="1">
      <alignment horizontal="center" vertical="center"/>
    </xf>
    <xf numFmtId="49" fontId="56" fillId="36" borderId="12" xfId="230" applyNumberFormat="1" applyFont="1" applyFill="1" applyBorder="1" applyAlignment="1">
      <alignment horizontal="center" vertical="center"/>
    </xf>
    <xf numFmtId="49" fontId="31" fillId="36" borderId="34" xfId="230" applyNumberFormat="1" applyFont="1" applyFill="1" applyBorder="1" applyAlignment="1">
      <alignment horizontal="center" vertical="center" wrapText="1"/>
    </xf>
    <xf numFmtId="49" fontId="31" fillId="36" borderId="11" xfId="230" applyNumberFormat="1" applyFont="1" applyFill="1" applyBorder="1" applyAlignment="1">
      <alignment horizontal="center" vertical="center" wrapText="1"/>
    </xf>
    <xf numFmtId="174" fontId="33" fillId="13" borderId="10" xfId="80" applyNumberFormat="1" applyFont="1" applyFill="1" applyBorder="1" applyAlignment="1" applyProtection="1">
      <alignment horizontal="center" vertical="center" wrapText="1"/>
    </xf>
  </cellXfs>
  <cellStyles count="257">
    <cellStyle name="=C:\WINNT\SYSTEM32\COMMAND.COM 2" xfId="1" xr:uid="{0F4D4329-1D93-4983-9CB8-22B1E4D6EE7F}"/>
    <cellStyle name="20% - Accent1" xfId="2" builtinId="30" customBuiltin="1"/>
    <cellStyle name="20% - Accent1 2" xfId="3" xr:uid="{D6605B01-DF91-47F8-98AA-6D7E6349A5B8}"/>
    <cellStyle name="20% - Accent2" xfId="4" builtinId="34" customBuiltin="1"/>
    <cellStyle name="20% - Accent2 2" xfId="5" xr:uid="{93A1EF64-0E23-46EB-8F13-724F1B592E09}"/>
    <cellStyle name="20% - Accent3" xfId="6" builtinId="38" customBuiltin="1"/>
    <cellStyle name="20% - Accent3 2" xfId="7" xr:uid="{3B14868E-07A7-4E22-BDFC-82186891FCF6}"/>
    <cellStyle name="20% - Accent4" xfId="8" builtinId="42" customBuiltin="1"/>
    <cellStyle name="20% - Accent4 2" xfId="9" xr:uid="{C3268308-3256-43A5-9A99-E687744AEE87}"/>
    <cellStyle name="20% - Accent5" xfId="10" builtinId="46" customBuiltin="1"/>
    <cellStyle name="20% - Accent5 2" xfId="11" xr:uid="{61056498-AF81-45C0-A652-1BFCA7E6D990}"/>
    <cellStyle name="20% - Accent6" xfId="12" builtinId="50" customBuiltin="1"/>
    <cellStyle name="20% - Accent6 2" xfId="13" xr:uid="{9EAB1397-8E04-4D6D-B79F-EA322E120FDF}"/>
    <cellStyle name="40% - Accent1" xfId="14" builtinId="31" customBuiltin="1"/>
    <cellStyle name="40% - Accent1 2" xfId="15" xr:uid="{E5BC2C55-BC1E-4DD0-83B0-A864FF395C1A}"/>
    <cellStyle name="40% - Accent2" xfId="16" builtinId="35" customBuiltin="1"/>
    <cellStyle name="40% - Accent2 2" xfId="17" xr:uid="{3147AAE7-FE22-4751-B611-7B3E77B7FD23}"/>
    <cellStyle name="40% - Accent3" xfId="18" builtinId="39" customBuiltin="1"/>
    <cellStyle name="40% - Accent3 2" xfId="19" xr:uid="{0989AA2A-6D6A-48DC-9CF2-38545D7A4923}"/>
    <cellStyle name="40% - Accent4" xfId="20" builtinId="43" customBuiltin="1"/>
    <cellStyle name="40% - Accent4 2" xfId="21" xr:uid="{9172633D-6AA0-4222-8FFE-71AA46F7FF23}"/>
    <cellStyle name="40% - Accent5" xfId="22" builtinId="47" customBuiltin="1"/>
    <cellStyle name="40% - Accent5 2" xfId="23" xr:uid="{DC0B78C1-8EDF-433E-8349-0AB7D8E41BDC}"/>
    <cellStyle name="40% - Accent6" xfId="24" builtinId="51" customBuiltin="1"/>
    <cellStyle name="40% - Accent6 2" xfId="25" xr:uid="{4DEDCA98-4F64-4C46-A1CC-0B8D3FDC27A3}"/>
    <cellStyle name="60% - Accent1" xfId="26" builtinId="32" customBuiltin="1"/>
    <cellStyle name="60% - Accent1 2" xfId="27" xr:uid="{541CB230-6432-491D-811F-CFD3F9EC4198}"/>
    <cellStyle name="60% - Accent2" xfId="28" builtinId="36" customBuiltin="1"/>
    <cellStyle name="60% - Accent2 2" xfId="29" xr:uid="{581AC6C6-9160-45BD-AFE5-B289E166CC94}"/>
    <cellStyle name="60% - Accent3" xfId="30" builtinId="40" customBuiltin="1"/>
    <cellStyle name="60% - Accent3 2" xfId="31" xr:uid="{36D2436A-F80B-443C-B304-AE96A7252528}"/>
    <cellStyle name="60% - Accent4" xfId="32" builtinId="44" customBuiltin="1"/>
    <cellStyle name="60% - Accent4 2" xfId="33" xr:uid="{88637DDC-3D05-4EE5-A7E1-A8710D0132A4}"/>
    <cellStyle name="60% - Accent5" xfId="34" builtinId="48" customBuiltin="1"/>
    <cellStyle name="60% - Accent5 2" xfId="35" xr:uid="{80D28F0B-40A2-4474-A22E-AECED7C8195A}"/>
    <cellStyle name="60% - Accent6" xfId="36" builtinId="52" customBuiltin="1"/>
    <cellStyle name="60% - Accent6 2" xfId="37" xr:uid="{5D8325CD-D258-4941-9741-9362E2331088}"/>
    <cellStyle name="Accent1" xfId="38" builtinId="29" customBuiltin="1"/>
    <cellStyle name="Accent1 2" xfId="39" xr:uid="{0EAE37E4-06CF-40BD-8834-9826D49A2DA3}"/>
    <cellStyle name="Accent2" xfId="40" builtinId="33" customBuiltin="1"/>
    <cellStyle name="Accent2 2" xfId="41" xr:uid="{856928E7-2517-4D2C-98E3-DB6288AE2E7C}"/>
    <cellStyle name="Accent3" xfId="42" builtinId="37" customBuiltin="1"/>
    <cellStyle name="Accent3 2" xfId="43" xr:uid="{064E8EE1-1977-4D57-A210-546E0349FCEA}"/>
    <cellStyle name="Accent4" xfId="44" builtinId="41" customBuiltin="1"/>
    <cellStyle name="Accent4 2" xfId="45" xr:uid="{D6084DE1-2BDC-4F6A-901C-0AB3932F1CD7}"/>
    <cellStyle name="Accent5" xfId="46" builtinId="45" customBuiltin="1"/>
    <cellStyle name="Accent5 2" xfId="47" xr:uid="{CF6A6FCA-F92A-4DB0-934C-03175345B9EA}"/>
    <cellStyle name="Accent6" xfId="48" builtinId="49" customBuiltin="1"/>
    <cellStyle name="Accent6 2" xfId="49" xr:uid="{CC535B08-A604-4EEF-BED8-6231E1858260}"/>
    <cellStyle name="Bad" xfId="50" builtinId="27" customBuiltin="1"/>
    <cellStyle name="Bad 2" xfId="51" xr:uid="{D4D0C739-72AF-473C-922C-02E377F4BA76}"/>
    <cellStyle name="Blockout" xfId="52" xr:uid="{4530FC19-438D-4405-A02C-DAB4F6359143}"/>
    <cellStyle name="Blockout 2" xfId="53" xr:uid="{92C7AF0D-D6CF-4639-9E27-8B4275B6EB8E}"/>
    <cellStyle name="Blockout 2 2" xfId="54" xr:uid="{DD13B8DA-2ABD-4974-BA4B-C75985AACF55}"/>
    <cellStyle name="Blockout 2 2 2" xfId="55" xr:uid="{967C1F3F-2AF0-4DBF-AF76-C36869850739}"/>
    <cellStyle name="Blockout 2 2 2 2" xfId="56" xr:uid="{759BE8A9-A544-4577-B0AE-F60C2A803156}"/>
    <cellStyle name="Blockout 2 2 3" xfId="57" xr:uid="{FB661FAF-99FE-4A0F-BE82-CDD12D74B76A}"/>
    <cellStyle name="Blockout 2 2 3 2" xfId="58" xr:uid="{B3DCBD21-5A6E-4851-A45B-F1ABE2F5239D}"/>
    <cellStyle name="Blockout 2 2 4" xfId="59" xr:uid="{0ECA9974-169F-417B-8D06-62FBCD858963}"/>
    <cellStyle name="Blockout 2 2 5" xfId="60" xr:uid="{D050EA86-42B9-4B8F-844F-3EF716E68A07}"/>
    <cellStyle name="Blockout 2 3" xfId="61" xr:uid="{6F48344C-5191-405C-8580-7740B6967E77}"/>
    <cellStyle name="Blockout 2 3 2" xfId="62" xr:uid="{7F459D0F-ABA1-4872-9B29-DFF4F6104581}"/>
    <cellStyle name="Blockout 2 4" xfId="63" xr:uid="{004CE071-635A-45A1-8B62-1C71D5FE5B3D}"/>
    <cellStyle name="Blockout 2 4 2" xfId="64" xr:uid="{F11F45A0-85F4-4A43-B4D7-5D9A5A5BBA5A}"/>
    <cellStyle name="Blockout 2 5" xfId="65" xr:uid="{58A4A7E4-4822-4D0F-95E0-6D11342E5D6F}"/>
    <cellStyle name="Blockout 2 6" xfId="66" xr:uid="{C60455B0-8F56-4508-892E-098A86423604}"/>
    <cellStyle name="Blockout 3" xfId="67" xr:uid="{8654F28B-6006-4432-B1A4-F6FEA42531F2}"/>
    <cellStyle name="Blockout 3 2" xfId="68" xr:uid="{78910907-566A-4877-8A5D-D2096C238861}"/>
    <cellStyle name="Blockout 3 2 2" xfId="69" xr:uid="{6DBE7DF3-4F99-4F05-93F8-2A93E2B6D029}"/>
    <cellStyle name="Blockout 3 3" xfId="70" xr:uid="{85E3C8BA-4975-4D44-B016-4D81CFF37BB3}"/>
    <cellStyle name="Blockout 3 3 2" xfId="71" xr:uid="{913252F9-9F08-4D88-B25C-D78E67C26992}"/>
    <cellStyle name="Blockout 3 4" xfId="72" xr:uid="{FA3BE67C-2943-4617-B131-EB7245AF26A0}"/>
    <cellStyle name="Blockout 3 5" xfId="73" xr:uid="{1F5C47F8-15EA-4AEE-BF91-C8554F67E351}"/>
    <cellStyle name="Calculation" xfId="74" builtinId="22" customBuiltin="1"/>
    <cellStyle name="Calculation 2" xfId="75" xr:uid="{6D89A32E-E398-4A6E-A0D7-341D3EC617EB}"/>
    <cellStyle name="Check Cell" xfId="76" builtinId="23" customBuiltin="1"/>
    <cellStyle name="Check Cell 2" xfId="77" xr:uid="{E2F64B7E-2D61-43C2-BFDD-B08B7668EE09}"/>
    <cellStyle name="Comma" xfId="78" builtinId="3"/>
    <cellStyle name="Comma 10" xfId="79" xr:uid="{A5226614-0B78-4D4A-84F5-A13D06BBA435}"/>
    <cellStyle name="Comma 10 2" xfId="80" xr:uid="{1C23D712-1FA5-44B8-B3B0-3E15280F0640}"/>
    <cellStyle name="Comma 11" xfId="81" xr:uid="{1E162120-FD05-4003-9528-252444628FEE}"/>
    <cellStyle name="Comma 12" xfId="82" xr:uid="{B8DF396A-9A01-44D1-ACC6-B80AC01AE719}"/>
    <cellStyle name="Comma 2" xfId="83" xr:uid="{7083F7A5-934E-4C46-9EB1-4232E5281597}"/>
    <cellStyle name="Comma 2 2" xfId="84" xr:uid="{85DCCC27-1204-4DBB-A0AF-8AF232F3ADBD}"/>
    <cellStyle name="Comma 2 2 2" xfId="85" xr:uid="{8DCB2B9F-8CDA-491A-B05C-AA01B9AB2FA1}"/>
    <cellStyle name="Comma 2 2 2 2" xfId="86" xr:uid="{020E5F09-AEAC-4D1C-8950-CE1443E1A9EF}"/>
    <cellStyle name="Comma 2 2 2 2 2" xfId="87" xr:uid="{4A8BB811-46F5-46AD-BFFD-B85F7A075931}"/>
    <cellStyle name="Comma 2 2 2 3" xfId="88" xr:uid="{829DC920-9745-402D-B60E-A812B67E7A97}"/>
    <cellStyle name="Comma 2 2 3" xfId="89" xr:uid="{A62542C0-AD07-46BB-B8A0-414BEF7852C7}"/>
    <cellStyle name="Comma 2 2 3 2" xfId="90" xr:uid="{F692F607-7C6E-491A-8663-60FEBB8039C5}"/>
    <cellStyle name="Comma 2 2 4" xfId="91" xr:uid="{A7A97E32-E67A-4ED2-AEF6-F0B1016B8444}"/>
    <cellStyle name="Comma 2 2 4 2" xfId="92" xr:uid="{E97167B7-16CA-4B25-820A-3330423853D4}"/>
    <cellStyle name="Comma 2 2 5" xfId="93" xr:uid="{B6DC5393-A1F2-41E4-932B-298AFC7B399C}"/>
    <cellStyle name="Comma 2 2 6" xfId="94" xr:uid="{E4D18D5F-FF20-44DA-AA5D-4CF83B94845D}"/>
    <cellStyle name="Comma 2 3" xfId="95" xr:uid="{9A32F494-A56D-4A9F-AFF5-7A4AFB961788}"/>
    <cellStyle name="Comma 2 3 2" xfId="96" xr:uid="{E74C5CD2-C57F-4A9E-B1EB-EF0CE5171F44}"/>
    <cellStyle name="Comma 2 3 2 2" xfId="97" xr:uid="{847560A1-5D7E-4CA9-9078-EF769D1C68AF}"/>
    <cellStyle name="Comma 2 3 3" xfId="98" xr:uid="{0CA9D20B-6B7D-43BF-9E19-A50D5C7BFCD8}"/>
    <cellStyle name="Comma 2 4" xfId="99" xr:uid="{3F58FD3D-1299-4D36-9A79-6338BF0FC809}"/>
    <cellStyle name="Comma 2 4 2" xfId="100" xr:uid="{34602B9D-E228-4890-B2D0-64C33300332F}"/>
    <cellStyle name="Comma 2 5" xfId="101" xr:uid="{156DBDAC-6DEA-482B-9424-CB95DD2692ED}"/>
    <cellStyle name="Comma 2 5 2" xfId="102" xr:uid="{70513D8E-45A1-44A6-8CF4-47560B573852}"/>
    <cellStyle name="Comma 2 6" xfId="103" xr:uid="{8CE4F2FA-A7CD-4681-8D90-22D3A512E2AA}"/>
    <cellStyle name="Comma 2 7" xfId="104" xr:uid="{51965B08-80FE-42A4-B9F5-2CA134FBBAF2}"/>
    <cellStyle name="Comma 3" xfId="105" xr:uid="{C60616AD-EF91-42DE-B8DF-F5BF16A2F4D7}"/>
    <cellStyle name="Comma 3 2" xfId="106" xr:uid="{A806F485-E362-4E0F-A84C-969B7E8EB899}"/>
    <cellStyle name="Comma 3 2 2" xfId="107" xr:uid="{925F4EAB-1CEB-4570-A8F9-10810294E636}"/>
    <cellStyle name="Comma 3 2 2 2" xfId="108" xr:uid="{A1AE12B4-BD3C-42CE-897E-7295A27F11DA}"/>
    <cellStyle name="Comma 3 2 3" xfId="109" xr:uid="{8B279953-0318-4106-899C-7262E4B8D4AA}"/>
    <cellStyle name="Comma 3 3" xfId="110" xr:uid="{1DBA4C35-4AB3-4004-9B55-5D5ED12802E6}"/>
    <cellStyle name="Comma 3 3 2" xfId="111" xr:uid="{1BD0D271-F233-4377-9FB4-4B168DE1B086}"/>
    <cellStyle name="Comma 3 4" xfId="112" xr:uid="{2DC3A774-A61A-4121-9BE7-F97B50666557}"/>
    <cellStyle name="Comma 3 4 2" xfId="113" xr:uid="{E853879F-1C3F-4B64-8CBF-6B5DE947054C}"/>
    <cellStyle name="Comma 3 5" xfId="114" xr:uid="{E89B2C02-F8DA-467B-B305-16826E54EC89}"/>
    <cellStyle name="Comma 3 6" xfId="115" xr:uid="{8A20C33E-DAFA-460A-A8E2-8D9835418C74}"/>
    <cellStyle name="Comma 4" xfId="116" xr:uid="{C3093F2C-EF79-47C6-8AF4-DB58E28CB406}"/>
    <cellStyle name="Comma 4 2" xfId="117" xr:uid="{2CD381EC-7BFF-4999-AF46-444DBBCEB9AE}"/>
    <cellStyle name="Comma 4 2 2" xfId="118" xr:uid="{0DEF99BB-EA27-471A-9E01-8E801D2BF18C}"/>
    <cellStyle name="Comma 4 3" xfId="119" xr:uid="{711E0B1C-6D61-45BC-8F6E-3963385EC69F}"/>
    <cellStyle name="Comma 4 3 2" xfId="120" xr:uid="{6520988B-F104-4D8F-BDC6-E3A4561960FB}"/>
    <cellStyle name="Comma 4 4" xfId="121" xr:uid="{557DB99B-1EC4-4A2C-A89A-5518271AA51C}"/>
    <cellStyle name="Comma 5" xfId="122" xr:uid="{1101C037-DBA4-4768-B958-3E5F9B5B8577}"/>
    <cellStyle name="Comma 5 2" xfId="123" xr:uid="{A121F581-9159-4247-A047-C77E81A88845}"/>
    <cellStyle name="Comma 5 2 2" xfId="124" xr:uid="{7A4B5694-B9EE-408B-988E-51221318D30E}"/>
    <cellStyle name="Comma 5 3" xfId="125" xr:uid="{1D81B30D-6B1E-4F38-95B8-33AE7BE87598}"/>
    <cellStyle name="Comma 6" xfId="126" xr:uid="{2E740C2B-3E0A-474E-8D42-25275D70D384}"/>
    <cellStyle name="Comma 6 2" xfId="127" xr:uid="{57E047F6-B45E-400C-9944-11187D8354CA}"/>
    <cellStyle name="Comma 6 2 2" xfId="128" xr:uid="{9E7B8599-EFE4-4BB2-BFEB-15567EE2630B}"/>
    <cellStyle name="Comma 6 2 2 2" xfId="129" xr:uid="{0C829924-2046-42C0-A7E0-F74FF0050F34}"/>
    <cellStyle name="Comma 6 2 3" xfId="130" xr:uid="{59F38EE9-57DB-46FA-AB92-BCBDB7107BD1}"/>
    <cellStyle name="Comma 6 3" xfId="131" xr:uid="{7ECAEEB0-7043-4F70-8EA6-1AB85BEEDE61}"/>
    <cellStyle name="Comma 6 3 2" xfId="132" xr:uid="{0100D710-B132-4E88-BA43-9E561B735011}"/>
    <cellStyle name="Comma 6 4" xfId="133" xr:uid="{6DB40A18-A418-4D6F-9B0D-E590A7D52221}"/>
    <cellStyle name="Comma 7" xfId="134" xr:uid="{8D5CF716-6CF1-4C30-A4C6-F363E431AF76}"/>
    <cellStyle name="Comma 7 2" xfId="135" xr:uid="{B85D5CD1-C956-4F40-A999-1DB8A4414EB6}"/>
    <cellStyle name="Comma 7 2 2" xfId="136" xr:uid="{A78142E1-17C5-46CB-8031-8C828408D2F2}"/>
    <cellStyle name="Comma 7 3" xfId="137" xr:uid="{C5E816F6-E7A2-4E66-9F2C-A487CC56AFB2}"/>
    <cellStyle name="Comma 8" xfId="138" xr:uid="{6104C3E6-1BCA-4ABA-A289-6DB7D6DAA4B0}"/>
    <cellStyle name="Comma 8 2" xfId="139" xr:uid="{1C9951C8-7200-492E-BD22-3031719B2718}"/>
    <cellStyle name="Comma 8 2 2" xfId="140" xr:uid="{9904E2ED-B57C-4914-8AF0-51B6357F6CAD}"/>
    <cellStyle name="Comma 8 3" xfId="141" xr:uid="{74EDCF6E-A406-434B-868C-B7CDC6FA2A85}"/>
    <cellStyle name="Comma 9" xfId="142" xr:uid="{8AE6133C-B6EB-4918-B268-71671B7A9328}"/>
    <cellStyle name="Comma 9 2" xfId="143" xr:uid="{880DB7AD-D2D0-426E-9946-3A149E3DD3FC}"/>
    <cellStyle name="Currency 2" xfId="144" xr:uid="{AF8B8C5D-D576-49C0-84E8-0C8D367023CA}"/>
    <cellStyle name="Currency 2 2" xfId="145" xr:uid="{0EE8D452-F9CA-4EBF-B370-C6BA96F802B8}"/>
    <cellStyle name="Currency 2 2 2" xfId="146" xr:uid="{4B7F60E3-5786-45D0-A106-245BDA6EBDF7}"/>
    <cellStyle name="Currency 2 3" xfId="147" xr:uid="{652FA7BC-D713-471B-B759-A69B40FB3363}"/>
    <cellStyle name="Currency 2 3 2" xfId="148" xr:uid="{DEEA55AF-8B36-451C-9071-0115358C1D9B}"/>
    <cellStyle name="Currency 2 4" xfId="149" xr:uid="{C0FF1906-F38D-488E-A46F-4C167EADDB07}"/>
    <cellStyle name="Currency 3" xfId="150" xr:uid="{7BB4484C-B345-47E2-A0DD-1A24D56A0443}"/>
    <cellStyle name="dms_H" xfId="151" xr:uid="{E3563EE7-A52C-4DB3-A3BE-55C62414C70A}"/>
    <cellStyle name="dms_TopHeader" xfId="152" xr:uid="{6D93A50C-3957-4A3A-A66E-B9E7149455BE}"/>
    <cellStyle name="Explanatory Text" xfId="153" builtinId="53" customBuiltin="1"/>
    <cellStyle name="Good" xfId="154" builtinId="26" customBuiltin="1"/>
    <cellStyle name="Good 2" xfId="155" xr:uid="{EE2D972F-D3F6-4310-8144-0E047B373EA9}"/>
    <cellStyle name="Heading 1" xfId="156" builtinId="16" customBuiltin="1"/>
    <cellStyle name="Heading 2" xfId="157" builtinId="17" customBuiltin="1"/>
    <cellStyle name="Heading 3" xfId="158" builtinId="18" customBuiltin="1"/>
    <cellStyle name="Heading 4" xfId="159" builtinId="19" customBuiltin="1"/>
    <cellStyle name="Hyperlink" xfId="160" builtinId="8"/>
    <cellStyle name="Input" xfId="161" builtinId="20" customBuiltin="1"/>
    <cellStyle name="Input 2" xfId="162" xr:uid="{EEDD8E1A-CA85-457B-B7A4-74D2E4C7F4D4}"/>
    <cellStyle name="Input1" xfId="163" xr:uid="{A6764D35-E685-48A3-A6D7-2A89EF12BDC5}"/>
    <cellStyle name="Input1 2" xfId="164" xr:uid="{5AC61CDA-EAB7-43E1-916F-6F01A5EFF520}"/>
    <cellStyle name="Input1 2 2" xfId="165" xr:uid="{C775AF8A-6217-4C70-A2E0-05056A080219}"/>
    <cellStyle name="Input1 2 2 2" xfId="166" xr:uid="{D73777EA-1504-4F65-815C-273E005FA1A1}"/>
    <cellStyle name="Input1 2 2 2 2" xfId="167" xr:uid="{EB4DBA35-A812-43C5-82AB-9A58C170E9F4}"/>
    <cellStyle name="Input1 2 2 3" xfId="168" xr:uid="{C521B28F-E7B2-48B4-8050-1CCC8762F407}"/>
    <cellStyle name="Input1 2 2 3 2" xfId="169" xr:uid="{5D98E90A-2A87-4332-A966-A7FDF84E3994}"/>
    <cellStyle name="Input1 2 2 4" xfId="170" xr:uid="{634CAD49-FF78-4B01-893B-14EC24C0DCC0}"/>
    <cellStyle name="Input1 2 2 5" xfId="171" xr:uid="{02095511-6D39-4237-B5A2-222028662286}"/>
    <cellStyle name="Input1 2 3" xfId="172" xr:uid="{43E8A1D0-7455-4D98-84A5-990D3FC481E2}"/>
    <cellStyle name="Input1 2 3 2" xfId="173" xr:uid="{BA6CEF19-A677-46D6-96A7-0822F84A62CF}"/>
    <cellStyle name="Input1 2 4" xfId="174" xr:uid="{1228221A-F7E8-4878-83D4-DDB986475BCF}"/>
    <cellStyle name="Input1 2 4 2" xfId="175" xr:uid="{F0F6E13B-9DD3-4223-A387-EE9718931C99}"/>
    <cellStyle name="Input1 2 5" xfId="176" xr:uid="{8BD33628-98D0-415E-9886-1F82545C536E}"/>
    <cellStyle name="Input1 2 6" xfId="177" xr:uid="{4CADD104-B825-46ED-8485-4AD4E0A63414}"/>
    <cellStyle name="Input1 3" xfId="178" xr:uid="{85F62937-E2AC-4B1E-A83E-C8152C851437}"/>
    <cellStyle name="Input1 3 2" xfId="179" xr:uid="{F21FEA52-9841-492B-BD75-0FA4A7123136}"/>
    <cellStyle name="Input1 3 2 2" xfId="180" xr:uid="{7F8C2AB8-ED7D-493A-8891-C49D0443D30F}"/>
    <cellStyle name="Input1 3 3" xfId="181" xr:uid="{7AE5AAD0-E158-4338-981C-D45C8D5CF02B}"/>
    <cellStyle name="Input1 3 3 2" xfId="182" xr:uid="{0559E4C9-5ABE-4DAF-9762-9E0DA42F3642}"/>
    <cellStyle name="Input1 3 4" xfId="183" xr:uid="{8C068FF9-6FCA-48EA-9E38-338B263F3447}"/>
    <cellStyle name="Input1 3 5" xfId="184" xr:uid="{9DAA7534-AB3D-416E-A939-4063E71504C4}"/>
    <cellStyle name="Input1 4" xfId="185" xr:uid="{2601FE70-66B2-43FC-AE9D-899E61BFA08C}"/>
    <cellStyle name="Input1 4 2" xfId="186" xr:uid="{ACFB34C3-A9A7-45C0-ADE8-7212029A05D3}"/>
    <cellStyle name="Input2" xfId="187" xr:uid="{2CAE0098-74B3-4E16-9A54-6FDDBA33D41B}"/>
    <cellStyle name="Input2 2" xfId="188" xr:uid="{0AB52C5D-F9FF-4986-AF02-1F2252E3E9C9}"/>
    <cellStyle name="Input2 2 2" xfId="189" xr:uid="{A7D4BE6F-FE37-43A7-A7AF-80F7A6008940}"/>
    <cellStyle name="Input3" xfId="190" xr:uid="{F50BD72D-17E5-437D-BFE7-54454C8A7F60}"/>
    <cellStyle name="Input3 2" xfId="191" xr:uid="{E751C11F-3242-4F60-A16F-8890A7A8BB10}"/>
    <cellStyle name="Input3 2 2" xfId="192" xr:uid="{58779E6E-5227-467F-BBD4-DDDB24FB36AB}"/>
    <cellStyle name="Input3 2 2 2" xfId="193" xr:uid="{284A2F9F-585C-4AED-9E92-ED6DDF163252}"/>
    <cellStyle name="Input3 2 2 2 2" xfId="194" xr:uid="{E43E151A-6C05-4535-BA7A-BB3222F81ACA}"/>
    <cellStyle name="Input3 2 2 3" xfId="195" xr:uid="{E9158E6A-F5D9-444A-99D7-FC5CDFD91D40}"/>
    <cellStyle name="Input3 2 2 3 2" xfId="196" xr:uid="{C4A96822-E961-4359-822B-B5D2428E408E}"/>
    <cellStyle name="Input3 2 2 4" xfId="197" xr:uid="{7EDD7576-6260-40F8-8805-217E1BFD11FF}"/>
    <cellStyle name="Input3 2 2 5" xfId="198" xr:uid="{3A3D8409-73CC-4A2D-87EB-004E25B3D597}"/>
    <cellStyle name="Input3 2 3" xfId="199" xr:uid="{06EB8572-E305-4040-8244-7B7FE56A4DDB}"/>
    <cellStyle name="Input3 2 3 2" xfId="200" xr:uid="{F98CAF8A-3795-466A-9139-45955E98D065}"/>
    <cellStyle name="Input3 2 4" xfId="201" xr:uid="{89B5D573-F216-4991-994E-05EE05D592AF}"/>
    <cellStyle name="Input3 2 4 2" xfId="202" xr:uid="{106A73A2-0A04-4FB3-BA7B-F9F4D1EBF750}"/>
    <cellStyle name="Input3 2 5" xfId="203" xr:uid="{D0EE5E2F-2F0D-4764-8E9C-507BD1A71C04}"/>
    <cellStyle name="Input3 2 6" xfId="204" xr:uid="{16D2A87C-8D4C-4456-9BB3-B5E6B3E083F0}"/>
    <cellStyle name="Input3 3" xfId="205" xr:uid="{97873C31-7436-4BDF-8EE5-65188503E342}"/>
    <cellStyle name="Input3 3 2" xfId="206" xr:uid="{B629C3ED-94CD-4BC2-A0FE-5997D321758D}"/>
    <cellStyle name="Input3 3 2 2" xfId="207" xr:uid="{C7D109D5-5485-428C-A5C6-695BC2E06B5F}"/>
    <cellStyle name="Input3 3 3" xfId="208" xr:uid="{6EC855B2-CBD2-4436-8379-7B21BBBC306C}"/>
    <cellStyle name="Input3 3 3 2" xfId="209" xr:uid="{B8A7A6D4-68AE-4009-B4CA-DDD11693294F}"/>
    <cellStyle name="Input3 3 4" xfId="210" xr:uid="{CD6B90BB-B259-4992-BE3D-0BD93CE1E9B3}"/>
    <cellStyle name="Input3 3 5" xfId="211" xr:uid="{1EA08072-F6B2-4782-B057-F0F9CA66CD1A}"/>
    <cellStyle name="Linked Cell" xfId="212" builtinId="24" customBuiltin="1"/>
    <cellStyle name="Neutral" xfId="213" builtinId="28" customBuiltin="1"/>
    <cellStyle name="Neutral 2" xfId="214" xr:uid="{4D4AE0D2-5F7F-4FE8-9D46-15B728B4F317}"/>
    <cellStyle name="Normal" xfId="0" builtinId="0"/>
    <cellStyle name="Normal 107" xfId="215" xr:uid="{EC57A026-485A-42EB-B84C-1E36F68C4F3B}"/>
    <cellStyle name="Normal 2" xfId="216" xr:uid="{62CA133A-F4E3-4C64-99A1-6C4FC8CA1127}"/>
    <cellStyle name="Normal 2 2" xfId="217" xr:uid="{25E87919-10B3-43B3-B689-F44FD65EA2F7}"/>
    <cellStyle name="Normal 2 4 3" xfId="218" xr:uid="{3FE3F8F0-6910-4E68-91B1-5AD36991759E}"/>
    <cellStyle name="Normal 3" xfId="219" xr:uid="{763A5829-0459-4ADB-8AF3-B13D915EB46D}"/>
    <cellStyle name="Normal 3 2" xfId="220" xr:uid="{DE2C4611-DFA0-4ACD-B9FA-E3C2CF6A0205}"/>
    <cellStyle name="Normal 3 2 2" xfId="221" xr:uid="{80D44F29-48C5-422E-979B-CFBF22C15444}"/>
    <cellStyle name="Normal 4" xfId="222" xr:uid="{74EB7514-C99A-4571-B825-EBB13E364001}"/>
    <cellStyle name="Normal 5" xfId="223" xr:uid="{5588A37D-B8EE-4D4C-8554-F5B5A24965E2}"/>
    <cellStyle name="Normal 6" xfId="224" xr:uid="{71A22C56-F799-47D8-BC0E-059829F7A31E}"/>
    <cellStyle name="Normal 7" xfId="256" xr:uid="{02E67241-B941-449B-8C48-A7BCA0D7A157}"/>
    <cellStyle name="Normal_2010 06 02 - Urgent RIN for Vic DNSPs revised proposals" xfId="225" xr:uid="{D4793D8B-4619-4028-A4BA-1DCDE303ECA7}"/>
    <cellStyle name="Normal_2010 06 22 - AA - Scheme Templates for data collection" xfId="226" xr:uid="{5FC885E0-39AD-4A95-92DA-E67F4D17AA65}"/>
    <cellStyle name="Normal_2010 06 22 - IE - Scheme Template for data collection" xfId="227" xr:uid="{B8116F49-DA9C-46DF-B915-3F8D467F46C5}"/>
    <cellStyle name="Normal_Book1" xfId="228" xr:uid="{657150BB-6B10-4048-B23D-11F163A676AE}"/>
    <cellStyle name="Normal_D11 2371025  Financial information - 2012 Draft RIN - Ausgrid" xfId="229" xr:uid="{8768D714-00AA-4152-A6A6-BEF6831BA28E}"/>
    <cellStyle name="Normal_D11 2371025  Financial information - 2012 Draft RIN - Ausgrid 2" xfId="230" xr:uid="{35326292-171F-4A96-ACD8-27236A449895}"/>
    <cellStyle name="Normal_D12 1569  Opex, DMIS, EBSS - 2012 draft RIN - Ausgrid" xfId="231" xr:uid="{23AC3F33-B6C5-4A57-993A-5B75B919F7C4}"/>
    <cellStyle name="Normal_D12 16703  Overheads, Avoided Cost, ACS, Demand and Revenue - 2012 draft RIN - Ausgrid" xfId="232" xr:uid="{138309AB-EF52-4833-84AF-C4FE9903A3A1}"/>
    <cellStyle name="Normal_D12 16703  Overheads, Avoided Cost, ACS, Demand and Revenue - 2012 draft RIN - Ausgrid 2" xfId="233" xr:uid="{19DB898F-1CD5-4838-8A3B-2331B77B5DB0}"/>
    <cellStyle name="Normal_Sheet1" xfId="234" xr:uid="{870E7C79-FB73-48BE-8825-759BC4A53BED}"/>
    <cellStyle name="Normal_Sheet1 2" xfId="235" xr:uid="{8735C137-ADA7-4AE2-B43A-0ECE99C3CE16}"/>
    <cellStyle name="Note" xfId="236" builtinId="10" customBuiltin="1"/>
    <cellStyle name="Note 2" xfId="237" xr:uid="{6EC1CBF0-653B-4FB8-AD91-4CAA9E0ECA3C}"/>
    <cellStyle name="Note 2 2" xfId="238" xr:uid="{C7317150-31C5-42F1-8B00-A59563C44E42}"/>
    <cellStyle name="Output" xfId="239" builtinId="21" customBuiltin="1"/>
    <cellStyle name="Output 2" xfId="240" xr:uid="{7D9F8355-C21B-4EDE-B390-AC3F910AB942}"/>
    <cellStyle name="Per cent" xfId="241" builtinId="5"/>
    <cellStyle name="Percent 2" xfId="242" xr:uid="{D6E3870F-B3FB-4DFE-B0D6-ED0396CE28CC}"/>
    <cellStyle name="Percent 2 2" xfId="243" xr:uid="{EC317BA3-98A1-4B22-BCE0-CCE3450DDD6A}"/>
    <cellStyle name="Percent 3" xfId="244" xr:uid="{4B3B2843-9346-4998-8B76-4D0465D2A3A0}"/>
    <cellStyle name="Style 1" xfId="245" xr:uid="{9A6B86B3-79D1-408D-9867-F3270AAD0384}"/>
    <cellStyle name="Style 1 2" xfId="246" xr:uid="{2401F86C-7AFC-4943-B3F4-EBE1A85F0C1B}"/>
    <cellStyle name="Style 1 2 2" xfId="247" xr:uid="{A4A0709E-F26E-42E9-8708-4DB8CD68B1BC}"/>
    <cellStyle name="Style 1 2 2 2" xfId="248" xr:uid="{4D506C65-6A90-41C7-AC31-EAB77E2F229A}"/>
    <cellStyle name="Style 1 3" xfId="249" xr:uid="{022DA8A4-87DF-4CF1-9DD4-34B89BAEC2F2}"/>
    <cellStyle name="Style 1 3 2" xfId="250" xr:uid="{1ABDEDA4-BE0F-4D73-BFC3-A73F0FB3D47C}"/>
    <cellStyle name="Style 1 4" xfId="251" xr:uid="{D1E82E2E-5104-45AE-B951-B06701DD9D33}"/>
    <cellStyle name="Style 1 4 2" xfId="252" xr:uid="{91E89548-D7B5-4F73-9AAF-040D1A562682}"/>
    <cellStyle name="Title" xfId="253" builtinId="15" customBuiltin="1"/>
    <cellStyle name="Total" xfId="254" builtinId="25" customBuiltin="1"/>
    <cellStyle name="Warning Text" xfId="255" builtinId="11" customBuiltin="1"/>
  </cellStyles>
  <dxfs count="97">
    <dxf>
      <font>
        <color auto="1"/>
      </font>
      <fill>
        <patternFill>
          <fgColor indexed="64"/>
          <bgColor rgb="FFFF0000"/>
        </patternFill>
      </fill>
    </dxf>
    <dxf>
      <font>
        <color rgb="FF9C0006"/>
      </font>
      <fill>
        <patternFill>
          <bgColor rgb="FFFFC7CE"/>
        </patternFill>
      </fill>
    </dxf>
    <dxf>
      <font>
        <color rgb="FF2B7AAF"/>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theme="0" tint="-0.24994659260841701"/>
      </font>
      <numFmt numFmtId="176" formatCode="&quot; -&quo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vertical="center" textRotation="0" indent="0" justifyLastLine="0" shrinkToFit="0" readingOrder="0"/>
    </dxf>
    <dxf>
      <fill>
        <patternFill patternType="solid">
          <fgColor indexed="64"/>
          <bgColor theme="3" tint="0.59999389629810485"/>
        </patternFill>
      </fill>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top style="thin">
          <color theme="4"/>
        </top>
      </border>
    </dxf>
    <dxf>
      <font>
        <b/>
        <i val="0"/>
        <strike val="0"/>
        <condense val="0"/>
        <extend val="0"/>
        <outline val="0"/>
        <shadow val="0"/>
        <u val="none"/>
        <vertAlign val="baseline"/>
        <sz val="10"/>
        <color theme="0"/>
        <name val="Arial"/>
        <family val="2"/>
        <scheme val="none"/>
      </font>
      <fill>
        <patternFill patternType="solid">
          <fgColor indexed="64"/>
          <bgColor rgb="FF2B7AAF"/>
        </patternFill>
      </fill>
    </dxf>
  </dxfs>
  <tableStyles count="0" defaultTableStyle="TableStyleMedium2" defaultPivotStyle="PivotStyleLight16"/>
  <colors>
    <mruColors>
      <color rgb="FFCCFFCC"/>
      <color rgb="FF0033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Revenue allocation to pipeline services</a:t>
            </a:r>
          </a:p>
        </c:rich>
      </c:tx>
      <c:overlay val="0"/>
      <c:spPr>
        <a:noFill/>
        <a:ln w="25400">
          <a:noFill/>
        </a:ln>
      </c:spPr>
    </c:title>
    <c:autoTitleDeleted val="0"/>
    <c:plotArea>
      <c:layout>
        <c:manualLayout>
          <c:layoutTarget val="inner"/>
          <c:xMode val="edge"/>
          <c:yMode val="edge"/>
          <c:x val="0.24177040996089655"/>
          <c:y val="6.7078467027851196E-2"/>
          <c:w val="0.53318213061065745"/>
          <c:h val="0.79869177557721505"/>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DB2A-4E61-8E24-883F5A0248E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DB2A-4E61-8E24-883F5A0248E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DB2A-4E61-8E24-883F5A0248E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DB2A-4E61-8E24-883F5A0248E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DB2A-4E61-8E24-883F5A0248E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DB2A-4E61-8E24-883F5A0248E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DB2A-4E61-8E24-883F5A0248E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DB2A-4E61-8E24-883F5A0248E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DB2A-4E61-8E24-883F5A0248EA}"/>
              </c:ext>
            </c:extLst>
          </c:dPt>
          <c:dPt>
            <c:idx val="9"/>
            <c:bubble3D val="0"/>
            <c:extLst>
              <c:ext xmlns:c16="http://schemas.microsoft.com/office/drawing/2014/chart" uri="{C3380CC4-5D6E-409C-BE32-E72D297353CC}">
                <c16:uniqueId val="{00000009-DB2A-4E61-8E24-883F5A0248EA}"/>
              </c:ext>
            </c:extLst>
          </c:dPt>
          <c:dLbls>
            <c:dLbl>
              <c:idx val="1"/>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1-DB2A-4E61-8E24-883F5A0248EA}"/>
                </c:ext>
              </c:extLst>
            </c:dLbl>
            <c:dLbl>
              <c:idx val="4"/>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4-DB2A-4E61-8E24-883F5A0248EA}"/>
                </c:ext>
              </c:extLst>
            </c:dLbl>
            <c:dLbl>
              <c:idx val="5"/>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5-DB2A-4E61-8E24-883F5A0248EA}"/>
                </c:ext>
              </c:extLst>
            </c:dLbl>
            <c:dLbl>
              <c:idx val="6"/>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6-DB2A-4E61-8E24-883F5A0248EA}"/>
                </c:ext>
              </c:extLst>
            </c:dLbl>
            <c:dLbl>
              <c:idx val="7"/>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7-DB2A-4E61-8E24-883F5A0248EA}"/>
                </c:ext>
              </c:extLst>
            </c:dLbl>
            <c:dLbl>
              <c:idx val="8"/>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8-DB2A-4E61-8E24-883F5A0248EA}"/>
                </c:ext>
              </c:extLst>
            </c:dLbl>
            <c:dLbl>
              <c:idx val="9"/>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9-DB2A-4E61-8E24-883F5A0248EA}"/>
                </c:ext>
              </c:extLst>
            </c:dLbl>
            <c:numFmt formatCode="0%;\-0%;\ &quot;&quot;"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expenses'!$D$12:$D$21</c:f>
              <c:numCache>
                <c:formatCode>_(* #,##0_);_(* \(#,##0\);_(* ""_);_(@_)</c:formatCode>
                <c:ptCount val="10"/>
                <c:pt idx="0">
                  <c:v>21580536.742288079</c:v>
                </c:pt>
                <c:pt idx="1">
                  <c:v>0</c:v>
                </c:pt>
                <c:pt idx="2">
                  <c:v>1971626.9284475336</c:v>
                </c:pt>
                <c:pt idx="3">
                  <c:v>0</c:v>
                </c:pt>
                <c:pt idx="4">
                  <c:v>0</c:v>
                </c:pt>
                <c:pt idx="5">
                  <c:v>0</c:v>
                </c:pt>
                <c:pt idx="6">
                  <c:v>188698.89803577002</c:v>
                </c:pt>
                <c:pt idx="7">
                  <c:v>0</c:v>
                </c:pt>
                <c:pt idx="8">
                  <c:v>21274.525234024357</c:v>
                </c:pt>
                <c:pt idx="9">
                  <c:v>254488.12599459171</c:v>
                </c:pt>
              </c:numCache>
            </c:numRef>
          </c:val>
          <c:extLst>
            <c:ext xmlns:c16="http://schemas.microsoft.com/office/drawing/2014/chart" uri="{C3380CC4-5D6E-409C-BE32-E72D297353CC}">
              <c16:uniqueId val="{0000000A-DB2A-4E61-8E24-883F5A0248E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Expense allocation to pipeline services</a:t>
            </a:r>
          </a:p>
        </c:rich>
      </c:tx>
      <c:overlay val="0"/>
      <c:spPr>
        <a:noFill/>
        <a:ln w="25400">
          <a:noFill/>
        </a:ln>
      </c:spPr>
    </c:title>
    <c:autoTitleDeleted val="0"/>
    <c:plotArea>
      <c:layout>
        <c:manualLayout>
          <c:layoutTarget val="inner"/>
          <c:xMode val="edge"/>
          <c:yMode val="edge"/>
          <c:x val="0.26497122127771"/>
          <c:y val="5.9444058054497949E-2"/>
          <c:w val="0.51226897399608629"/>
          <c:h val="0.7986044966646346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C26F-4283-8F35-1BC3EE400B5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C26F-4283-8F35-1BC3EE400B5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C26F-4283-8F35-1BC3EE400B5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C26F-4283-8F35-1BC3EE400B5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C26F-4283-8F35-1BC3EE400B5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C26F-4283-8F35-1BC3EE400B5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C26F-4283-8F35-1BC3EE400B5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C26F-4283-8F35-1BC3EE400B5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C26F-4283-8F35-1BC3EE400B55}"/>
              </c:ext>
            </c:extLst>
          </c:dPt>
          <c:dPt>
            <c:idx val="9"/>
            <c:bubble3D val="0"/>
            <c:extLst>
              <c:ext xmlns:c16="http://schemas.microsoft.com/office/drawing/2014/chart" uri="{C3380CC4-5D6E-409C-BE32-E72D297353CC}">
                <c16:uniqueId val="{00000009-C26F-4283-8F35-1BC3EE400B55}"/>
              </c:ext>
            </c:extLst>
          </c:dPt>
          <c:dLbls>
            <c:dLbl>
              <c:idx val="1"/>
              <c:layout>
                <c:manualLayout>
                  <c:x val="6.9658976245652565E-2"/>
                  <c:y val="-8.830867807170239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26F-4283-8F35-1BC3EE400B55}"/>
                </c:ext>
              </c:extLst>
            </c:dLbl>
            <c:dLbl>
              <c:idx val="4"/>
              <c:layout>
                <c:manualLayout>
                  <c:x val="9.4621200802816018E-3"/>
                  <c:y val="4.337240900289241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C26F-4283-8F35-1BC3EE400B55}"/>
                </c:ext>
              </c:extLst>
            </c:dLbl>
            <c:dLbl>
              <c:idx val="5"/>
              <c:layout>
                <c:manualLayout>
                  <c:x val="-3.4084159850856404E-4"/>
                  <c:y val="-1.0284269355420705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C26F-4283-8F35-1BC3EE400B55}"/>
                </c:ext>
              </c:extLst>
            </c:dLbl>
            <c:dLbl>
              <c:idx val="6"/>
              <c:layout>
                <c:manualLayout>
                  <c:x val="-7.5549572047626046E-3"/>
                  <c:y val="-1.9087522533174253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C26F-4283-8F35-1BC3EE400B55}"/>
                </c:ext>
              </c:extLst>
            </c:dLbl>
            <c:dLbl>
              <c:idx val="7"/>
              <c:layout>
                <c:manualLayout>
                  <c:x val="-7.0214069892144473E-3"/>
                  <c:y val="-3.5060841568912086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C26F-4283-8F35-1BC3EE400B55}"/>
                </c:ext>
              </c:extLst>
            </c:dLbl>
            <c:dLbl>
              <c:idx val="8"/>
              <c:layout>
                <c:manualLayout>
                  <c:x val="2.3741561499401775E-4"/>
                  <c:y val="1.0101140760341207E-4"/>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C26F-4283-8F35-1BC3EE400B55}"/>
                </c:ext>
              </c:extLst>
            </c:dLbl>
            <c:dLbl>
              <c:idx val="9"/>
              <c:layout>
                <c:manualLayout>
                  <c:x val="2.424949605010419E-4"/>
                  <c:y val="2.0644260931505398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C26F-4283-8F35-1BC3EE400B55}"/>
                </c:ext>
              </c:extLst>
            </c:dLbl>
            <c:numFmt formatCode="0%;\-0%;\ &quot;&quot;\ "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expenses'!$F$12:$F$21</c:f>
              <c:numCache>
                <c:formatCode>_(* #,##0_);_(* \(#,##0\);_(* ""_);_(@_)</c:formatCode>
                <c:ptCount val="10"/>
                <c:pt idx="0">
                  <c:v>19657473.620768689</c:v>
                </c:pt>
                <c:pt idx="1">
                  <c:v>0</c:v>
                </c:pt>
                <c:pt idx="2">
                  <c:v>1795933.289277649</c:v>
                </c:pt>
                <c:pt idx="3">
                  <c:v>0</c:v>
                </c:pt>
                <c:pt idx="4">
                  <c:v>0</c:v>
                </c:pt>
                <c:pt idx="5">
                  <c:v>0</c:v>
                </c:pt>
                <c:pt idx="6">
                  <c:v>171883.75130344354</c:v>
                </c:pt>
                <c:pt idx="7">
                  <c:v>0</c:v>
                </c:pt>
                <c:pt idx="8">
                  <c:v>19378.731102768277</c:v>
                </c:pt>
                <c:pt idx="9">
                  <c:v>231810.43563827247</c:v>
                </c:pt>
              </c:numCache>
            </c:numRef>
          </c:val>
          <c:extLst>
            <c:ext xmlns:c16="http://schemas.microsoft.com/office/drawing/2014/chart" uri="{C3380CC4-5D6E-409C-BE32-E72D297353CC}">
              <c16:uniqueId val="{0000000A-C26F-4283-8F35-1BC3EE400B55}"/>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Historical demand</a:t>
            </a:r>
          </a:p>
        </c:rich>
      </c:tx>
      <c:overlay val="0"/>
      <c:spPr>
        <a:noFill/>
        <a:ln w="25400">
          <a:noFill/>
        </a:ln>
      </c:spPr>
    </c:title>
    <c:autoTitleDeleted val="0"/>
    <c:plotArea>
      <c:layout/>
      <c:barChart>
        <c:barDir val="col"/>
        <c:grouping val="stacked"/>
        <c:varyColors val="0"/>
        <c:ser>
          <c:idx val="0"/>
          <c:order val="0"/>
          <c:tx>
            <c:strRef>
              <c:f>'5. Historical demand'!$C$40:$C$41</c:f>
              <c:strCache>
                <c:ptCount val="2"/>
                <c:pt idx="0">
                  <c:v>Contracted firm capacity-transportation</c:v>
                </c:pt>
                <c:pt idx="1">
                  <c:v>TJ/day</c:v>
                </c:pt>
              </c:strCache>
            </c:strRef>
          </c:tx>
          <c:spPr>
            <a:solidFill>
              <a:schemeClr val="accent6">
                <a:lumMod val="60000"/>
                <a:lumOff val="40000"/>
              </a:schemeClr>
            </a:solidFill>
            <a:ln w="28575" cap="rnd">
              <a:solidFill>
                <a:schemeClr val="accent6">
                  <a:lumMod val="60000"/>
                  <a:lumOff val="40000"/>
                </a:schemeClr>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demand'!$C$43:$C$408</c:f>
              <c:numCache>
                <c:formatCode>_(* #,##0_);_(* \(#,##0\);_(* "-"_);_(@_)</c:formatCode>
                <c:ptCount val="366"/>
                <c:pt idx="0">
                  <c:v>154.41</c:v>
                </c:pt>
                <c:pt idx="1">
                  <c:v>154.41</c:v>
                </c:pt>
                <c:pt idx="2">
                  <c:v>154.41</c:v>
                </c:pt>
                <c:pt idx="3">
                  <c:v>154.41</c:v>
                </c:pt>
                <c:pt idx="4">
                  <c:v>154.41</c:v>
                </c:pt>
                <c:pt idx="5">
                  <c:v>154.41</c:v>
                </c:pt>
                <c:pt idx="6">
                  <c:v>154.41</c:v>
                </c:pt>
                <c:pt idx="7">
                  <c:v>154.41</c:v>
                </c:pt>
                <c:pt idx="8">
                  <c:v>154.41</c:v>
                </c:pt>
                <c:pt idx="9">
                  <c:v>154.41</c:v>
                </c:pt>
                <c:pt idx="10">
                  <c:v>154.41</c:v>
                </c:pt>
                <c:pt idx="11">
                  <c:v>154.41</c:v>
                </c:pt>
                <c:pt idx="12">
                  <c:v>154.41</c:v>
                </c:pt>
                <c:pt idx="13">
                  <c:v>154.41</c:v>
                </c:pt>
                <c:pt idx="14">
                  <c:v>154.41</c:v>
                </c:pt>
                <c:pt idx="15">
                  <c:v>154.41</c:v>
                </c:pt>
                <c:pt idx="16">
                  <c:v>154.41</c:v>
                </c:pt>
                <c:pt idx="17">
                  <c:v>154.41</c:v>
                </c:pt>
                <c:pt idx="18">
                  <c:v>154.41</c:v>
                </c:pt>
                <c:pt idx="19">
                  <c:v>154.41</c:v>
                </c:pt>
                <c:pt idx="20">
                  <c:v>154.41</c:v>
                </c:pt>
                <c:pt idx="21">
                  <c:v>154.41</c:v>
                </c:pt>
                <c:pt idx="22">
                  <c:v>154.41</c:v>
                </c:pt>
                <c:pt idx="23">
                  <c:v>154.41</c:v>
                </c:pt>
                <c:pt idx="24">
                  <c:v>154.41</c:v>
                </c:pt>
                <c:pt idx="25">
                  <c:v>154.41</c:v>
                </c:pt>
                <c:pt idx="26">
                  <c:v>154.41</c:v>
                </c:pt>
                <c:pt idx="27">
                  <c:v>154.41</c:v>
                </c:pt>
                <c:pt idx="28">
                  <c:v>154.41</c:v>
                </c:pt>
                <c:pt idx="29">
                  <c:v>154.41</c:v>
                </c:pt>
                <c:pt idx="30">
                  <c:v>154.41</c:v>
                </c:pt>
                <c:pt idx="31">
                  <c:v>154.41</c:v>
                </c:pt>
                <c:pt idx="32">
                  <c:v>154.41</c:v>
                </c:pt>
                <c:pt idx="33">
                  <c:v>154.41</c:v>
                </c:pt>
                <c:pt idx="34">
                  <c:v>154.41</c:v>
                </c:pt>
                <c:pt idx="35">
                  <c:v>154.41</c:v>
                </c:pt>
                <c:pt idx="36">
                  <c:v>154.41</c:v>
                </c:pt>
                <c:pt idx="37">
                  <c:v>154.41</c:v>
                </c:pt>
                <c:pt idx="38">
                  <c:v>154.41</c:v>
                </c:pt>
                <c:pt idx="39">
                  <c:v>154.41</c:v>
                </c:pt>
                <c:pt idx="40">
                  <c:v>154.41</c:v>
                </c:pt>
                <c:pt idx="41">
                  <c:v>154.41</c:v>
                </c:pt>
                <c:pt idx="42">
                  <c:v>154.41</c:v>
                </c:pt>
                <c:pt idx="43">
                  <c:v>154.41</c:v>
                </c:pt>
                <c:pt idx="44">
                  <c:v>154.41</c:v>
                </c:pt>
                <c:pt idx="45">
                  <c:v>154.41</c:v>
                </c:pt>
                <c:pt idx="46">
                  <c:v>154.41</c:v>
                </c:pt>
                <c:pt idx="47">
                  <c:v>154.41</c:v>
                </c:pt>
                <c:pt idx="48">
                  <c:v>154.41</c:v>
                </c:pt>
                <c:pt idx="49">
                  <c:v>154.41</c:v>
                </c:pt>
                <c:pt idx="50">
                  <c:v>154.41</c:v>
                </c:pt>
                <c:pt idx="51">
                  <c:v>154.41</c:v>
                </c:pt>
                <c:pt idx="52">
                  <c:v>154.41</c:v>
                </c:pt>
                <c:pt idx="53">
                  <c:v>154.41</c:v>
                </c:pt>
                <c:pt idx="54">
                  <c:v>154.41</c:v>
                </c:pt>
                <c:pt idx="55">
                  <c:v>154.41</c:v>
                </c:pt>
                <c:pt idx="56">
                  <c:v>154.41</c:v>
                </c:pt>
                <c:pt idx="57">
                  <c:v>154.41</c:v>
                </c:pt>
                <c:pt idx="58">
                  <c:v>154.41</c:v>
                </c:pt>
                <c:pt idx="59">
                  <c:v>154.41</c:v>
                </c:pt>
                <c:pt idx="60">
                  <c:v>154.41</c:v>
                </c:pt>
                <c:pt idx="61">
                  <c:v>154.41</c:v>
                </c:pt>
                <c:pt idx="62">
                  <c:v>154.41</c:v>
                </c:pt>
                <c:pt idx="63">
                  <c:v>154.41</c:v>
                </c:pt>
                <c:pt idx="64">
                  <c:v>154.41</c:v>
                </c:pt>
                <c:pt idx="65">
                  <c:v>154.41</c:v>
                </c:pt>
                <c:pt idx="66">
                  <c:v>154.41</c:v>
                </c:pt>
                <c:pt idx="67">
                  <c:v>154.41</c:v>
                </c:pt>
                <c:pt idx="68">
                  <c:v>154.41</c:v>
                </c:pt>
                <c:pt idx="69">
                  <c:v>154.41</c:v>
                </c:pt>
                <c:pt idx="70">
                  <c:v>154.41</c:v>
                </c:pt>
                <c:pt idx="71">
                  <c:v>154.41</c:v>
                </c:pt>
                <c:pt idx="72">
                  <c:v>154.41</c:v>
                </c:pt>
                <c:pt idx="73">
                  <c:v>154.41</c:v>
                </c:pt>
                <c:pt idx="74">
                  <c:v>154.41</c:v>
                </c:pt>
                <c:pt idx="75">
                  <c:v>154.41</c:v>
                </c:pt>
                <c:pt idx="76">
                  <c:v>154.41</c:v>
                </c:pt>
                <c:pt idx="77">
                  <c:v>154.41</c:v>
                </c:pt>
                <c:pt idx="78">
                  <c:v>154.41</c:v>
                </c:pt>
                <c:pt idx="79">
                  <c:v>154.41</c:v>
                </c:pt>
                <c:pt idx="80">
                  <c:v>154.41</c:v>
                </c:pt>
                <c:pt idx="81">
                  <c:v>154.41</c:v>
                </c:pt>
                <c:pt idx="82">
                  <c:v>154.41</c:v>
                </c:pt>
                <c:pt idx="83">
                  <c:v>154.41</c:v>
                </c:pt>
                <c:pt idx="84">
                  <c:v>154.41</c:v>
                </c:pt>
                <c:pt idx="85">
                  <c:v>154.41</c:v>
                </c:pt>
                <c:pt idx="86">
                  <c:v>154.41</c:v>
                </c:pt>
                <c:pt idx="87">
                  <c:v>154.41</c:v>
                </c:pt>
                <c:pt idx="88">
                  <c:v>154.41</c:v>
                </c:pt>
                <c:pt idx="89">
                  <c:v>154.41</c:v>
                </c:pt>
                <c:pt idx="90">
                  <c:v>154.41</c:v>
                </c:pt>
                <c:pt idx="91">
                  <c:v>154.41</c:v>
                </c:pt>
                <c:pt idx="92">
                  <c:v>154.41</c:v>
                </c:pt>
                <c:pt idx="93">
                  <c:v>154.41</c:v>
                </c:pt>
                <c:pt idx="94">
                  <c:v>154.41</c:v>
                </c:pt>
                <c:pt idx="95">
                  <c:v>154.41</c:v>
                </c:pt>
                <c:pt idx="96">
                  <c:v>154.41</c:v>
                </c:pt>
                <c:pt idx="97">
                  <c:v>154.41</c:v>
                </c:pt>
                <c:pt idx="98">
                  <c:v>154.41</c:v>
                </c:pt>
                <c:pt idx="99">
                  <c:v>154.41</c:v>
                </c:pt>
                <c:pt idx="100">
                  <c:v>154.41</c:v>
                </c:pt>
                <c:pt idx="101">
                  <c:v>154.41</c:v>
                </c:pt>
                <c:pt idx="102">
                  <c:v>154.41</c:v>
                </c:pt>
                <c:pt idx="103">
                  <c:v>154.41</c:v>
                </c:pt>
                <c:pt idx="104">
                  <c:v>154.41</c:v>
                </c:pt>
                <c:pt idx="105">
                  <c:v>154.41</c:v>
                </c:pt>
                <c:pt idx="106">
                  <c:v>154.41</c:v>
                </c:pt>
                <c:pt idx="107">
                  <c:v>154.41</c:v>
                </c:pt>
                <c:pt idx="108">
                  <c:v>154.41</c:v>
                </c:pt>
                <c:pt idx="109">
                  <c:v>154.41</c:v>
                </c:pt>
                <c:pt idx="110">
                  <c:v>154.41</c:v>
                </c:pt>
                <c:pt idx="111">
                  <c:v>154.41</c:v>
                </c:pt>
                <c:pt idx="112">
                  <c:v>154.41</c:v>
                </c:pt>
                <c:pt idx="113">
                  <c:v>154.41</c:v>
                </c:pt>
                <c:pt idx="114">
                  <c:v>154.41</c:v>
                </c:pt>
                <c:pt idx="115">
                  <c:v>154.41</c:v>
                </c:pt>
                <c:pt idx="116">
                  <c:v>154.41</c:v>
                </c:pt>
                <c:pt idx="117">
                  <c:v>154.41</c:v>
                </c:pt>
                <c:pt idx="118">
                  <c:v>154.41</c:v>
                </c:pt>
                <c:pt idx="119">
                  <c:v>154.41</c:v>
                </c:pt>
                <c:pt idx="120">
                  <c:v>154.41</c:v>
                </c:pt>
                <c:pt idx="121">
                  <c:v>154.41</c:v>
                </c:pt>
                <c:pt idx="122">
                  <c:v>154.41</c:v>
                </c:pt>
                <c:pt idx="123">
                  <c:v>154.41</c:v>
                </c:pt>
                <c:pt idx="124">
                  <c:v>154.41</c:v>
                </c:pt>
                <c:pt idx="125">
                  <c:v>154.41</c:v>
                </c:pt>
                <c:pt idx="126">
                  <c:v>154.41</c:v>
                </c:pt>
                <c:pt idx="127">
                  <c:v>154.41</c:v>
                </c:pt>
                <c:pt idx="128">
                  <c:v>154.41</c:v>
                </c:pt>
                <c:pt idx="129">
                  <c:v>154.41</c:v>
                </c:pt>
                <c:pt idx="130">
                  <c:v>154.41</c:v>
                </c:pt>
                <c:pt idx="131">
                  <c:v>154.41</c:v>
                </c:pt>
                <c:pt idx="132">
                  <c:v>154.41</c:v>
                </c:pt>
                <c:pt idx="133">
                  <c:v>154.41</c:v>
                </c:pt>
                <c:pt idx="134">
                  <c:v>154.41</c:v>
                </c:pt>
                <c:pt idx="135">
                  <c:v>154.41</c:v>
                </c:pt>
                <c:pt idx="136">
                  <c:v>154.41</c:v>
                </c:pt>
                <c:pt idx="137">
                  <c:v>154.41</c:v>
                </c:pt>
                <c:pt idx="138">
                  <c:v>154.41</c:v>
                </c:pt>
                <c:pt idx="139">
                  <c:v>154.41</c:v>
                </c:pt>
                <c:pt idx="140">
                  <c:v>154.41</c:v>
                </c:pt>
                <c:pt idx="141">
                  <c:v>154.41</c:v>
                </c:pt>
                <c:pt idx="142">
                  <c:v>154.41</c:v>
                </c:pt>
                <c:pt idx="143">
                  <c:v>154.41</c:v>
                </c:pt>
                <c:pt idx="144">
                  <c:v>154.41</c:v>
                </c:pt>
                <c:pt idx="145">
                  <c:v>154.41</c:v>
                </c:pt>
                <c:pt idx="146">
                  <c:v>154.41</c:v>
                </c:pt>
                <c:pt idx="147">
                  <c:v>154.41</c:v>
                </c:pt>
                <c:pt idx="148">
                  <c:v>154.41</c:v>
                </c:pt>
                <c:pt idx="149">
                  <c:v>154.41</c:v>
                </c:pt>
                <c:pt idx="150">
                  <c:v>154.41</c:v>
                </c:pt>
                <c:pt idx="151">
                  <c:v>154.41</c:v>
                </c:pt>
                <c:pt idx="152">
                  <c:v>154.41</c:v>
                </c:pt>
                <c:pt idx="153">
                  <c:v>154.41</c:v>
                </c:pt>
                <c:pt idx="154">
                  <c:v>154.41</c:v>
                </c:pt>
                <c:pt idx="155">
                  <c:v>154.41</c:v>
                </c:pt>
                <c:pt idx="156">
                  <c:v>154.41</c:v>
                </c:pt>
                <c:pt idx="157">
                  <c:v>154.41</c:v>
                </c:pt>
                <c:pt idx="158">
                  <c:v>154.41</c:v>
                </c:pt>
                <c:pt idx="159">
                  <c:v>154.41</c:v>
                </c:pt>
                <c:pt idx="160">
                  <c:v>154.41</c:v>
                </c:pt>
                <c:pt idx="161">
                  <c:v>154.41</c:v>
                </c:pt>
                <c:pt idx="162">
                  <c:v>154.41</c:v>
                </c:pt>
                <c:pt idx="163">
                  <c:v>154.41</c:v>
                </c:pt>
                <c:pt idx="164">
                  <c:v>154.41</c:v>
                </c:pt>
                <c:pt idx="165">
                  <c:v>154.41</c:v>
                </c:pt>
                <c:pt idx="166">
                  <c:v>154.41</c:v>
                </c:pt>
                <c:pt idx="167">
                  <c:v>154.41</c:v>
                </c:pt>
                <c:pt idx="168">
                  <c:v>154.41</c:v>
                </c:pt>
                <c:pt idx="169">
                  <c:v>154.41</c:v>
                </c:pt>
                <c:pt idx="170">
                  <c:v>154.41</c:v>
                </c:pt>
                <c:pt idx="171">
                  <c:v>154.41</c:v>
                </c:pt>
                <c:pt idx="172">
                  <c:v>154.41</c:v>
                </c:pt>
                <c:pt idx="173">
                  <c:v>154.41</c:v>
                </c:pt>
                <c:pt idx="174">
                  <c:v>154.41</c:v>
                </c:pt>
                <c:pt idx="175">
                  <c:v>154.41</c:v>
                </c:pt>
                <c:pt idx="176">
                  <c:v>154.41</c:v>
                </c:pt>
                <c:pt idx="177">
                  <c:v>154.41</c:v>
                </c:pt>
                <c:pt idx="178">
                  <c:v>154.41</c:v>
                </c:pt>
                <c:pt idx="179">
                  <c:v>154.41</c:v>
                </c:pt>
                <c:pt idx="180">
                  <c:v>154.41</c:v>
                </c:pt>
                <c:pt idx="181">
                  <c:v>154.41</c:v>
                </c:pt>
                <c:pt idx="182">
                  <c:v>154.41</c:v>
                </c:pt>
                <c:pt idx="183">
                  <c:v>154.41</c:v>
                </c:pt>
                <c:pt idx="184">
                  <c:v>145</c:v>
                </c:pt>
                <c:pt idx="185">
                  <c:v>145</c:v>
                </c:pt>
                <c:pt idx="186">
                  <c:v>145</c:v>
                </c:pt>
                <c:pt idx="187">
                  <c:v>145</c:v>
                </c:pt>
                <c:pt idx="188">
                  <c:v>145</c:v>
                </c:pt>
                <c:pt idx="189">
                  <c:v>145</c:v>
                </c:pt>
                <c:pt idx="190">
                  <c:v>145</c:v>
                </c:pt>
                <c:pt idx="191">
                  <c:v>145</c:v>
                </c:pt>
                <c:pt idx="192">
                  <c:v>145</c:v>
                </c:pt>
                <c:pt idx="193">
                  <c:v>145</c:v>
                </c:pt>
                <c:pt idx="194">
                  <c:v>145</c:v>
                </c:pt>
                <c:pt idx="195">
                  <c:v>145</c:v>
                </c:pt>
                <c:pt idx="196">
                  <c:v>145</c:v>
                </c:pt>
                <c:pt idx="197">
                  <c:v>145</c:v>
                </c:pt>
                <c:pt idx="198">
                  <c:v>145</c:v>
                </c:pt>
                <c:pt idx="199">
                  <c:v>145</c:v>
                </c:pt>
                <c:pt idx="200">
                  <c:v>145</c:v>
                </c:pt>
                <c:pt idx="201">
                  <c:v>145</c:v>
                </c:pt>
                <c:pt idx="202">
                  <c:v>145</c:v>
                </c:pt>
                <c:pt idx="203">
                  <c:v>145</c:v>
                </c:pt>
                <c:pt idx="204">
                  <c:v>145</c:v>
                </c:pt>
                <c:pt idx="205">
                  <c:v>145</c:v>
                </c:pt>
                <c:pt idx="206">
                  <c:v>145</c:v>
                </c:pt>
                <c:pt idx="207">
                  <c:v>145</c:v>
                </c:pt>
                <c:pt idx="208">
                  <c:v>145</c:v>
                </c:pt>
                <c:pt idx="209">
                  <c:v>145</c:v>
                </c:pt>
                <c:pt idx="210">
                  <c:v>145</c:v>
                </c:pt>
                <c:pt idx="211">
                  <c:v>145</c:v>
                </c:pt>
                <c:pt idx="212">
                  <c:v>145</c:v>
                </c:pt>
                <c:pt idx="213">
                  <c:v>145</c:v>
                </c:pt>
                <c:pt idx="214">
                  <c:v>145</c:v>
                </c:pt>
                <c:pt idx="215">
                  <c:v>145</c:v>
                </c:pt>
                <c:pt idx="216">
                  <c:v>145</c:v>
                </c:pt>
                <c:pt idx="217">
                  <c:v>145</c:v>
                </c:pt>
                <c:pt idx="218">
                  <c:v>145</c:v>
                </c:pt>
                <c:pt idx="219">
                  <c:v>145</c:v>
                </c:pt>
                <c:pt idx="220">
                  <c:v>145</c:v>
                </c:pt>
                <c:pt idx="221">
                  <c:v>145</c:v>
                </c:pt>
                <c:pt idx="222">
                  <c:v>145</c:v>
                </c:pt>
                <c:pt idx="223">
                  <c:v>145</c:v>
                </c:pt>
                <c:pt idx="224">
                  <c:v>145</c:v>
                </c:pt>
                <c:pt idx="225">
                  <c:v>145</c:v>
                </c:pt>
                <c:pt idx="226">
                  <c:v>145</c:v>
                </c:pt>
                <c:pt idx="227">
                  <c:v>145</c:v>
                </c:pt>
                <c:pt idx="228">
                  <c:v>145</c:v>
                </c:pt>
                <c:pt idx="229">
                  <c:v>145</c:v>
                </c:pt>
                <c:pt idx="230">
                  <c:v>145</c:v>
                </c:pt>
                <c:pt idx="231">
                  <c:v>145</c:v>
                </c:pt>
                <c:pt idx="232">
                  <c:v>145</c:v>
                </c:pt>
                <c:pt idx="233">
                  <c:v>145</c:v>
                </c:pt>
                <c:pt idx="234">
                  <c:v>145</c:v>
                </c:pt>
                <c:pt idx="235">
                  <c:v>145</c:v>
                </c:pt>
                <c:pt idx="236">
                  <c:v>145</c:v>
                </c:pt>
                <c:pt idx="237">
                  <c:v>145</c:v>
                </c:pt>
                <c:pt idx="238">
                  <c:v>145</c:v>
                </c:pt>
                <c:pt idx="239">
                  <c:v>145</c:v>
                </c:pt>
                <c:pt idx="240">
                  <c:v>145</c:v>
                </c:pt>
                <c:pt idx="241">
                  <c:v>145</c:v>
                </c:pt>
                <c:pt idx="242">
                  <c:v>145</c:v>
                </c:pt>
                <c:pt idx="243">
                  <c:v>145</c:v>
                </c:pt>
                <c:pt idx="244">
                  <c:v>145</c:v>
                </c:pt>
                <c:pt idx="245">
                  <c:v>145</c:v>
                </c:pt>
                <c:pt idx="246">
                  <c:v>145</c:v>
                </c:pt>
                <c:pt idx="247">
                  <c:v>145</c:v>
                </c:pt>
                <c:pt idx="248">
                  <c:v>145</c:v>
                </c:pt>
                <c:pt idx="249">
                  <c:v>145</c:v>
                </c:pt>
                <c:pt idx="250">
                  <c:v>145</c:v>
                </c:pt>
                <c:pt idx="251">
                  <c:v>145</c:v>
                </c:pt>
                <c:pt idx="252">
                  <c:v>145</c:v>
                </c:pt>
                <c:pt idx="253">
                  <c:v>145</c:v>
                </c:pt>
                <c:pt idx="254">
                  <c:v>145</c:v>
                </c:pt>
                <c:pt idx="255">
                  <c:v>145</c:v>
                </c:pt>
                <c:pt idx="256">
                  <c:v>145</c:v>
                </c:pt>
                <c:pt idx="257">
                  <c:v>145</c:v>
                </c:pt>
                <c:pt idx="258">
                  <c:v>145</c:v>
                </c:pt>
                <c:pt idx="259">
                  <c:v>145</c:v>
                </c:pt>
                <c:pt idx="260">
                  <c:v>145</c:v>
                </c:pt>
                <c:pt idx="261">
                  <c:v>145</c:v>
                </c:pt>
                <c:pt idx="262">
                  <c:v>145</c:v>
                </c:pt>
                <c:pt idx="263">
                  <c:v>145</c:v>
                </c:pt>
                <c:pt idx="264">
                  <c:v>145</c:v>
                </c:pt>
                <c:pt idx="265">
                  <c:v>145</c:v>
                </c:pt>
                <c:pt idx="266">
                  <c:v>145</c:v>
                </c:pt>
                <c:pt idx="267">
                  <c:v>145</c:v>
                </c:pt>
                <c:pt idx="268">
                  <c:v>145</c:v>
                </c:pt>
                <c:pt idx="269">
                  <c:v>145</c:v>
                </c:pt>
                <c:pt idx="270">
                  <c:v>145</c:v>
                </c:pt>
                <c:pt idx="271">
                  <c:v>145</c:v>
                </c:pt>
                <c:pt idx="272">
                  <c:v>145</c:v>
                </c:pt>
                <c:pt idx="273">
                  <c:v>145</c:v>
                </c:pt>
                <c:pt idx="274">
                  <c:v>145</c:v>
                </c:pt>
                <c:pt idx="275">
                  <c:v>145</c:v>
                </c:pt>
                <c:pt idx="276">
                  <c:v>145</c:v>
                </c:pt>
                <c:pt idx="277">
                  <c:v>145</c:v>
                </c:pt>
                <c:pt idx="278">
                  <c:v>145</c:v>
                </c:pt>
                <c:pt idx="279">
                  <c:v>145</c:v>
                </c:pt>
                <c:pt idx="280">
                  <c:v>145</c:v>
                </c:pt>
                <c:pt idx="281">
                  <c:v>145</c:v>
                </c:pt>
                <c:pt idx="282">
                  <c:v>145</c:v>
                </c:pt>
                <c:pt idx="283">
                  <c:v>145</c:v>
                </c:pt>
                <c:pt idx="284">
                  <c:v>145</c:v>
                </c:pt>
                <c:pt idx="285">
                  <c:v>145</c:v>
                </c:pt>
                <c:pt idx="286">
                  <c:v>145</c:v>
                </c:pt>
                <c:pt idx="287">
                  <c:v>145</c:v>
                </c:pt>
                <c:pt idx="288">
                  <c:v>145</c:v>
                </c:pt>
                <c:pt idx="289">
                  <c:v>145</c:v>
                </c:pt>
                <c:pt idx="290">
                  <c:v>145</c:v>
                </c:pt>
                <c:pt idx="291">
                  <c:v>145</c:v>
                </c:pt>
                <c:pt idx="292">
                  <c:v>145</c:v>
                </c:pt>
                <c:pt idx="293">
                  <c:v>145</c:v>
                </c:pt>
                <c:pt idx="294">
                  <c:v>145</c:v>
                </c:pt>
                <c:pt idx="295">
                  <c:v>145</c:v>
                </c:pt>
                <c:pt idx="296">
                  <c:v>145</c:v>
                </c:pt>
                <c:pt idx="297">
                  <c:v>145</c:v>
                </c:pt>
                <c:pt idx="298">
                  <c:v>145</c:v>
                </c:pt>
                <c:pt idx="299">
                  <c:v>145</c:v>
                </c:pt>
                <c:pt idx="300">
                  <c:v>145</c:v>
                </c:pt>
                <c:pt idx="301">
                  <c:v>145</c:v>
                </c:pt>
                <c:pt idx="302">
                  <c:v>145</c:v>
                </c:pt>
                <c:pt idx="303">
                  <c:v>145</c:v>
                </c:pt>
                <c:pt idx="304">
                  <c:v>145</c:v>
                </c:pt>
                <c:pt idx="305">
                  <c:v>145</c:v>
                </c:pt>
                <c:pt idx="306">
                  <c:v>145</c:v>
                </c:pt>
                <c:pt idx="307">
                  <c:v>145</c:v>
                </c:pt>
                <c:pt idx="308">
                  <c:v>145</c:v>
                </c:pt>
                <c:pt idx="309">
                  <c:v>145</c:v>
                </c:pt>
                <c:pt idx="310">
                  <c:v>145</c:v>
                </c:pt>
                <c:pt idx="311">
                  <c:v>145</c:v>
                </c:pt>
                <c:pt idx="312">
                  <c:v>145</c:v>
                </c:pt>
                <c:pt idx="313">
                  <c:v>145</c:v>
                </c:pt>
                <c:pt idx="314">
                  <c:v>145</c:v>
                </c:pt>
                <c:pt idx="315">
                  <c:v>145</c:v>
                </c:pt>
                <c:pt idx="316">
                  <c:v>145</c:v>
                </c:pt>
                <c:pt idx="317">
                  <c:v>145</c:v>
                </c:pt>
                <c:pt idx="318">
                  <c:v>145</c:v>
                </c:pt>
                <c:pt idx="319">
                  <c:v>145</c:v>
                </c:pt>
                <c:pt idx="320">
                  <c:v>145</c:v>
                </c:pt>
                <c:pt idx="321">
                  <c:v>145</c:v>
                </c:pt>
                <c:pt idx="322">
                  <c:v>145</c:v>
                </c:pt>
                <c:pt idx="323">
                  <c:v>145</c:v>
                </c:pt>
                <c:pt idx="324">
                  <c:v>145</c:v>
                </c:pt>
                <c:pt idx="325">
                  <c:v>145</c:v>
                </c:pt>
                <c:pt idx="326">
                  <c:v>145</c:v>
                </c:pt>
                <c:pt idx="327">
                  <c:v>145</c:v>
                </c:pt>
                <c:pt idx="328">
                  <c:v>145</c:v>
                </c:pt>
                <c:pt idx="329">
                  <c:v>145</c:v>
                </c:pt>
                <c:pt idx="330">
                  <c:v>145</c:v>
                </c:pt>
                <c:pt idx="331">
                  <c:v>145</c:v>
                </c:pt>
                <c:pt idx="332">
                  <c:v>145</c:v>
                </c:pt>
                <c:pt idx="333">
                  <c:v>145</c:v>
                </c:pt>
                <c:pt idx="334">
                  <c:v>145</c:v>
                </c:pt>
                <c:pt idx="335">
                  <c:v>145</c:v>
                </c:pt>
                <c:pt idx="336">
                  <c:v>145</c:v>
                </c:pt>
                <c:pt idx="337">
                  <c:v>145</c:v>
                </c:pt>
                <c:pt idx="338">
                  <c:v>145</c:v>
                </c:pt>
                <c:pt idx="339">
                  <c:v>145</c:v>
                </c:pt>
                <c:pt idx="340">
                  <c:v>145</c:v>
                </c:pt>
                <c:pt idx="341">
                  <c:v>145</c:v>
                </c:pt>
                <c:pt idx="342">
                  <c:v>145</c:v>
                </c:pt>
                <c:pt idx="343">
                  <c:v>145</c:v>
                </c:pt>
                <c:pt idx="344">
                  <c:v>145</c:v>
                </c:pt>
                <c:pt idx="345">
                  <c:v>145</c:v>
                </c:pt>
                <c:pt idx="346">
                  <c:v>145</c:v>
                </c:pt>
                <c:pt idx="347">
                  <c:v>145</c:v>
                </c:pt>
                <c:pt idx="348">
                  <c:v>145</c:v>
                </c:pt>
                <c:pt idx="349">
                  <c:v>145</c:v>
                </c:pt>
                <c:pt idx="350">
                  <c:v>145</c:v>
                </c:pt>
                <c:pt idx="351">
                  <c:v>145</c:v>
                </c:pt>
                <c:pt idx="352">
                  <c:v>145</c:v>
                </c:pt>
                <c:pt idx="353">
                  <c:v>145</c:v>
                </c:pt>
                <c:pt idx="354">
                  <c:v>145</c:v>
                </c:pt>
                <c:pt idx="355">
                  <c:v>145</c:v>
                </c:pt>
                <c:pt idx="356">
                  <c:v>145</c:v>
                </c:pt>
                <c:pt idx="357">
                  <c:v>145</c:v>
                </c:pt>
                <c:pt idx="358">
                  <c:v>145</c:v>
                </c:pt>
                <c:pt idx="359">
                  <c:v>145</c:v>
                </c:pt>
                <c:pt idx="360">
                  <c:v>145</c:v>
                </c:pt>
                <c:pt idx="361">
                  <c:v>145</c:v>
                </c:pt>
                <c:pt idx="362">
                  <c:v>145</c:v>
                </c:pt>
                <c:pt idx="363">
                  <c:v>145</c:v>
                </c:pt>
                <c:pt idx="364">
                  <c:v>145</c:v>
                </c:pt>
              </c:numCache>
            </c:numRef>
          </c:val>
          <c:extLst>
            <c:ext xmlns:c16="http://schemas.microsoft.com/office/drawing/2014/chart" uri="{C3380CC4-5D6E-409C-BE32-E72D297353CC}">
              <c16:uniqueId val="{00000000-4DCD-41BE-9E09-B9ED9D62730A}"/>
            </c:ext>
          </c:extLst>
        </c:ser>
        <c:ser>
          <c:idx val="1"/>
          <c:order val="2"/>
          <c:tx>
            <c:strRef>
              <c:f>'5. Historical demand'!$D$40:$D$41</c:f>
              <c:strCache>
                <c:ptCount val="2"/>
                <c:pt idx="0">
                  <c:v>Contracted firm capacity-storage</c:v>
                </c:pt>
                <c:pt idx="1">
                  <c:v>TJ/day</c:v>
                </c:pt>
              </c:strCache>
            </c:strRef>
          </c:tx>
          <c:spPr>
            <a:solidFill>
              <a:srgbClr val="FFECC9"/>
            </a:solidFill>
            <a:ln w="28575" cap="rnd">
              <a:solidFill>
                <a:srgbClr val="FFECC9"/>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demand'!$D$43:$D$408</c:f>
              <c:numCache>
                <c:formatCode>_(* #,##0_);_(* \(#,##0\);_(* "-"_);_(@_)</c:formatCode>
                <c:ptCount val="366"/>
              </c:numCache>
            </c:numRef>
          </c:val>
          <c:extLst>
            <c:ext xmlns:c16="http://schemas.microsoft.com/office/drawing/2014/chart" uri="{C3380CC4-5D6E-409C-BE32-E72D297353CC}">
              <c16:uniqueId val="{00000001-4DCD-41BE-9E09-B9ED9D62730A}"/>
            </c:ext>
          </c:extLst>
        </c:ser>
        <c:dLbls>
          <c:showLegendKey val="0"/>
          <c:showVal val="0"/>
          <c:showCatName val="0"/>
          <c:showSerName val="0"/>
          <c:showPercent val="0"/>
          <c:showBubbleSize val="0"/>
        </c:dLbls>
        <c:gapWidth val="150"/>
        <c:overlap val="100"/>
        <c:axId val="1410714144"/>
        <c:axId val="1"/>
      </c:barChart>
      <c:lineChart>
        <c:grouping val="standard"/>
        <c:varyColors val="0"/>
        <c:ser>
          <c:idx val="2"/>
          <c:order val="1"/>
          <c:tx>
            <c:strRef>
              <c:f>'5. Historical demand'!$E$40:$E$41</c:f>
              <c:strCache>
                <c:ptCount val="2"/>
                <c:pt idx="0">
                  <c:v>Utilised capacity</c:v>
                </c:pt>
                <c:pt idx="1">
                  <c:v>TJ/day</c:v>
                </c:pt>
              </c:strCache>
            </c:strRef>
          </c:tx>
          <c:spPr>
            <a:ln>
              <a:solidFill>
                <a:srgbClr val="2B7AAF"/>
              </a:solidFill>
            </a:ln>
          </c:spPr>
          <c:marker>
            <c:symbol val="none"/>
          </c:marker>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demand'!$E$43:$E$408</c:f>
              <c:numCache>
                <c:formatCode>_(* #,##0_);_(* \(#,##0\);_(* "-"_);_(@_)</c:formatCode>
                <c:ptCount val="366"/>
                <c:pt idx="0">
                  <c:v>55.63</c:v>
                </c:pt>
                <c:pt idx="1">
                  <c:v>57.230000000000004</c:v>
                </c:pt>
                <c:pt idx="2">
                  <c:v>54.939</c:v>
                </c:pt>
                <c:pt idx="3">
                  <c:v>51.091999999999999</c:v>
                </c:pt>
                <c:pt idx="4">
                  <c:v>53.337000000000003</c:v>
                </c:pt>
                <c:pt idx="5">
                  <c:v>51.966000000000001</c:v>
                </c:pt>
                <c:pt idx="6">
                  <c:v>50.904000000000003</c:v>
                </c:pt>
                <c:pt idx="7">
                  <c:v>58.762</c:v>
                </c:pt>
                <c:pt idx="8">
                  <c:v>57.271000000000001</c:v>
                </c:pt>
                <c:pt idx="9">
                  <c:v>54.713000000000001</c:v>
                </c:pt>
                <c:pt idx="10">
                  <c:v>53.808999999999997</c:v>
                </c:pt>
                <c:pt idx="11">
                  <c:v>47.784999999999997</c:v>
                </c:pt>
                <c:pt idx="12">
                  <c:v>46.278999999999996</c:v>
                </c:pt>
                <c:pt idx="13">
                  <c:v>45.56</c:v>
                </c:pt>
                <c:pt idx="14">
                  <c:v>50.064000000000007</c:v>
                </c:pt>
                <c:pt idx="15">
                  <c:v>49.865000000000002</c:v>
                </c:pt>
                <c:pt idx="16">
                  <c:v>46.540999999999997</c:v>
                </c:pt>
                <c:pt idx="17">
                  <c:v>44.536000000000001</c:v>
                </c:pt>
                <c:pt idx="18">
                  <c:v>50.302999999999997</c:v>
                </c:pt>
                <c:pt idx="19">
                  <c:v>45.132000000000005</c:v>
                </c:pt>
                <c:pt idx="20">
                  <c:v>42.780999999999999</c:v>
                </c:pt>
                <c:pt idx="21">
                  <c:v>41.957999999999998</c:v>
                </c:pt>
                <c:pt idx="22">
                  <c:v>44.283999999999999</c:v>
                </c:pt>
                <c:pt idx="23">
                  <c:v>49.405000000000001</c:v>
                </c:pt>
                <c:pt idx="24">
                  <c:v>52.854999999999997</c:v>
                </c:pt>
                <c:pt idx="25">
                  <c:v>53.233999999999995</c:v>
                </c:pt>
                <c:pt idx="26">
                  <c:v>52.887</c:v>
                </c:pt>
                <c:pt idx="27">
                  <c:v>52.478000000000002</c:v>
                </c:pt>
                <c:pt idx="28">
                  <c:v>38.710999999999999</c:v>
                </c:pt>
                <c:pt idx="29">
                  <c:v>41.622</c:v>
                </c:pt>
                <c:pt idx="30">
                  <c:v>35.713999999999999</c:v>
                </c:pt>
                <c:pt idx="31">
                  <c:v>39.823999999999998</c:v>
                </c:pt>
                <c:pt idx="32">
                  <c:v>39.414999999999999</c:v>
                </c:pt>
                <c:pt idx="33">
                  <c:v>40.947000000000003</c:v>
                </c:pt>
                <c:pt idx="34">
                  <c:v>41.287000000000006</c:v>
                </c:pt>
                <c:pt idx="35">
                  <c:v>42.349000000000004</c:v>
                </c:pt>
                <c:pt idx="36">
                  <c:v>43.945999999999998</c:v>
                </c:pt>
                <c:pt idx="37">
                  <c:v>54.478000000000002</c:v>
                </c:pt>
                <c:pt idx="38">
                  <c:v>54.512</c:v>
                </c:pt>
                <c:pt idx="39">
                  <c:v>51.266000000000005</c:v>
                </c:pt>
                <c:pt idx="40">
                  <c:v>63.055999999999997</c:v>
                </c:pt>
                <c:pt idx="41">
                  <c:v>63.676000000000002</c:v>
                </c:pt>
                <c:pt idx="42">
                  <c:v>63.302</c:v>
                </c:pt>
                <c:pt idx="43">
                  <c:v>72.680000000000007</c:v>
                </c:pt>
                <c:pt idx="44">
                  <c:v>51.120999999999995</c:v>
                </c:pt>
                <c:pt idx="45">
                  <c:v>44.96</c:v>
                </c:pt>
                <c:pt idx="46">
                  <c:v>46.298000000000002</c:v>
                </c:pt>
                <c:pt idx="47">
                  <c:v>41.028000000000006</c:v>
                </c:pt>
                <c:pt idx="48">
                  <c:v>41.563000000000002</c:v>
                </c:pt>
                <c:pt idx="49">
                  <c:v>45.471999999999994</c:v>
                </c:pt>
                <c:pt idx="50">
                  <c:v>45.89</c:v>
                </c:pt>
                <c:pt idx="51">
                  <c:v>48.97</c:v>
                </c:pt>
                <c:pt idx="52">
                  <c:v>51.138999999999996</c:v>
                </c:pt>
                <c:pt idx="53">
                  <c:v>46.253</c:v>
                </c:pt>
                <c:pt idx="54">
                  <c:v>45.145000000000003</c:v>
                </c:pt>
                <c:pt idx="55">
                  <c:v>48.192</c:v>
                </c:pt>
                <c:pt idx="56">
                  <c:v>49.073999999999998</c:v>
                </c:pt>
                <c:pt idx="57">
                  <c:v>48.373000000000005</c:v>
                </c:pt>
                <c:pt idx="58">
                  <c:v>49.521000000000001</c:v>
                </c:pt>
                <c:pt idx="59">
                  <c:v>52.174999999999997</c:v>
                </c:pt>
                <c:pt idx="60">
                  <c:v>51.994</c:v>
                </c:pt>
                <c:pt idx="61">
                  <c:v>49.343999999999994</c:v>
                </c:pt>
                <c:pt idx="62">
                  <c:v>49.499000000000002</c:v>
                </c:pt>
                <c:pt idx="63">
                  <c:v>50.308</c:v>
                </c:pt>
                <c:pt idx="64">
                  <c:v>49.186</c:v>
                </c:pt>
                <c:pt idx="65">
                  <c:v>49.930999999999997</c:v>
                </c:pt>
                <c:pt idx="66">
                  <c:v>49.762</c:v>
                </c:pt>
                <c:pt idx="67">
                  <c:v>53.392000000000003</c:v>
                </c:pt>
                <c:pt idx="68">
                  <c:v>57.207999999999998</c:v>
                </c:pt>
                <c:pt idx="69">
                  <c:v>58.204999999999998</c:v>
                </c:pt>
                <c:pt idx="70">
                  <c:v>57.988</c:v>
                </c:pt>
                <c:pt idx="71">
                  <c:v>52.844000000000001</c:v>
                </c:pt>
                <c:pt idx="72">
                  <c:v>52.278999999999996</c:v>
                </c:pt>
                <c:pt idx="73">
                  <c:v>50.330999999999996</c:v>
                </c:pt>
                <c:pt idx="74">
                  <c:v>52.968999999999994</c:v>
                </c:pt>
                <c:pt idx="75">
                  <c:v>53.454999999999998</c:v>
                </c:pt>
                <c:pt idx="76">
                  <c:v>54.603000000000002</c:v>
                </c:pt>
                <c:pt idx="77">
                  <c:v>56.494</c:v>
                </c:pt>
                <c:pt idx="78">
                  <c:v>52.494</c:v>
                </c:pt>
                <c:pt idx="79">
                  <c:v>55.600999999999999</c:v>
                </c:pt>
                <c:pt idx="80">
                  <c:v>56.390999999999998</c:v>
                </c:pt>
                <c:pt idx="81">
                  <c:v>54.336000000000006</c:v>
                </c:pt>
                <c:pt idx="82">
                  <c:v>53.420999999999999</c:v>
                </c:pt>
                <c:pt idx="83">
                  <c:v>55.227000000000004</c:v>
                </c:pt>
                <c:pt idx="84">
                  <c:v>55.688000000000002</c:v>
                </c:pt>
                <c:pt idx="85">
                  <c:v>54.036000000000001</c:v>
                </c:pt>
                <c:pt idx="86">
                  <c:v>56.186000000000007</c:v>
                </c:pt>
                <c:pt idx="87">
                  <c:v>56.204999999999998</c:v>
                </c:pt>
                <c:pt idx="88">
                  <c:v>56.394000000000005</c:v>
                </c:pt>
                <c:pt idx="89">
                  <c:v>56.434000000000005</c:v>
                </c:pt>
                <c:pt idx="90">
                  <c:v>55.649000000000001</c:v>
                </c:pt>
                <c:pt idx="91">
                  <c:v>57.319000000000003</c:v>
                </c:pt>
                <c:pt idx="92">
                  <c:v>56.367999999999995</c:v>
                </c:pt>
                <c:pt idx="93">
                  <c:v>54.442</c:v>
                </c:pt>
                <c:pt idx="94">
                  <c:v>55.274000000000001</c:v>
                </c:pt>
                <c:pt idx="95">
                  <c:v>56.728000000000002</c:v>
                </c:pt>
                <c:pt idx="96">
                  <c:v>50.137</c:v>
                </c:pt>
                <c:pt idx="97">
                  <c:v>50.006</c:v>
                </c:pt>
                <c:pt idx="98">
                  <c:v>54.524999999999999</c:v>
                </c:pt>
                <c:pt idx="99">
                  <c:v>53.227000000000004</c:v>
                </c:pt>
                <c:pt idx="100">
                  <c:v>52.537000000000006</c:v>
                </c:pt>
                <c:pt idx="101">
                  <c:v>53.569000000000003</c:v>
                </c:pt>
                <c:pt idx="102">
                  <c:v>58.069000000000003</c:v>
                </c:pt>
                <c:pt idx="103">
                  <c:v>51.413000000000004</c:v>
                </c:pt>
                <c:pt idx="104">
                  <c:v>51.844000000000001</c:v>
                </c:pt>
                <c:pt idx="105">
                  <c:v>53.805999999999997</c:v>
                </c:pt>
                <c:pt idx="106">
                  <c:v>54.947999999999993</c:v>
                </c:pt>
                <c:pt idx="107">
                  <c:v>53.369</c:v>
                </c:pt>
                <c:pt idx="108">
                  <c:v>60.574000000000005</c:v>
                </c:pt>
                <c:pt idx="109">
                  <c:v>61.064999999999998</c:v>
                </c:pt>
                <c:pt idx="110">
                  <c:v>56.879000000000005</c:v>
                </c:pt>
                <c:pt idx="111">
                  <c:v>58.88</c:v>
                </c:pt>
                <c:pt idx="112">
                  <c:v>58.064999999999998</c:v>
                </c:pt>
                <c:pt idx="113">
                  <c:v>60.673000000000002</c:v>
                </c:pt>
                <c:pt idx="114">
                  <c:v>55.569000000000003</c:v>
                </c:pt>
                <c:pt idx="115">
                  <c:v>54.042000000000002</c:v>
                </c:pt>
                <c:pt idx="116">
                  <c:v>50.881</c:v>
                </c:pt>
                <c:pt idx="117">
                  <c:v>49.375</c:v>
                </c:pt>
                <c:pt idx="118">
                  <c:v>49.126000000000005</c:v>
                </c:pt>
                <c:pt idx="119">
                  <c:v>51.122</c:v>
                </c:pt>
                <c:pt idx="120">
                  <c:v>49.873000000000005</c:v>
                </c:pt>
                <c:pt idx="121">
                  <c:v>50.016999999999996</c:v>
                </c:pt>
                <c:pt idx="122">
                  <c:v>40.557000000000002</c:v>
                </c:pt>
                <c:pt idx="123">
                  <c:v>41.567999999999998</c:v>
                </c:pt>
                <c:pt idx="124">
                  <c:v>47.448</c:v>
                </c:pt>
                <c:pt idx="125">
                  <c:v>46.174999999999997</c:v>
                </c:pt>
                <c:pt idx="126">
                  <c:v>51.695999999999998</c:v>
                </c:pt>
                <c:pt idx="127">
                  <c:v>48.965999999999994</c:v>
                </c:pt>
                <c:pt idx="128">
                  <c:v>49.256</c:v>
                </c:pt>
                <c:pt idx="129">
                  <c:v>51.522000000000006</c:v>
                </c:pt>
                <c:pt idx="130">
                  <c:v>59.091999999999999</c:v>
                </c:pt>
                <c:pt idx="131">
                  <c:v>55.546000000000006</c:v>
                </c:pt>
                <c:pt idx="132">
                  <c:v>52.92</c:v>
                </c:pt>
                <c:pt idx="133">
                  <c:v>51.878999999999998</c:v>
                </c:pt>
                <c:pt idx="134">
                  <c:v>58.274999999999999</c:v>
                </c:pt>
                <c:pt idx="135">
                  <c:v>62.61</c:v>
                </c:pt>
                <c:pt idx="136">
                  <c:v>61.349000000000004</c:v>
                </c:pt>
                <c:pt idx="137">
                  <c:v>59.353999999999999</c:v>
                </c:pt>
                <c:pt idx="138">
                  <c:v>58.783999999999999</c:v>
                </c:pt>
                <c:pt idx="139">
                  <c:v>63.331000000000003</c:v>
                </c:pt>
                <c:pt idx="140">
                  <c:v>66.763000000000005</c:v>
                </c:pt>
                <c:pt idx="141">
                  <c:v>73.927000000000007</c:v>
                </c:pt>
                <c:pt idx="142">
                  <c:v>63.831000000000003</c:v>
                </c:pt>
                <c:pt idx="143">
                  <c:v>61.59</c:v>
                </c:pt>
                <c:pt idx="144">
                  <c:v>40.900999999999996</c:v>
                </c:pt>
                <c:pt idx="145">
                  <c:v>43.314999999999998</c:v>
                </c:pt>
                <c:pt idx="146">
                  <c:v>46.731999999999999</c:v>
                </c:pt>
                <c:pt idx="147">
                  <c:v>50.646000000000001</c:v>
                </c:pt>
                <c:pt idx="148">
                  <c:v>63.121000000000002</c:v>
                </c:pt>
                <c:pt idx="149">
                  <c:v>55.149000000000001</c:v>
                </c:pt>
                <c:pt idx="150">
                  <c:v>56.932000000000002</c:v>
                </c:pt>
                <c:pt idx="151">
                  <c:v>56.69</c:v>
                </c:pt>
                <c:pt idx="152">
                  <c:v>54.253999999999998</c:v>
                </c:pt>
                <c:pt idx="153">
                  <c:v>54.41</c:v>
                </c:pt>
                <c:pt idx="154">
                  <c:v>57.012</c:v>
                </c:pt>
                <c:pt idx="155">
                  <c:v>53.086999999999996</c:v>
                </c:pt>
                <c:pt idx="156">
                  <c:v>49.995000000000005</c:v>
                </c:pt>
                <c:pt idx="157">
                  <c:v>52.067999999999998</c:v>
                </c:pt>
                <c:pt idx="158">
                  <c:v>54.467999999999996</c:v>
                </c:pt>
                <c:pt idx="159">
                  <c:v>61.426000000000002</c:v>
                </c:pt>
                <c:pt idx="160">
                  <c:v>59.046999999999997</c:v>
                </c:pt>
                <c:pt idx="161">
                  <c:v>53.014000000000003</c:v>
                </c:pt>
                <c:pt idx="162">
                  <c:v>50.855999999999995</c:v>
                </c:pt>
                <c:pt idx="163">
                  <c:v>54.352999999999994</c:v>
                </c:pt>
                <c:pt idx="164">
                  <c:v>55.95</c:v>
                </c:pt>
                <c:pt idx="165">
                  <c:v>60.447000000000003</c:v>
                </c:pt>
                <c:pt idx="166">
                  <c:v>57.916000000000004</c:v>
                </c:pt>
                <c:pt idx="167">
                  <c:v>55.760999999999996</c:v>
                </c:pt>
                <c:pt idx="168">
                  <c:v>59.207000000000001</c:v>
                </c:pt>
                <c:pt idx="169">
                  <c:v>63.147999999999996</c:v>
                </c:pt>
                <c:pt idx="170">
                  <c:v>58.510999999999996</c:v>
                </c:pt>
                <c:pt idx="171">
                  <c:v>65.483999999999995</c:v>
                </c:pt>
                <c:pt idx="172">
                  <c:v>63.320999999999998</c:v>
                </c:pt>
                <c:pt idx="173">
                  <c:v>65.147000000000006</c:v>
                </c:pt>
                <c:pt idx="174">
                  <c:v>66.096999999999994</c:v>
                </c:pt>
                <c:pt idx="175">
                  <c:v>62.197999999999993</c:v>
                </c:pt>
                <c:pt idx="176">
                  <c:v>63.978999999999999</c:v>
                </c:pt>
                <c:pt idx="177">
                  <c:v>65.073999999999998</c:v>
                </c:pt>
                <c:pt idx="178">
                  <c:v>62.272000000000006</c:v>
                </c:pt>
                <c:pt idx="179">
                  <c:v>60.154000000000003</c:v>
                </c:pt>
                <c:pt idx="180">
                  <c:v>54.594000000000001</c:v>
                </c:pt>
                <c:pt idx="181">
                  <c:v>48.802999999999997</c:v>
                </c:pt>
                <c:pt idx="182">
                  <c:v>49.488</c:v>
                </c:pt>
                <c:pt idx="183">
                  <c:v>45.68</c:v>
                </c:pt>
                <c:pt idx="184">
                  <c:v>44.817</c:v>
                </c:pt>
                <c:pt idx="185">
                  <c:v>38.361000000000004</c:v>
                </c:pt>
                <c:pt idx="186">
                  <c:v>37.264000000000003</c:v>
                </c:pt>
                <c:pt idx="187">
                  <c:v>37.835999999999999</c:v>
                </c:pt>
                <c:pt idx="188">
                  <c:v>39.972999999999999</c:v>
                </c:pt>
                <c:pt idx="189">
                  <c:v>45.199999999999996</c:v>
                </c:pt>
                <c:pt idx="190">
                  <c:v>49.566999999999993</c:v>
                </c:pt>
                <c:pt idx="191">
                  <c:v>51.471000000000004</c:v>
                </c:pt>
                <c:pt idx="192">
                  <c:v>49.623999999999995</c:v>
                </c:pt>
                <c:pt idx="193">
                  <c:v>47.841000000000001</c:v>
                </c:pt>
                <c:pt idx="194">
                  <c:v>44.201000000000001</c:v>
                </c:pt>
                <c:pt idx="195">
                  <c:v>49.825000000000003</c:v>
                </c:pt>
                <c:pt idx="196">
                  <c:v>51.996000000000002</c:v>
                </c:pt>
                <c:pt idx="197">
                  <c:v>53.623999999999995</c:v>
                </c:pt>
                <c:pt idx="198">
                  <c:v>61.075000000000003</c:v>
                </c:pt>
                <c:pt idx="199">
                  <c:v>66.545000000000002</c:v>
                </c:pt>
                <c:pt idx="200">
                  <c:v>66.960999999999999</c:v>
                </c:pt>
                <c:pt idx="201">
                  <c:v>63.291000000000004</c:v>
                </c:pt>
                <c:pt idx="202">
                  <c:v>61.997999999999998</c:v>
                </c:pt>
                <c:pt idx="203">
                  <c:v>55.792000000000002</c:v>
                </c:pt>
                <c:pt idx="204">
                  <c:v>53.682999999999993</c:v>
                </c:pt>
                <c:pt idx="205">
                  <c:v>48.481000000000002</c:v>
                </c:pt>
                <c:pt idx="206">
                  <c:v>57.376999999999995</c:v>
                </c:pt>
                <c:pt idx="207">
                  <c:v>56.403000000000006</c:v>
                </c:pt>
                <c:pt idx="208">
                  <c:v>58.247</c:v>
                </c:pt>
                <c:pt idx="209">
                  <c:v>60.805999999999997</c:v>
                </c:pt>
                <c:pt idx="210">
                  <c:v>58.942</c:v>
                </c:pt>
                <c:pt idx="211">
                  <c:v>56.19</c:v>
                </c:pt>
                <c:pt idx="212">
                  <c:v>53.073</c:v>
                </c:pt>
                <c:pt idx="213">
                  <c:v>51.896999999999998</c:v>
                </c:pt>
                <c:pt idx="214">
                  <c:v>49.238999999999997</c:v>
                </c:pt>
                <c:pt idx="215">
                  <c:v>54.988</c:v>
                </c:pt>
                <c:pt idx="216">
                  <c:v>53.492000000000004</c:v>
                </c:pt>
                <c:pt idx="217">
                  <c:v>51.006999999999998</c:v>
                </c:pt>
                <c:pt idx="218">
                  <c:v>55.625</c:v>
                </c:pt>
                <c:pt idx="219">
                  <c:v>57.457999999999998</c:v>
                </c:pt>
                <c:pt idx="220">
                  <c:v>57.676000000000002</c:v>
                </c:pt>
                <c:pt idx="221">
                  <c:v>55.519999999999996</c:v>
                </c:pt>
                <c:pt idx="222">
                  <c:v>51.070999999999998</c:v>
                </c:pt>
                <c:pt idx="223">
                  <c:v>61.137</c:v>
                </c:pt>
                <c:pt idx="224">
                  <c:v>63.866</c:v>
                </c:pt>
                <c:pt idx="225">
                  <c:v>56.097000000000001</c:v>
                </c:pt>
                <c:pt idx="226">
                  <c:v>45.96</c:v>
                </c:pt>
                <c:pt idx="227">
                  <c:v>49.844000000000001</c:v>
                </c:pt>
                <c:pt idx="228">
                  <c:v>57.986000000000004</c:v>
                </c:pt>
                <c:pt idx="229">
                  <c:v>56.363999999999997</c:v>
                </c:pt>
                <c:pt idx="230">
                  <c:v>56.129000000000005</c:v>
                </c:pt>
                <c:pt idx="231">
                  <c:v>56.39</c:v>
                </c:pt>
                <c:pt idx="232">
                  <c:v>55.881</c:v>
                </c:pt>
                <c:pt idx="233">
                  <c:v>51.506999999999998</c:v>
                </c:pt>
                <c:pt idx="234">
                  <c:v>55.260999999999996</c:v>
                </c:pt>
                <c:pt idx="235">
                  <c:v>48.317</c:v>
                </c:pt>
                <c:pt idx="236">
                  <c:v>49.207000000000001</c:v>
                </c:pt>
                <c:pt idx="237">
                  <c:v>53.826999999999998</c:v>
                </c:pt>
                <c:pt idx="238">
                  <c:v>52.402999999999999</c:v>
                </c:pt>
                <c:pt idx="239">
                  <c:v>52.347999999999999</c:v>
                </c:pt>
                <c:pt idx="240">
                  <c:v>64.242999999999995</c:v>
                </c:pt>
                <c:pt idx="241">
                  <c:v>67.02</c:v>
                </c:pt>
                <c:pt idx="242">
                  <c:v>66.082000000000008</c:v>
                </c:pt>
                <c:pt idx="243">
                  <c:v>62.204000000000001</c:v>
                </c:pt>
                <c:pt idx="244">
                  <c:v>56.546999999999997</c:v>
                </c:pt>
                <c:pt idx="245">
                  <c:v>46.712000000000003</c:v>
                </c:pt>
                <c:pt idx="246">
                  <c:v>47.139000000000003</c:v>
                </c:pt>
                <c:pt idx="247">
                  <c:v>45.926000000000002</c:v>
                </c:pt>
                <c:pt idx="248">
                  <c:v>48.556999999999995</c:v>
                </c:pt>
                <c:pt idx="249">
                  <c:v>49.680999999999997</c:v>
                </c:pt>
                <c:pt idx="250">
                  <c:v>53.222000000000001</c:v>
                </c:pt>
                <c:pt idx="251">
                  <c:v>51.978999999999999</c:v>
                </c:pt>
                <c:pt idx="252">
                  <c:v>50.716999999999999</c:v>
                </c:pt>
                <c:pt idx="253">
                  <c:v>49.326999999999998</c:v>
                </c:pt>
                <c:pt idx="254">
                  <c:v>56.212000000000003</c:v>
                </c:pt>
                <c:pt idx="255">
                  <c:v>59.303000000000004</c:v>
                </c:pt>
                <c:pt idx="256">
                  <c:v>57.009</c:v>
                </c:pt>
                <c:pt idx="257">
                  <c:v>58.181000000000004</c:v>
                </c:pt>
                <c:pt idx="258">
                  <c:v>56.319000000000003</c:v>
                </c:pt>
                <c:pt idx="259">
                  <c:v>51.618000000000002</c:v>
                </c:pt>
                <c:pt idx="260">
                  <c:v>44.091000000000001</c:v>
                </c:pt>
                <c:pt idx="261">
                  <c:v>38.005000000000003</c:v>
                </c:pt>
                <c:pt idx="262">
                  <c:v>45.774999999999999</c:v>
                </c:pt>
                <c:pt idx="263">
                  <c:v>60.697000000000003</c:v>
                </c:pt>
                <c:pt idx="264">
                  <c:v>75.63</c:v>
                </c:pt>
                <c:pt idx="265">
                  <c:v>73.405000000000001</c:v>
                </c:pt>
                <c:pt idx="266">
                  <c:v>72.299000000000007</c:v>
                </c:pt>
                <c:pt idx="267">
                  <c:v>71.826999999999998</c:v>
                </c:pt>
                <c:pt idx="268">
                  <c:v>68.025000000000006</c:v>
                </c:pt>
                <c:pt idx="269">
                  <c:v>42.58</c:v>
                </c:pt>
                <c:pt idx="270">
                  <c:v>41.58</c:v>
                </c:pt>
                <c:pt idx="271">
                  <c:v>34.39</c:v>
                </c:pt>
                <c:pt idx="272">
                  <c:v>53.094999999999999</c:v>
                </c:pt>
                <c:pt idx="273">
                  <c:v>52.152999999999999</c:v>
                </c:pt>
                <c:pt idx="274">
                  <c:v>52.028999999999996</c:v>
                </c:pt>
                <c:pt idx="275">
                  <c:v>54.558999999999997</c:v>
                </c:pt>
                <c:pt idx="276">
                  <c:v>71.638000000000005</c:v>
                </c:pt>
                <c:pt idx="277">
                  <c:v>79.308999999999997</c:v>
                </c:pt>
                <c:pt idx="278">
                  <c:v>66.704000000000008</c:v>
                </c:pt>
                <c:pt idx="279">
                  <c:v>67.876000000000005</c:v>
                </c:pt>
                <c:pt idx="280">
                  <c:v>83.164999999999992</c:v>
                </c:pt>
                <c:pt idx="281">
                  <c:v>86.670999999999992</c:v>
                </c:pt>
                <c:pt idx="282">
                  <c:v>92.673000000000002</c:v>
                </c:pt>
                <c:pt idx="283">
                  <c:v>94.25200000000001</c:v>
                </c:pt>
                <c:pt idx="284">
                  <c:v>91.186000000000007</c:v>
                </c:pt>
                <c:pt idx="285">
                  <c:v>91.087000000000003</c:v>
                </c:pt>
                <c:pt idx="286">
                  <c:v>85.369</c:v>
                </c:pt>
                <c:pt idx="287">
                  <c:v>80.524000000000001</c:v>
                </c:pt>
                <c:pt idx="288">
                  <c:v>81.98</c:v>
                </c:pt>
                <c:pt idx="289">
                  <c:v>80.403999999999996</c:v>
                </c:pt>
                <c:pt idx="290">
                  <c:v>90.504000000000005</c:v>
                </c:pt>
                <c:pt idx="291">
                  <c:v>93.27000000000001</c:v>
                </c:pt>
                <c:pt idx="292">
                  <c:v>90.55</c:v>
                </c:pt>
                <c:pt idx="293">
                  <c:v>86.278999999999996</c:v>
                </c:pt>
                <c:pt idx="294">
                  <c:v>81.692000000000007</c:v>
                </c:pt>
                <c:pt idx="295">
                  <c:v>85.253</c:v>
                </c:pt>
                <c:pt idx="296">
                  <c:v>91.221000000000004</c:v>
                </c:pt>
                <c:pt idx="297">
                  <c:v>93.853000000000009</c:v>
                </c:pt>
                <c:pt idx="298">
                  <c:v>88.450999999999993</c:v>
                </c:pt>
                <c:pt idx="299">
                  <c:v>86.227000000000004</c:v>
                </c:pt>
                <c:pt idx="300">
                  <c:v>85.781000000000006</c:v>
                </c:pt>
                <c:pt idx="301">
                  <c:v>84.072000000000003</c:v>
                </c:pt>
                <c:pt idx="302">
                  <c:v>80.841999999999999</c:v>
                </c:pt>
                <c:pt idx="303">
                  <c:v>84.652999999999992</c:v>
                </c:pt>
                <c:pt idx="304">
                  <c:v>79.701999999999998</c:v>
                </c:pt>
                <c:pt idx="305">
                  <c:v>76.620999999999995</c:v>
                </c:pt>
                <c:pt idx="306">
                  <c:v>76.05</c:v>
                </c:pt>
                <c:pt idx="307">
                  <c:v>69.923000000000002</c:v>
                </c:pt>
                <c:pt idx="308">
                  <c:v>70.911000000000001</c:v>
                </c:pt>
                <c:pt idx="309">
                  <c:v>75.010999999999996</c:v>
                </c:pt>
                <c:pt idx="310">
                  <c:v>71.997</c:v>
                </c:pt>
                <c:pt idx="311">
                  <c:v>69.405000000000001</c:v>
                </c:pt>
                <c:pt idx="312">
                  <c:v>90.841999999999999</c:v>
                </c:pt>
                <c:pt idx="313">
                  <c:v>83.82</c:v>
                </c:pt>
                <c:pt idx="314">
                  <c:v>87.59899999999999</c:v>
                </c:pt>
                <c:pt idx="315">
                  <c:v>62.382000000000005</c:v>
                </c:pt>
                <c:pt idx="316">
                  <c:v>69.738</c:v>
                </c:pt>
                <c:pt idx="317">
                  <c:v>88.504000000000005</c:v>
                </c:pt>
                <c:pt idx="318">
                  <c:v>80.163999999999987</c:v>
                </c:pt>
                <c:pt idx="319">
                  <c:v>78.115000000000009</c:v>
                </c:pt>
                <c:pt idx="320">
                  <c:v>70.474000000000004</c:v>
                </c:pt>
                <c:pt idx="321">
                  <c:v>69.11699999999999</c:v>
                </c:pt>
                <c:pt idx="322">
                  <c:v>68.376999999999995</c:v>
                </c:pt>
                <c:pt idx="323">
                  <c:v>71.438999999999993</c:v>
                </c:pt>
                <c:pt idx="324">
                  <c:v>72.896000000000001</c:v>
                </c:pt>
                <c:pt idx="325">
                  <c:v>88.888000000000005</c:v>
                </c:pt>
                <c:pt idx="326">
                  <c:v>94.943000000000012</c:v>
                </c:pt>
                <c:pt idx="327">
                  <c:v>96.931000000000012</c:v>
                </c:pt>
                <c:pt idx="328">
                  <c:v>92.893000000000001</c:v>
                </c:pt>
                <c:pt idx="329">
                  <c:v>95.504999999999995</c:v>
                </c:pt>
                <c:pt idx="330">
                  <c:v>90.093999999999994</c:v>
                </c:pt>
                <c:pt idx="331">
                  <c:v>80.727999999999994</c:v>
                </c:pt>
                <c:pt idx="332">
                  <c:v>81.319999999999993</c:v>
                </c:pt>
                <c:pt idx="333">
                  <c:v>88.657000000000011</c:v>
                </c:pt>
                <c:pt idx="334">
                  <c:v>91.960999999999999</c:v>
                </c:pt>
                <c:pt idx="335">
                  <c:v>92.344999999999999</c:v>
                </c:pt>
                <c:pt idx="336">
                  <c:v>88.391999999999996</c:v>
                </c:pt>
                <c:pt idx="337">
                  <c:v>88.936999999999998</c:v>
                </c:pt>
                <c:pt idx="338">
                  <c:v>88.396000000000001</c:v>
                </c:pt>
                <c:pt idx="339">
                  <c:v>85.747</c:v>
                </c:pt>
                <c:pt idx="340">
                  <c:v>93.290999999999997</c:v>
                </c:pt>
                <c:pt idx="341">
                  <c:v>84.763000000000005</c:v>
                </c:pt>
                <c:pt idx="342">
                  <c:v>81.058999999999997</c:v>
                </c:pt>
                <c:pt idx="343">
                  <c:v>85.265000000000015</c:v>
                </c:pt>
                <c:pt idx="344">
                  <c:v>88.010999999999996</c:v>
                </c:pt>
                <c:pt idx="345">
                  <c:v>85.292000000000002</c:v>
                </c:pt>
                <c:pt idx="346">
                  <c:v>85.192000000000007</c:v>
                </c:pt>
                <c:pt idx="347">
                  <c:v>85.228999999999999</c:v>
                </c:pt>
                <c:pt idx="348">
                  <c:v>84.727000000000004</c:v>
                </c:pt>
                <c:pt idx="349">
                  <c:v>85.9</c:v>
                </c:pt>
                <c:pt idx="350">
                  <c:v>87.989000000000004</c:v>
                </c:pt>
                <c:pt idx="351">
                  <c:v>87.522999999999996</c:v>
                </c:pt>
                <c:pt idx="352">
                  <c:v>84.539999999999992</c:v>
                </c:pt>
                <c:pt idx="353">
                  <c:v>87.39500000000001</c:v>
                </c:pt>
                <c:pt idx="354">
                  <c:v>88.378</c:v>
                </c:pt>
                <c:pt idx="355">
                  <c:v>88.699000000000012</c:v>
                </c:pt>
                <c:pt idx="356">
                  <c:v>87.90100000000001</c:v>
                </c:pt>
                <c:pt idx="357">
                  <c:v>80.981999999999999</c:v>
                </c:pt>
                <c:pt idx="358">
                  <c:v>77.22</c:v>
                </c:pt>
                <c:pt idx="359">
                  <c:v>93.82</c:v>
                </c:pt>
                <c:pt idx="360">
                  <c:v>86.665999999999997</c:v>
                </c:pt>
                <c:pt idx="361">
                  <c:v>70.242000000000004</c:v>
                </c:pt>
                <c:pt idx="362">
                  <c:v>64.16</c:v>
                </c:pt>
                <c:pt idx="363">
                  <c:v>64.007000000000005</c:v>
                </c:pt>
                <c:pt idx="364">
                  <c:v>65.14</c:v>
                </c:pt>
              </c:numCache>
            </c:numRef>
          </c:val>
          <c:smooth val="0"/>
          <c:extLst>
            <c:ext xmlns:c16="http://schemas.microsoft.com/office/drawing/2014/chart" uri="{C3380CC4-5D6E-409C-BE32-E72D297353CC}">
              <c16:uniqueId val="{00000002-4DCD-41BE-9E09-B9ED9D62730A}"/>
            </c:ext>
          </c:extLst>
        </c:ser>
        <c:ser>
          <c:idx val="3"/>
          <c:order val="3"/>
          <c:tx>
            <c:v>Nameplate capacity (TJ/day)</c:v>
          </c:tx>
          <c:spPr>
            <a:ln w="76200">
              <a:solidFill>
                <a:schemeClr val="accent6">
                  <a:lumMod val="50000"/>
                </a:schemeClr>
              </a:solidFill>
            </a:ln>
          </c:spPr>
          <c:marker>
            <c:symbol val="none"/>
          </c:marker>
          <c:dPt>
            <c:idx val="365"/>
            <c:bubble3D val="0"/>
            <c:spPr>
              <a:ln w="76200">
                <a:noFill/>
              </a:ln>
            </c:spPr>
            <c:extLst>
              <c:ext xmlns:c16="http://schemas.microsoft.com/office/drawing/2014/chart" uri="{C3380CC4-5D6E-409C-BE32-E72D297353CC}">
                <c16:uniqueId val="{00000004-4DCD-41BE-9E09-B9ED9D62730A}"/>
              </c:ext>
            </c:extLst>
          </c:dPt>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demand'!$F$43:$F$408</c:f>
              <c:numCache>
                <c:formatCode>_(* #,##0_);_(* \(#,##0\);_(* "-"_);_(@_)</c:formatCode>
                <c:ptCount val="366"/>
                <c:pt idx="0">
                  <c:v>165</c:v>
                </c:pt>
                <c:pt idx="1">
                  <c:v>165</c:v>
                </c:pt>
                <c:pt idx="2">
                  <c:v>165</c:v>
                </c:pt>
                <c:pt idx="3">
                  <c:v>165</c:v>
                </c:pt>
                <c:pt idx="4">
                  <c:v>165</c:v>
                </c:pt>
                <c:pt idx="5">
                  <c:v>165</c:v>
                </c:pt>
                <c:pt idx="6">
                  <c:v>165</c:v>
                </c:pt>
                <c:pt idx="7">
                  <c:v>165</c:v>
                </c:pt>
                <c:pt idx="8">
                  <c:v>165</c:v>
                </c:pt>
                <c:pt idx="9">
                  <c:v>165</c:v>
                </c:pt>
                <c:pt idx="10">
                  <c:v>165</c:v>
                </c:pt>
                <c:pt idx="11">
                  <c:v>165</c:v>
                </c:pt>
                <c:pt idx="12">
                  <c:v>165</c:v>
                </c:pt>
                <c:pt idx="13">
                  <c:v>165</c:v>
                </c:pt>
                <c:pt idx="14">
                  <c:v>165</c:v>
                </c:pt>
                <c:pt idx="15">
                  <c:v>165</c:v>
                </c:pt>
                <c:pt idx="16">
                  <c:v>165</c:v>
                </c:pt>
                <c:pt idx="17">
                  <c:v>165</c:v>
                </c:pt>
                <c:pt idx="18">
                  <c:v>165</c:v>
                </c:pt>
                <c:pt idx="19">
                  <c:v>165</c:v>
                </c:pt>
                <c:pt idx="20">
                  <c:v>165</c:v>
                </c:pt>
                <c:pt idx="21">
                  <c:v>165</c:v>
                </c:pt>
                <c:pt idx="22">
                  <c:v>165</c:v>
                </c:pt>
                <c:pt idx="23">
                  <c:v>165</c:v>
                </c:pt>
                <c:pt idx="24">
                  <c:v>165</c:v>
                </c:pt>
                <c:pt idx="25">
                  <c:v>165</c:v>
                </c:pt>
                <c:pt idx="26">
                  <c:v>165</c:v>
                </c:pt>
                <c:pt idx="27">
                  <c:v>165</c:v>
                </c:pt>
                <c:pt idx="28">
                  <c:v>165</c:v>
                </c:pt>
                <c:pt idx="29">
                  <c:v>165</c:v>
                </c:pt>
                <c:pt idx="30">
                  <c:v>165</c:v>
                </c:pt>
                <c:pt idx="31">
                  <c:v>165</c:v>
                </c:pt>
                <c:pt idx="32">
                  <c:v>165</c:v>
                </c:pt>
                <c:pt idx="33">
                  <c:v>165</c:v>
                </c:pt>
                <c:pt idx="34">
                  <c:v>165</c:v>
                </c:pt>
                <c:pt idx="35">
                  <c:v>165</c:v>
                </c:pt>
                <c:pt idx="36">
                  <c:v>165</c:v>
                </c:pt>
                <c:pt idx="37">
                  <c:v>165</c:v>
                </c:pt>
                <c:pt idx="38">
                  <c:v>165</c:v>
                </c:pt>
                <c:pt idx="39">
                  <c:v>165</c:v>
                </c:pt>
                <c:pt idx="40">
                  <c:v>165</c:v>
                </c:pt>
                <c:pt idx="41">
                  <c:v>165</c:v>
                </c:pt>
                <c:pt idx="42">
                  <c:v>165</c:v>
                </c:pt>
                <c:pt idx="43">
                  <c:v>165</c:v>
                </c:pt>
                <c:pt idx="44">
                  <c:v>165</c:v>
                </c:pt>
                <c:pt idx="45">
                  <c:v>165</c:v>
                </c:pt>
                <c:pt idx="46">
                  <c:v>165</c:v>
                </c:pt>
                <c:pt idx="47">
                  <c:v>165</c:v>
                </c:pt>
                <c:pt idx="48">
                  <c:v>165</c:v>
                </c:pt>
                <c:pt idx="49">
                  <c:v>165</c:v>
                </c:pt>
                <c:pt idx="50">
                  <c:v>165</c:v>
                </c:pt>
                <c:pt idx="51">
                  <c:v>165</c:v>
                </c:pt>
                <c:pt idx="52">
                  <c:v>165</c:v>
                </c:pt>
                <c:pt idx="53">
                  <c:v>165</c:v>
                </c:pt>
                <c:pt idx="54">
                  <c:v>165</c:v>
                </c:pt>
                <c:pt idx="55">
                  <c:v>165</c:v>
                </c:pt>
                <c:pt idx="56">
                  <c:v>165</c:v>
                </c:pt>
                <c:pt idx="57">
                  <c:v>165</c:v>
                </c:pt>
                <c:pt idx="58">
                  <c:v>165</c:v>
                </c:pt>
                <c:pt idx="59">
                  <c:v>165</c:v>
                </c:pt>
                <c:pt idx="60">
                  <c:v>165</c:v>
                </c:pt>
                <c:pt idx="61">
                  <c:v>165</c:v>
                </c:pt>
                <c:pt idx="62">
                  <c:v>165</c:v>
                </c:pt>
                <c:pt idx="63">
                  <c:v>165</c:v>
                </c:pt>
                <c:pt idx="64">
                  <c:v>165</c:v>
                </c:pt>
                <c:pt idx="65">
                  <c:v>165</c:v>
                </c:pt>
                <c:pt idx="66">
                  <c:v>165</c:v>
                </c:pt>
                <c:pt idx="67">
                  <c:v>165</c:v>
                </c:pt>
                <c:pt idx="68">
                  <c:v>165</c:v>
                </c:pt>
                <c:pt idx="69">
                  <c:v>165</c:v>
                </c:pt>
                <c:pt idx="70">
                  <c:v>165</c:v>
                </c:pt>
                <c:pt idx="71">
                  <c:v>165</c:v>
                </c:pt>
                <c:pt idx="72">
                  <c:v>165</c:v>
                </c:pt>
                <c:pt idx="73">
                  <c:v>165</c:v>
                </c:pt>
                <c:pt idx="74">
                  <c:v>165</c:v>
                </c:pt>
                <c:pt idx="75">
                  <c:v>165</c:v>
                </c:pt>
                <c:pt idx="76">
                  <c:v>165</c:v>
                </c:pt>
                <c:pt idx="77">
                  <c:v>165</c:v>
                </c:pt>
                <c:pt idx="78">
                  <c:v>165</c:v>
                </c:pt>
                <c:pt idx="79">
                  <c:v>165</c:v>
                </c:pt>
                <c:pt idx="80">
                  <c:v>165</c:v>
                </c:pt>
                <c:pt idx="81">
                  <c:v>165</c:v>
                </c:pt>
                <c:pt idx="82">
                  <c:v>165</c:v>
                </c:pt>
                <c:pt idx="83">
                  <c:v>165</c:v>
                </c:pt>
                <c:pt idx="84">
                  <c:v>165</c:v>
                </c:pt>
                <c:pt idx="85">
                  <c:v>165</c:v>
                </c:pt>
                <c:pt idx="86">
                  <c:v>165</c:v>
                </c:pt>
                <c:pt idx="87">
                  <c:v>165</c:v>
                </c:pt>
                <c:pt idx="88">
                  <c:v>165</c:v>
                </c:pt>
                <c:pt idx="89">
                  <c:v>165</c:v>
                </c:pt>
                <c:pt idx="90">
                  <c:v>165</c:v>
                </c:pt>
                <c:pt idx="91">
                  <c:v>165</c:v>
                </c:pt>
                <c:pt idx="92">
                  <c:v>165</c:v>
                </c:pt>
                <c:pt idx="93">
                  <c:v>165</c:v>
                </c:pt>
                <c:pt idx="94">
                  <c:v>165</c:v>
                </c:pt>
                <c:pt idx="95">
                  <c:v>165</c:v>
                </c:pt>
                <c:pt idx="96">
                  <c:v>165</c:v>
                </c:pt>
                <c:pt idx="97">
                  <c:v>165</c:v>
                </c:pt>
                <c:pt idx="98">
                  <c:v>165</c:v>
                </c:pt>
                <c:pt idx="99">
                  <c:v>165</c:v>
                </c:pt>
                <c:pt idx="100">
                  <c:v>165</c:v>
                </c:pt>
                <c:pt idx="101">
                  <c:v>165</c:v>
                </c:pt>
                <c:pt idx="102">
                  <c:v>165</c:v>
                </c:pt>
                <c:pt idx="103">
                  <c:v>165</c:v>
                </c:pt>
                <c:pt idx="104">
                  <c:v>165</c:v>
                </c:pt>
                <c:pt idx="105">
                  <c:v>165</c:v>
                </c:pt>
                <c:pt idx="106">
                  <c:v>165</c:v>
                </c:pt>
                <c:pt idx="107">
                  <c:v>165</c:v>
                </c:pt>
                <c:pt idx="108">
                  <c:v>165</c:v>
                </c:pt>
                <c:pt idx="109">
                  <c:v>165</c:v>
                </c:pt>
                <c:pt idx="110">
                  <c:v>165</c:v>
                </c:pt>
                <c:pt idx="111">
                  <c:v>165</c:v>
                </c:pt>
                <c:pt idx="112">
                  <c:v>165</c:v>
                </c:pt>
                <c:pt idx="113">
                  <c:v>165</c:v>
                </c:pt>
                <c:pt idx="114">
                  <c:v>165</c:v>
                </c:pt>
                <c:pt idx="115">
                  <c:v>165</c:v>
                </c:pt>
                <c:pt idx="116">
                  <c:v>165</c:v>
                </c:pt>
                <c:pt idx="117">
                  <c:v>165</c:v>
                </c:pt>
                <c:pt idx="118">
                  <c:v>165</c:v>
                </c:pt>
                <c:pt idx="119">
                  <c:v>165</c:v>
                </c:pt>
                <c:pt idx="120">
                  <c:v>165</c:v>
                </c:pt>
                <c:pt idx="121">
                  <c:v>165</c:v>
                </c:pt>
                <c:pt idx="122">
                  <c:v>165</c:v>
                </c:pt>
                <c:pt idx="123">
                  <c:v>165</c:v>
                </c:pt>
                <c:pt idx="124">
                  <c:v>165</c:v>
                </c:pt>
                <c:pt idx="125">
                  <c:v>165</c:v>
                </c:pt>
                <c:pt idx="126">
                  <c:v>165</c:v>
                </c:pt>
                <c:pt idx="127">
                  <c:v>165</c:v>
                </c:pt>
                <c:pt idx="128">
                  <c:v>165</c:v>
                </c:pt>
                <c:pt idx="129">
                  <c:v>165</c:v>
                </c:pt>
                <c:pt idx="130">
                  <c:v>165</c:v>
                </c:pt>
                <c:pt idx="131">
                  <c:v>165</c:v>
                </c:pt>
                <c:pt idx="132">
                  <c:v>165</c:v>
                </c:pt>
                <c:pt idx="133">
                  <c:v>165</c:v>
                </c:pt>
                <c:pt idx="134">
                  <c:v>165</c:v>
                </c:pt>
                <c:pt idx="135">
                  <c:v>165</c:v>
                </c:pt>
                <c:pt idx="136">
                  <c:v>165</c:v>
                </c:pt>
                <c:pt idx="137">
                  <c:v>165</c:v>
                </c:pt>
                <c:pt idx="138">
                  <c:v>165</c:v>
                </c:pt>
                <c:pt idx="139">
                  <c:v>165</c:v>
                </c:pt>
                <c:pt idx="140">
                  <c:v>165</c:v>
                </c:pt>
                <c:pt idx="141">
                  <c:v>165</c:v>
                </c:pt>
                <c:pt idx="142">
                  <c:v>165</c:v>
                </c:pt>
                <c:pt idx="143">
                  <c:v>165</c:v>
                </c:pt>
                <c:pt idx="144">
                  <c:v>165</c:v>
                </c:pt>
                <c:pt idx="145">
                  <c:v>165</c:v>
                </c:pt>
                <c:pt idx="146">
                  <c:v>165</c:v>
                </c:pt>
                <c:pt idx="147">
                  <c:v>165</c:v>
                </c:pt>
                <c:pt idx="148">
                  <c:v>165</c:v>
                </c:pt>
                <c:pt idx="149">
                  <c:v>165</c:v>
                </c:pt>
                <c:pt idx="150">
                  <c:v>165</c:v>
                </c:pt>
                <c:pt idx="151">
                  <c:v>165</c:v>
                </c:pt>
                <c:pt idx="152">
                  <c:v>165</c:v>
                </c:pt>
                <c:pt idx="153">
                  <c:v>165</c:v>
                </c:pt>
                <c:pt idx="154">
                  <c:v>165</c:v>
                </c:pt>
                <c:pt idx="155">
                  <c:v>165</c:v>
                </c:pt>
                <c:pt idx="156">
                  <c:v>165</c:v>
                </c:pt>
                <c:pt idx="157">
                  <c:v>165</c:v>
                </c:pt>
                <c:pt idx="158">
                  <c:v>165</c:v>
                </c:pt>
                <c:pt idx="159">
                  <c:v>165</c:v>
                </c:pt>
                <c:pt idx="160">
                  <c:v>165</c:v>
                </c:pt>
                <c:pt idx="161">
                  <c:v>165</c:v>
                </c:pt>
                <c:pt idx="162">
                  <c:v>165</c:v>
                </c:pt>
                <c:pt idx="163">
                  <c:v>165</c:v>
                </c:pt>
                <c:pt idx="164">
                  <c:v>165</c:v>
                </c:pt>
                <c:pt idx="165">
                  <c:v>165</c:v>
                </c:pt>
                <c:pt idx="166">
                  <c:v>165</c:v>
                </c:pt>
                <c:pt idx="167">
                  <c:v>165</c:v>
                </c:pt>
                <c:pt idx="168">
                  <c:v>165</c:v>
                </c:pt>
                <c:pt idx="169">
                  <c:v>165</c:v>
                </c:pt>
                <c:pt idx="170">
                  <c:v>165</c:v>
                </c:pt>
                <c:pt idx="171">
                  <c:v>165</c:v>
                </c:pt>
                <c:pt idx="172">
                  <c:v>165</c:v>
                </c:pt>
                <c:pt idx="173">
                  <c:v>165</c:v>
                </c:pt>
                <c:pt idx="174">
                  <c:v>165</c:v>
                </c:pt>
                <c:pt idx="175">
                  <c:v>165</c:v>
                </c:pt>
                <c:pt idx="176">
                  <c:v>165</c:v>
                </c:pt>
                <c:pt idx="177">
                  <c:v>165</c:v>
                </c:pt>
                <c:pt idx="178">
                  <c:v>165</c:v>
                </c:pt>
                <c:pt idx="179">
                  <c:v>165</c:v>
                </c:pt>
                <c:pt idx="180">
                  <c:v>165</c:v>
                </c:pt>
                <c:pt idx="181">
                  <c:v>165</c:v>
                </c:pt>
                <c:pt idx="182">
                  <c:v>165</c:v>
                </c:pt>
                <c:pt idx="183">
                  <c:v>165</c:v>
                </c:pt>
                <c:pt idx="184">
                  <c:v>165</c:v>
                </c:pt>
                <c:pt idx="185">
                  <c:v>165</c:v>
                </c:pt>
                <c:pt idx="186">
                  <c:v>165</c:v>
                </c:pt>
                <c:pt idx="187">
                  <c:v>165</c:v>
                </c:pt>
                <c:pt idx="188">
                  <c:v>165</c:v>
                </c:pt>
                <c:pt idx="189">
                  <c:v>165</c:v>
                </c:pt>
                <c:pt idx="190">
                  <c:v>165</c:v>
                </c:pt>
                <c:pt idx="191">
                  <c:v>165</c:v>
                </c:pt>
                <c:pt idx="192">
                  <c:v>165</c:v>
                </c:pt>
                <c:pt idx="193">
                  <c:v>165</c:v>
                </c:pt>
                <c:pt idx="194">
                  <c:v>165</c:v>
                </c:pt>
                <c:pt idx="195">
                  <c:v>165</c:v>
                </c:pt>
                <c:pt idx="196">
                  <c:v>165</c:v>
                </c:pt>
                <c:pt idx="197">
                  <c:v>165</c:v>
                </c:pt>
                <c:pt idx="198">
                  <c:v>165</c:v>
                </c:pt>
                <c:pt idx="199">
                  <c:v>165</c:v>
                </c:pt>
                <c:pt idx="200">
                  <c:v>165</c:v>
                </c:pt>
                <c:pt idx="201">
                  <c:v>165</c:v>
                </c:pt>
                <c:pt idx="202">
                  <c:v>165</c:v>
                </c:pt>
                <c:pt idx="203">
                  <c:v>165</c:v>
                </c:pt>
                <c:pt idx="204">
                  <c:v>165</c:v>
                </c:pt>
                <c:pt idx="205">
                  <c:v>165</c:v>
                </c:pt>
                <c:pt idx="206">
                  <c:v>165</c:v>
                </c:pt>
                <c:pt idx="207">
                  <c:v>165</c:v>
                </c:pt>
                <c:pt idx="208">
                  <c:v>165</c:v>
                </c:pt>
                <c:pt idx="209">
                  <c:v>165</c:v>
                </c:pt>
                <c:pt idx="210">
                  <c:v>165</c:v>
                </c:pt>
                <c:pt idx="211">
                  <c:v>165</c:v>
                </c:pt>
                <c:pt idx="212">
                  <c:v>165</c:v>
                </c:pt>
                <c:pt idx="213">
                  <c:v>165</c:v>
                </c:pt>
                <c:pt idx="214">
                  <c:v>165</c:v>
                </c:pt>
                <c:pt idx="215">
                  <c:v>165</c:v>
                </c:pt>
                <c:pt idx="216">
                  <c:v>165</c:v>
                </c:pt>
                <c:pt idx="217">
                  <c:v>165</c:v>
                </c:pt>
                <c:pt idx="218">
                  <c:v>165</c:v>
                </c:pt>
                <c:pt idx="219">
                  <c:v>165</c:v>
                </c:pt>
                <c:pt idx="220">
                  <c:v>165</c:v>
                </c:pt>
                <c:pt idx="221">
                  <c:v>165</c:v>
                </c:pt>
                <c:pt idx="222">
                  <c:v>165</c:v>
                </c:pt>
                <c:pt idx="223">
                  <c:v>165</c:v>
                </c:pt>
                <c:pt idx="224">
                  <c:v>165</c:v>
                </c:pt>
                <c:pt idx="225">
                  <c:v>165</c:v>
                </c:pt>
                <c:pt idx="226">
                  <c:v>165</c:v>
                </c:pt>
                <c:pt idx="227">
                  <c:v>165</c:v>
                </c:pt>
                <c:pt idx="228">
                  <c:v>165</c:v>
                </c:pt>
                <c:pt idx="229">
                  <c:v>165</c:v>
                </c:pt>
                <c:pt idx="230">
                  <c:v>165</c:v>
                </c:pt>
                <c:pt idx="231">
                  <c:v>165</c:v>
                </c:pt>
                <c:pt idx="232">
                  <c:v>165</c:v>
                </c:pt>
                <c:pt idx="233">
                  <c:v>165</c:v>
                </c:pt>
                <c:pt idx="234">
                  <c:v>165</c:v>
                </c:pt>
                <c:pt idx="235">
                  <c:v>165</c:v>
                </c:pt>
                <c:pt idx="236">
                  <c:v>165</c:v>
                </c:pt>
                <c:pt idx="237">
                  <c:v>165</c:v>
                </c:pt>
                <c:pt idx="238">
                  <c:v>165</c:v>
                </c:pt>
                <c:pt idx="239">
                  <c:v>165</c:v>
                </c:pt>
                <c:pt idx="240">
                  <c:v>165</c:v>
                </c:pt>
                <c:pt idx="241">
                  <c:v>165</c:v>
                </c:pt>
                <c:pt idx="242">
                  <c:v>165</c:v>
                </c:pt>
                <c:pt idx="243">
                  <c:v>165</c:v>
                </c:pt>
                <c:pt idx="244">
                  <c:v>165</c:v>
                </c:pt>
                <c:pt idx="245">
                  <c:v>165</c:v>
                </c:pt>
                <c:pt idx="246">
                  <c:v>165</c:v>
                </c:pt>
                <c:pt idx="247">
                  <c:v>165</c:v>
                </c:pt>
                <c:pt idx="248">
                  <c:v>165</c:v>
                </c:pt>
                <c:pt idx="249">
                  <c:v>165</c:v>
                </c:pt>
                <c:pt idx="250">
                  <c:v>165</c:v>
                </c:pt>
                <c:pt idx="251">
                  <c:v>165</c:v>
                </c:pt>
                <c:pt idx="252">
                  <c:v>165</c:v>
                </c:pt>
                <c:pt idx="253">
                  <c:v>165</c:v>
                </c:pt>
                <c:pt idx="254">
                  <c:v>165</c:v>
                </c:pt>
                <c:pt idx="255">
                  <c:v>165</c:v>
                </c:pt>
                <c:pt idx="256">
                  <c:v>165</c:v>
                </c:pt>
                <c:pt idx="257">
                  <c:v>165</c:v>
                </c:pt>
                <c:pt idx="258">
                  <c:v>165</c:v>
                </c:pt>
                <c:pt idx="259">
                  <c:v>165</c:v>
                </c:pt>
                <c:pt idx="260">
                  <c:v>165</c:v>
                </c:pt>
                <c:pt idx="261">
                  <c:v>165</c:v>
                </c:pt>
                <c:pt idx="262">
                  <c:v>165</c:v>
                </c:pt>
                <c:pt idx="263">
                  <c:v>165</c:v>
                </c:pt>
                <c:pt idx="264">
                  <c:v>165</c:v>
                </c:pt>
                <c:pt idx="265">
                  <c:v>165</c:v>
                </c:pt>
                <c:pt idx="266">
                  <c:v>165</c:v>
                </c:pt>
                <c:pt idx="267">
                  <c:v>165</c:v>
                </c:pt>
                <c:pt idx="268">
                  <c:v>165</c:v>
                </c:pt>
                <c:pt idx="269">
                  <c:v>165</c:v>
                </c:pt>
                <c:pt idx="270">
                  <c:v>165</c:v>
                </c:pt>
                <c:pt idx="271">
                  <c:v>165</c:v>
                </c:pt>
                <c:pt idx="272">
                  <c:v>165</c:v>
                </c:pt>
                <c:pt idx="273">
                  <c:v>165</c:v>
                </c:pt>
                <c:pt idx="274">
                  <c:v>165</c:v>
                </c:pt>
                <c:pt idx="275">
                  <c:v>165</c:v>
                </c:pt>
                <c:pt idx="276">
                  <c:v>165</c:v>
                </c:pt>
                <c:pt idx="277">
                  <c:v>165</c:v>
                </c:pt>
                <c:pt idx="278">
                  <c:v>165</c:v>
                </c:pt>
                <c:pt idx="279">
                  <c:v>165</c:v>
                </c:pt>
                <c:pt idx="280">
                  <c:v>165</c:v>
                </c:pt>
                <c:pt idx="281">
                  <c:v>165</c:v>
                </c:pt>
                <c:pt idx="282">
                  <c:v>165</c:v>
                </c:pt>
                <c:pt idx="283">
                  <c:v>165</c:v>
                </c:pt>
                <c:pt idx="284">
                  <c:v>165</c:v>
                </c:pt>
                <c:pt idx="285">
                  <c:v>165</c:v>
                </c:pt>
                <c:pt idx="286">
                  <c:v>165</c:v>
                </c:pt>
                <c:pt idx="287">
                  <c:v>165</c:v>
                </c:pt>
                <c:pt idx="288">
                  <c:v>165</c:v>
                </c:pt>
                <c:pt idx="289">
                  <c:v>165</c:v>
                </c:pt>
                <c:pt idx="290">
                  <c:v>165</c:v>
                </c:pt>
                <c:pt idx="291">
                  <c:v>165</c:v>
                </c:pt>
                <c:pt idx="292">
                  <c:v>165</c:v>
                </c:pt>
                <c:pt idx="293">
                  <c:v>165</c:v>
                </c:pt>
                <c:pt idx="294">
                  <c:v>165</c:v>
                </c:pt>
                <c:pt idx="295">
                  <c:v>165</c:v>
                </c:pt>
                <c:pt idx="296">
                  <c:v>165</c:v>
                </c:pt>
                <c:pt idx="297">
                  <c:v>165</c:v>
                </c:pt>
                <c:pt idx="298">
                  <c:v>165</c:v>
                </c:pt>
                <c:pt idx="299">
                  <c:v>165</c:v>
                </c:pt>
                <c:pt idx="300">
                  <c:v>165</c:v>
                </c:pt>
                <c:pt idx="301">
                  <c:v>165</c:v>
                </c:pt>
                <c:pt idx="302">
                  <c:v>165</c:v>
                </c:pt>
                <c:pt idx="303">
                  <c:v>165</c:v>
                </c:pt>
                <c:pt idx="304">
                  <c:v>165</c:v>
                </c:pt>
                <c:pt idx="305">
                  <c:v>165</c:v>
                </c:pt>
                <c:pt idx="306">
                  <c:v>165</c:v>
                </c:pt>
                <c:pt idx="307">
                  <c:v>165</c:v>
                </c:pt>
                <c:pt idx="308">
                  <c:v>165</c:v>
                </c:pt>
                <c:pt idx="309">
                  <c:v>165</c:v>
                </c:pt>
                <c:pt idx="310">
                  <c:v>165</c:v>
                </c:pt>
                <c:pt idx="311">
                  <c:v>165</c:v>
                </c:pt>
                <c:pt idx="312">
                  <c:v>165</c:v>
                </c:pt>
                <c:pt idx="313">
                  <c:v>165</c:v>
                </c:pt>
                <c:pt idx="314">
                  <c:v>165</c:v>
                </c:pt>
                <c:pt idx="315">
                  <c:v>165</c:v>
                </c:pt>
                <c:pt idx="316">
                  <c:v>165</c:v>
                </c:pt>
                <c:pt idx="317">
                  <c:v>165</c:v>
                </c:pt>
                <c:pt idx="318">
                  <c:v>165</c:v>
                </c:pt>
                <c:pt idx="319">
                  <c:v>165</c:v>
                </c:pt>
                <c:pt idx="320">
                  <c:v>165</c:v>
                </c:pt>
                <c:pt idx="321">
                  <c:v>165</c:v>
                </c:pt>
                <c:pt idx="322">
                  <c:v>165</c:v>
                </c:pt>
                <c:pt idx="323">
                  <c:v>165</c:v>
                </c:pt>
                <c:pt idx="324">
                  <c:v>165</c:v>
                </c:pt>
                <c:pt idx="325">
                  <c:v>165</c:v>
                </c:pt>
                <c:pt idx="326">
                  <c:v>165</c:v>
                </c:pt>
                <c:pt idx="327">
                  <c:v>165</c:v>
                </c:pt>
                <c:pt idx="328">
                  <c:v>165</c:v>
                </c:pt>
                <c:pt idx="329">
                  <c:v>165</c:v>
                </c:pt>
                <c:pt idx="330">
                  <c:v>165</c:v>
                </c:pt>
                <c:pt idx="331">
                  <c:v>165</c:v>
                </c:pt>
                <c:pt idx="332">
                  <c:v>165</c:v>
                </c:pt>
                <c:pt idx="333">
                  <c:v>165</c:v>
                </c:pt>
                <c:pt idx="334">
                  <c:v>165</c:v>
                </c:pt>
                <c:pt idx="335">
                  <c:v>165</c:v>
                </c:pt>
                <c:pt idx="336">
                  <c:v>165</c:v>
                </c:pt>
                <c:pt idx="337">
                  <c:v>165</c:v>
                </c:pt>
                <c:pt idx="338">
                  <c:v>165</c:v>
                </c:pt>
                <c:pt idx="339">
                  <c:v>165</c:v>
                </c:pt>
                <c:pt idx="340">
                  <c:v>165</c:v>
                </c:pt>
                <c:pt idx="341">
                  <c:v>165</c:v>
                </c:pt>
                <c:pt idx="342">
                  <c:v>165</c:v>
                </c:pt>
                <c:pt idx="343">
                  <c:v>165</c:v>
                </c:pt>
                <c:pt idx="344">
                  <c:v>165</c:v>
                </c:pt>
                <c:pt idx="345">
                  <c:v>165</c:v>
                </c:pt>
                <c:pt idx="346">
                  <c:v>165</c:v>
                </c:pt>
                <c:pt idx="347">
                  <c:v>165</c:v>
                </c:pt>
                <c:pt idx="348">
                  <c:v>165</c:v>
                </c:pt>
                <c:pt idx="349">
                  <c:v>165</c:v>
                </c:pt>
                <c:pt idx="350">
                  <c:v>165</c:v>
                </c:pt>
                <c:pt idx="351">
                  <c:v>165</c:v>
                </c:pt>
                <c:pt idx="352">
                  <c:v>165</c:v>
                </c:pt>
                <c:pt idx="353">
                  <c:v>165</c:v>
                </c:pt>
                <c:pt idx="354">
                  <c:v>165</c:v>
                </c:pt>
                <c:pt idx="355">
                  <c:v>165</c:v>
                </c:pt>
                <c:pt idx="356">
                  <c:v>165</c:v>
                </c:pt>
                <c:pt idx="357">
                  <c:v>165</c:v>
                </c:pt>
                <c:pt idx="358">
                  <c:v>165</c:v>
                </c:pt>
                <c:pt idx="359">
                  <c:v>165</c:v>
                </c:pt>
                <c:pt idx="360">
                  <c:v>165</c:v>
                </c:pt>
                <c:pt idx="361">
                  <c:v>165</c:v>
                </c:pt>
                <c:pt idx="362">
                  <c:v>165</c:v>
                </c:pt>
                <c:pt idx="363">
                  <c:v>165</c:v>
                </c:pt>
                <c:pt idx="364">
                  <c:v>165</c:v>
                </c:pt>
              </c:numCache>
            </c:numRef>
          </c:val>
          <c:smooth val="0"/>
          <c:extLst>
            <c:ext xmlns:c16="http://schemas.microsoft.com/office/drawing/2014/chart" uri="{C3380CC4-5D6E-409C-BE32-E72D297353CC}">
              <c16:uniqueId val="{00000005-4DCD-41BE-9E09-B9ED9D62730A}"/>
            </c:ext>
          </c:extLst>
        </c:ser>
        <c:dLbls>
          <c:showLegendKey val="0"/>
          <c:showVal val="0"/>
          <c:showCatName val="0"/>
          <c:showSerName val="0"/>
          <c:showPercent val="0"/>
          <c:showBubbleSize val="0"/>
        </c:dLbls>
        <c:marker val="1"/>
        <c:smooth val="0"/>
        <c:axId val="1410714144"/>
        <c:axId val="1"/>
      </c:lineChart>
      <c:dateAx>
        <c:axId val="1410714144"/>
        <c:scaling>
          <c:orientation val="minMax"/>
        </c:scaling>
        <c:delete val="0"/>
        <c:axPos val="b"/>
        <c:numFmt formatCode="d/mm/yyyy" sourceLinked="0"/>
        <c:majorTickMark val="out"/>
        <c:minorTickMark val="none"/>
        <c:tickLblPos val="nextTo"/>
        <c:spPr>
          <a:noFill/>
          <a:ln w="9525" cap="flat" cmpd="sng" algn="ctr">
            <a:solidFill>
              <a:schemeClr val="tx1">
                <a:lumMod val="15000"/>
                <a:lumOff val="85000"/>
              </a:schemeClr>
            </a:solidFill>
            <a:round/>
          </a:ln>
          <a:effectLst/>
        </c:spPr>
        <c:txPr>
          <a:bodyPr rot="-5400000" vert="horz"/>
          <a:lstStyle/>
          <a:p>
            <a:pPr>
              <a:defRPr sz="900" b="0" i="0" u="none" strike="noStrike" baseline="0">
                <a:solidFill>
                  <a:srgbClr val="333333"/>
                </a:solidFill>
                <a:latin typeface="Arial"/>
                <a:ea typeface="Arial"/>
                <a:cs typeface="Arial"/>
              </a:defRPr>
            </a:pPr>
            <a:endParaRPr lang="en-US"/>
          </a:p>
        </c:txPr>
        <c:crossAx val="1"/>
        <c:crosses val="autoZero"/>
        <c:auto val="1"/>
        <c:lblOffset val="100"/>
        <c:baseTimeUnit val="days"/>
        <c:majorUnit val="4"/>
        <c:minorUnit val="1"/>
      </c:dateAx>
      <c:valAx>
        <c:axId val="1"/>
        <c:scaling>
          <c:orientation val="minMax"/>
        </c:scaling>
        <c:delete val="0"/>
        <c:axPos val="l"/>
        <c:majorGridlines>
          <c:spPr>
            <a:ln w="9525" cap="flat" cmpd="sng" algn="ct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c:spPr>
        </c:majorGridlines>
        <c:numFmt formatCode="_(* #,##0_);_(* \(#,##0\);_(* &quot;-&quot;_);_(@_)" sourceLinked="1"/>
        <c:majorTickMark val="none"/>
        <c:minorTickMark val="none"/>
        <c:tickLblPos val="nextTo"/>
        <c:spPr>
          <a:ln w="9525">
            <a:noFill/>
          </a:ln>
        </c:spPr>
        <c:txPr>
          <a:bodyPr rot="0" vert="horz"/>
          <a:lstStyle/>
          <a:p>
            <a:pPr>
              <a:defRPr sz="1200" b="0" i="0" u="none" strike="noStrike" baseline="0">
                <a:solidFill>
                  <a:srgbClr val="333333"/>
                </a:solidFill>
                <a:latin typeface="Calibri"/>
                <a:ea typeface="Calibri"/>
                <a:cs typeface="Calibri"/>
              </a:defRPr>
            </a:pPr>
            <a:endParaRPr lang="en-US"/>
          </a:p>
        </c:txPr>
        <c:crossAx val="1410714144"/>
        <c:crosses val="autoZero"/>
        <c:crossBetween val="between"/>
      </c:valAx>
      <c:spPr>
        <a:noFill/>
        <a:ln w="25400">
          <a:noFill/>
        </a:ln>
      </c:spPr>
    </c:plotArea>
    <c:legend>
      <c:legendPos val="b"/>
      <c:layout>
        <c:manualLayout>
          <c:xMode val="edge"/>
          <c:yMode val="edge"/>
          <c:x val="5.9755804680410293E-2"/>
          <c:y val="0.93648189238190627"/>
          <c:w val="0.87876160706919781"/>
          <c:h val="4.4365987917345695E-2"/>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Pricing benchmarks</a:t>
            </a:r>
          </a:p>
        </c:rich>
      </c:tx>
      <c:overlay val="0"/>
      <c:spPr>
        <a:noFill/>
        <a:ln w="25400">
          <a:noFill/>
        </a:ln>
      </c:spPr>
    </c:title>
    <c:autoTitleDeleted val="0"/>
    <c:plotArea>
      <c:layout/>
      <c:barChart>
        <c:barDir val="col"/>
        <c:grouping val="stacked"/>
        <c:varyColors val="0"/>
        <c:ser>
          <c:idx val="0"/>
          <c:order val="0"/>
          <c:tx>
            <c:strRef>
              <c:f>'6. Pricing template'!$D$36</c:f>
              <c:strCache>
                <c:ptCount val="1"/>
                <c:pt idx="0">
                  <c:v>Fixed operating costs per unit</c:v>
                </c:pt>
              </c:strCache>
            </c:strRef>
          </c:tx>
          <c:spPr>
            <a:solidFill>
              <a:srgbClr val="2B7AAF"/>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FFFFFF"/>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template'!$D$37:$D$56</c:f>
              <c:numCache>
                <c:formatCode>_(* #,##0.0000_);_(* \(#,##0.0000\);_(* "-"_);_(@_)</c:formatCode>
                <c:ptCount val="20"/>
                <c:pt idx="0">
                  <c:v>0.22477837304494941</c:v>
                </c:pt>
                <c:pt idx="1">
                  <c:v>0.2626581504321</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AF92-4033-B792-FB7636677001}"/>
            </c:ext>
          </c:extLst>
        </c:ser>
        <c:ser>
          <c:idx val="1"/>
          <c:order val="1"/>
          <c:tx>
            <c:strRef>
              <c:f>'6. Pricing template'!$E$36</c:f>
              <c:strCache>
                <c:ptCount val="1"/>
                <c:pt idx="0">
                  <c:v>Return of capital per unit</c:v>
                </c:pt>
              </c:strCache>
            </c:strRef>
          </c:tx>
          <c:spPr>
            <a:solidFill>
              <a:schemeClr val="accent6">
                <a:lumMod val="60000"/>
                <a:lumOff val="40000"/>
              </a:schemeClr>
            </a:solidFill>
            <a:ln>
              <a:noFill/>
            </a:ln>
            <a:effectLst/>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template'!$E$37:$E$56</c:f>
              <c:numCache>
                <c:formatCode>_(* #,##0.0000_);_(* \(#,##0.0000\);_(* "-"_);_(@_)</c:formatCode>
                <c:ptCount val="20"/>
                <c:pt idx="0">
                  <c:v>0</c:v>
                </c:pt>
                <c:pt idx="1">
                  <c:v>9.7985127270900793E-2</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1-AF92-4033-B792-FB7636677001}"/>
            </c:ext>
          </c:extLst>
        </c:ser>
        <c:ser>
          <c:idx val="2"/>
          <c:order val="2"/>
          <c:tx>
            <c:strRef>
              <c:f>'6. Pricing template'!$F$36</c:f>
              <c:strCache>
                <c:ptCount val="1"/>
                <c:pt idx="0">
                  <c:v>Return on capital &amp; Tax per unit</c:v>
                </c:pt>
              </c:strCache>
            </c:strRef>
          </c:tx>
          <c:spPr>
            <a:solidFill>
              <a:srgbClr val="FFECC9"/>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template'!$F$37:$F$56</c:f>
              <c:numCache>
                <c:formatCode>_(* #,##0.0000_);_(* \(#,##0.0000\);_(* "-"_);_(@_)</c:formatCode>
                <c:ptCount val="20"/>
                <c:pt idx="0">
                  <c:v>0.13761124313371265</c:v>
                </c:pt>
                <c:pt idx="1">
                  <c:v>0.13761124313371265</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2-AF92-4033-B792-FB7636677001}"/>
            </c:ext>
          </c:extLst>
        </c:ser>
        <c:dLbls>
          <c:showLegendKey val="0"/>
          <c:showVal val="0"/>
          <c:showCatName val="0"/>
          <c:showSerName val="0"/>
          <c:showPercent val="0"/>
          <c:showBubbleSize val="0"/>
        </c:dLbls>
        <c:gapWidth val="34"/>
        <c:overlap val="100"/>
        <c:axId val="1410706464"/>
        <c:axId val="1"/>
      </c:barChart>
      <c:lineChart>
        <c:grouping val="standard"/>
        <c:varyColors val="0"/>
        <c:ser>
          <c:idx val="3"/>
          <c:order val="3"/>
          <c:tx>
            <c:strRef>
              <c:f>'6. Pricing template'!$G$36</c:f>
              <c:strCache>
                <c:ptCount val="1"/>
                <c:pt idx="0">
                  <c:v>Total cost per unit</c:v>
                </c:pt>
              </c:strCache>
            </c:strRef>
          </c:tx>
          <c:spPr>
            <a:ln w="28575">
              <a:noFill/>
            </a:ln>
          </c:spPr>
          <c:marker>
            <c:symbol val="none"/>
          </c:marker>
          <c:dLbls>
            <c:numFmt formatCode="_-\$* #,##0.0000_-;\-\$* #,##0.0000_-;_-\$* &quot;-&quot;????_-;_-@_-" sourceLinked="0"/>
            <c:spPr>
              <a:noFill/>
              <a:ln w="25400">
                <a:noFill/>
              </a:ln>
            </c:spPr>
            <c:txPr>
              <a:bodyPr wrap="square" lIns="38100" tIns="19050" rIns="38100" bIns="19050" anchor="ctr">
                <a:spAutoFit/>
              </a:bodyPr>
              <a:lstStyle/>
              <a:p>
                <a:pPr>
                  <a:defRPr sz="1200" b="1" i="0" u="none" strike="noStrike" baseline="0">
                    <a:solidFill>
                      <a:srgbClr val="333333"/>
                    </a:solidFill>
                    <a:latin typeface="Calibri"/>
                    <a:ea typeface="Calibri"/>
                    <a:cs typeface="Calibri"/>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template'!$B$37:$C$54</c:f>
              <c:multiLvlStrCache>
                <c:ptCount val="18"/>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lvl>
              </c:multiLvlStrCache>
            </c:multiLvlStrRef>
          </c:cat>
          <c:val>
            <c:numRef>
              <c:f>'6. Pricing template'!$G$37:$G$56</c:f>
              <c:numCache>
                <c:formatCode>_(* #,##0.0000_);_(* \(#,##0.0000\);_(* "-"_);_(@_)</c:formatCode>
                <c:ptCount val="20"/>
                <c:pt idx="0">
                  <c:v>0.36238961617866206</c:v>
                </c:pt>
                <c:pt idx="1">
                  <c:v>0.49825452083671345</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3-AF92-4033-B792-FB7636677001}"/>
            </c:ext>
          </c:extLst>
        </c:ser>
        <c:dLbls>
          <c:showLegendKey val="0"/>
          <c:showVal val="0"/>
          <c:showCatName val="0"/>
          <c:showSerName val="0"/>
          <c:showPercent val="0"/>
          <c:showBubbleSize val="0"/>
        </c:dLbls>
        <c:marker val="1"/>
        <c:smooth val="0"/>
        <c:axId val="1410706464"/>
        <c:axId val="1"/>
      </c:lineChart>
      <c:catAx>
        <c:axId val="1410706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1000" b="0" i="0" u="none" strike="noStrike" baseline="0">
                <a:solidFill>
                  <a:srgbClr val="333333"/>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sz="1100" b="1" i="0" u="none" strike="noStrike" baseline="0">
                    <a:solidFill>
                      <a:srgbClr val="000000"/>
                    </a:solidFill>
                    <a:latin typeface="Calibri"/>
                    <a:ea typeface="Calibri"/>
                    <a:cs typeface="Calibri"/>
                  </a:defRPr>
                </a:pPr>
                <a:r>
                  <a:rPr lang="en-AU"/>
                  <a:t>Benchmark Prices ($)</a:t>
                </a:r>
              </a:p>
            </c:rich>
          </c:tx>
          <c:overlay val="0"/>
        </c:title>
        <c:numFmt formatCode="_(* #,##0.0000_);_(* \(#,##0.0000\);_(* &quot;-&quot;_);_(@_)" sourceLinked="1"/>
        <c:majorTickMark val="none"/>
        <c:minorTickMark val="none"/>
        <c:tickLblPos val="nextTo"/>
        <c:spPr>
          <a:ln w="9525">
            <a:noFill/>
          </a:ln>
        </c:spPr>
        <c:txPr>
          <a:bodyPr rot="0" vert="horz"/>
          <a:lstStyle/>
          <a:p>
            <a:pPr>
              <a:defRPr sz="1000" b="0" i="0" u="none" strike="noStrike" baseline="0">
                <a:solidFill>
                  <a:srgbClr val="333333"/>
                </a:solidFill>
                <a:latin typeface="Arial"/>
                <a:ea typeface="Arial"/>
                <a:cs typeface="Arial"/>
              </a:defRPr>
            </a:pPr>
            <a:endParaRPr lang="en-US"/>
          </a:p>
        </c:txPr>
        <c:crossAx val="1410706464"/>
        <c:crosses val="autoZero"/>
        <c:crossBetween val="between"/>
      </c:valAx>
      <c:spPr>
        <a:noFill/>
        <a:ln w="25400">
          <a:noFill/>
        </a:ln>
      </c:spPr>
    </c:plotArea>
    <c:legend>
      <c:legendPos val="b"/>
      <c:legendEntry>
        <c:idx val="3"/>
        <c:delete val="1"/>
      </c:legendEntry>
      <c:layout>
        <c:manualLayout>
          <c:xMode val="edge"/>
          <c:yMode val="edge"/>
          <c:x val="0.20452611387981395"/>
          <c:y val="0.9654367050272562"/>
          <c:w val="0.61131849620021073"/>
          <c:h val="2.4940468979839037E-2"/>
        </c:manualLayout>
      </c:layout>
      <c:overlay val="0"/>
      <c:spPr>
        <a:noFill/>
        <a:ln w="25400">
          <a:noFill/>
        </a:ln>
      </c:spPr>
      <c:txPr>
        <a:bodyPr/>
        <a:lstStyle/>
        <a:p>
          <a:pPr>
            <a:defRPr sz="850"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png"/><Relationship Id="rId4" Type="http://schemas.openxmlformats.org/officeDocument/2006/relationships/hyperlink" Target="#Contents!A1"/></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Contents!A1"/><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0</xdr:col>
      <xdr:colOff>69850</xdr:colOff>
      <xdr:row>0</xdr:row>
      <xdr:rowOff>38100</xdr:rowOff>
    </xdr:from>
    <xdr:to>
      <xdr:col>1</xdr:col>
      <xdr:colOff>285750</xdr:colOff>
      <xdr:row>0</xdr:row>
      <xdr:rowOff>723900</xdr:rowOff>
    </xdr:to>
    <xdr:pic>
      <xdr:nvPicPr>
        <xdr:cNvPr id="2970706" name="Picture 2">
          <a:extLst>
            <a:ext uri="{FF2B5EF4-FFF2-40B4-BE49-F238E27FC236}">
              <a16:creationId xmlns:a16="http://schemas.microsoft.com/office/drawing/2014/main" id="{CC81CCA5-FF57-7F55-E4D4-730F83D8FA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50" y="38100"/>
          <a:ext cx="30797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3175</xdr:colOff>
      <xdr:row>3</xdr:row>
      <xdr:rowOff>82550</xdr:rowOff>
    </xdr:to>
    <xdr:pic>
      <xdr:nvPicPr>
        <xdr:cNvPr id="1728889" name="Picture 1">
          <a:hlinkClick xmlns:r="http://schemas.openxmlformats.org/officeDocument/2006/relationships" r:id="rId1"/>
          <a:extLst>
            <a:ext uri="{FF2B5EF4-FFF2-40B4-BE49-F238E27FC236}">
              <a16:creationId xmlns:a16="http://schemas.microsoft.com/office/drawing/2014/main" id="{C613A60A-D571-A672-B81C-505D6D31F06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2800" cy="84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7</xdr:row>
      <xdr:rowOff>0</xdr:rowOff>
    </xdr:from>
    <xdr:to>
      <xdr:col>6</xdr:col>
      <xdr:colOff>273050</xdr:colOff>
      <xdr:row>56</xdr:row>
      <xdr:rowOff>133350</xdr:rowOff>
    </xdr:to>
    <xdr:graphicFrame macro="">
      <xdr:nvGraphicFramePr>
        <xdr:cNvPr id="2798052" name="Chart 7">
          <a:extLst>
            <a:ext uri="{FF2B5EF4-FFF2-40B4-BE49-F238E27FC236}">
              <a16:creationId xmlns:a16="http://schemas.microsoft.com/office/drawing/2014/main" id="{AA98851B-9B16-C349-8DCF-D3B133F7A6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285750</xdr:colOff>
      <xdr:row>7</xdr:row>
      <xdr:rowOff>6350</xdr:rowOff>
    </xdr:from>
    <xdr:to>
      <xdr:col>9</xdr:col>
      <xdr:colOff>5207000</xdr:colOff>
      <xdr:row>56</xdr:row>
      <xdr:rowOff>133350</xdr:rowOff>
    </xdr:to>
    <xdr:graphicFrame macro="">
      <xdr:nvGraphicFramePr>
        <xdr:cNvPr id="2798053" name="Chart 8">
          <a:extLst>
            <a:ext uri="{FF2B5EF4-FFF2-40B4-BE49-F238E27FC236}">
              <a16:creationId xmlns:a16="http://schemas.microsoft.com/office/drawing/2014/main" id="{4C934B4F-837E-726A-DB21-E2BE8BD77B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12700</xdr:colOff>
      <xdr:row>59</xdr:row>
      <xdr:rowOff>57150</xdr:rowOff>
    </xdr:from>
    <xdr:to>
      <xdr:col>9</xdr:col>
      <xdr:colOff>406400</xdr:colOff>
      <xdr:row>108</xdr:row>
      <xdr:rowOff>6350</xdr:rowOff>
    </xdr:to>
    <xdr:graphicFrame macro="">
      <xdr:nvGraphicFramePr>
        <xdr:cNvPr id="2798054" name="Chart 11">
          <a:extLst>
            <a:ext uri="{FF2B5EF4-FFF2-40B4-BE49-F238E27FC236}">
              <a16:creationId xmlns:a16="http://schemas.microsoft.com/office/drawing/2014/main" id="{57FA7121-6F54-B746-68B5-3F2244E8A1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0</xdr:row>
      <xdr:rowOff>0</xdr:rowOff>
    </xdr:from>
    <xdr:to>
      <xdr:col>1</xdr:col>
      <xdr:colOff>0</xdr:colOff>
      <xdr:row>3</xdr:row>
      <xdr:rowOff>57150</xdr:rowOff>
    </xdr:to>
    <xdr:pic>
      <xdr:nvPicPr>
        <xdr:cNvPr id="2798055" name="Picture 1">
          <a:hlinkClick xmlns:r="http://schemas.openxmlformats.org/officeDocument/2006/relationships" r:id="rId4"/>
          <a:extLst>
            <a:ext uri="{FF2B5EF4-FFF2-40B4-BE49-F238E27FC236}">
              <a16:creationId xmlns:a16="http://schemas.microsoft.com/office/drawing/2014/main" id="{AE72FB7B-0955-EE7B-8516-8ED0C194EDD7}"/>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819150" cy="850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21</xdr:row>
      <xdr:rowOff>0</xdr:rowOff>
    </xdr:from>
    <xdr:to>
      <xdr:col>6</xdr:col>
      <xdr:colOff>781050</xdr:colOff>
      <xdr:row>91</xdr:row>
      <xdr:rowOff>133350</xdr:rowOff>
    </xdr:to>
    <xdr:graphicFrame macro="">
      <xdr:nvGraphicFramePr>
        <xdr:cNvPr id="2816235" name="Chart 1">
          <a:extLst>
            <a:ext uri="{FF2B5EF4-FFF2-40B4-BE49-F238E27FC236}">
              <a16:creationId xmlns:a16="http://schemas.microsoft.com/office/drawing/2014/main" id="{A80E4D90-7B16-F84C-631E-A0590EDBDE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1</xdr:col>
      <xdr:colOff>3175</xdr:colOff>
      <xdr:row>3</xdr:row>
      <xdr:rowOff>82550</xdr:rowOff>
    </xdr:to>
    <xdr:pic>
      <xdr:nvPicPr>
        <xdr:cNvPr id="2816236" name="Picture 1">
          <a:hlinkClick xmlns:r="http://schemas.openxmlformats.org/officeDocument/2006/relationships" r:id="rId2"/>
          <a:extLst>
            <a:ext uri="{FF2B5EF4-FFF2-40B4-BE49-F238E27FC236}">
              <a16:creationId xmlns:a16="http://schemas.microsoft.com/office/drawing/2014/main" id="{8115DDF1-B3FE-CF5D-31B3-F5C589A185B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2800" cy="84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953811" name="Group 1">
          <a:extLst>
            <a:ext uri="{FF2B5EF4-FFF2-40B4-BE49-F238E27FC236}">
              <a16:creationId xmlns:a16="http://schemas.microsoft.com/office/drawing/2014/main" id="{4537CBF9-217E-34B2-E0DF-7ABFBD193169}"/>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B656342D-0B71-6C88-2CFF-244AEE26C92B}"/>
              </a:ext>
            </a:extLst>
          </xdr:cNvPr>
          <xdr:cNvSpPr>
            <a:spLocks noChangeArrowheads="1"/>
          </xdr:cNvSpPr>
        </xdr:nvSpPr>
        <xdr:spPr bwMode="auto">
          <a:xfrm>
            <a:off x="-691261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953817" name="Picture 3">
            <a:extLst>
              <a:ext uri="{FF2B5EF4-FFF2-40B4-BE49-F238E27FC236}">
                <a16:creationId xmlns:a16="http://schemas.microsoft.com/office/drawing/2014/main" id="{23C0236F-CF55-B415-9615-EA5270C8554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2953812" name="Group 7">
          <a:extLst>
            <a:ext uri="{FF2B5EF4-FFF2-40B4-BE49-F238E27FC236}">
              <a16:creationId xmlns:a16="http://schemas.microsoft.com/office/drawing/2014/main" id="{EFA30B42-A956-F19C-64D4-BACC85474FFA}"/>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88A336C5-A5EF-A44D-8436-DA3AD45A8997}"/>
              </a:ext>
            </a:extLst>
          </xdr:cNvPr>
          <xdr:cNvSpPr>
            <a:spLocks noChangeArrowheads="1"/>
          </xdr:cNvSpPr>
        </xdr:nvSpPr>
        <xdr:spPr bwMode="auto">
          <a:xfrm>
            <a:off x="-691261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953815" name="Picture 9">
            <a:extLst>
              <a:ext uri="{FF2B5EF4-FFF2-40B4-BE49-F238E27FC236}">
                <a16:creationId xmlns:a16="http://schemas.microsoft.com/office/drawing/2014/main" id="{4469D435-4EA0-9BD8-61EB-B358FF0879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1</xdr:col>
      <xdr:colOff>0</xdr:colOff>
      <xdr:row>3</xdr:row>
      <xdr:rowOff>44450</xdr:rowOff>
    </xdr:to>
    <xdr:pic>
      <xdr:nvPicPr>
        <xdr:cNvPr id="2953813" name="Picture 1">
          <a:hlinkClick xmlns:r="http://schemas.openxmlformats.org/officeDocument/2006/relationships" r:id="rId1"/>
          <a:extLst>
            <a:ext uri="{FF2B5EF4-FFF2-40B4-BE49-F238E27FC236}">
              <a16:creationId xmlns:a16="http://schemas.microsoft.com/office/drawing/2014/main" id="{0BD29F10-34A5-D712-F646-DB8C0FC622E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9150" cy="84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101600</xdr:rowOff>
    </xdr:to>
    <xdr:pic>
      <xdr:nvPicPr>
        <xdr:cNvPr id="1736057" name="Picture 1">
          <a:hlinkClick xmlns:r="http://schemas.openxmlformats.org/officeDocument/2006/relationships" r:id="rId1"/>
          <a:extLst>
            <a:ext uri="{FF2B5EF4-FFF2-40B4-BE49-F238E27FC236}">
              <a16:creationId xmlns:a16="http://schemas.microsoft.com/office/drawing/2014/main" id="{0930CAA9-4151-84EA-08E9-686416468DC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85725</xdr:rowOff>
    </xdr:to>
    <xdr:pic>
      <xdr:nvPicPr>
        <xdr:cNvPr id="1737081" name="Picture 1">
          <a:hlinkClick xmlns:r="http://schemas.openxmlformats.org/officeDocument/2006/relationships" r:id="rId1"/>
          <a:extLst>
            <a:ext uri="{FF2B5EF4-FFF2-40B4-BE49-F238E27FC236}">
              <a16:creationId xmlns:a16="http://schemas.microsoft.com/office/drawing/2014/main" id="{2F3FE189-E822-E97B-9492-9636BF9060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84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82550</xdr:rowOff>
    </xdr:to>
    <xdr:pic>
      <xdr:nvPicPr>
        <xdr:cNvPr id="1738111" name="Picture 3">
          <a:hlinkClick xmlns:r="http://schemas.openxmlformats.org/officeDocument/2006/relationships" r:id="rId1"/>
          <a:extLst>
            <a:ext uri="{FF2B5EF4-FFF2-40B4-BE49-F238E27FC236}">
              <a16:creationId xmlns:a16="http://schemas.microsoft.com/office/drawing/2014/main" id="{899DE6DC-C534-A6D4-AEC7-483CC7E103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84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803172" name="Group 1">
          <a:extLst>
            <a:ext uri="{FF2B5EF4-FFF2-40B4-BE49-F238E27FC236}">
              <a16:creationId xmlns:a16="http://schemas.microsoft.com/office/drawing/2014/main" id="{3E97AB60-A1EC-B30F-48D1-0FD34A2D0369}"/>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D495AF23-AFB4-A429-745D-A127244F2356}"/>
              </a:ext>
            </a:extLst>
          </xdr:cNvPr>
          <xdr:cNvSpPr>
            <a:spLocks noChangeArrowheads="1"/>
          </xdr:cNvSpPr>
        </xdr:nvSpPr>
        <xdr:spPr bwMode="auto">
          <a:xfrm>
            <a:off x="-691261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03175" name="Picture 3">
            <a:extLst>
              <a:ext uri="{FF2B5EF4-FFF2-40B4-BE49-F238E27FC236}">
                <a16:creationId xmlns:a16="http://schemas.microsoft.com/office/drawing/2014/main" id="{66C83B10-5790-06E8-E8E3-49C1875232A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1</xdr:col>
      <xdr:colOff>0</xdr:colOff>
      <xdr:row>3</xdr:row>
      <xdr:rowOff>82550</xdr:rowOff>
    </xdr:to>
    <xdr:pic>
      <xdr:nvPicPr>
        <xdr:cNvPr id="2803173" name="Picture 1">
          <a:hlinkClick xmlns:r="http://schemas.openxmlformats.org/officeDocument/2006/relationships" r:id="rId1"/>
          <a:extLst>
            <a:ext uri="{FF2B5EF4-FFF2-40B4-BE49-F238E27FC236}">
              <a16:creationId xmlns:a16="http://schemas.microsoft.com/office/drawing/2014/main" id="{4C4E2EF4-D7D5-BFE1-9FA9-4DF26718E2D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9150" cy="84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825500</xdr:colOff>
      <xdr:row>3</xdr:row>
      <xdr:rowOff>76200</xdr:rowOff>
    </xdr:to>
    <xdr:pic>
      <xdr:nvPicPr>
        <xdr:cNvPr id="1740153" name="Picture 1">
          <a:hlinkClick xmlns:r="http://schemas.openxmlformats.org/officeDocument/2006/relationships" r:id="rId1"/>
          <a:extLst>
            <a:ext uri="{FF2B5EF4-FFF2-40B4-BE49-F238E27FC236}">
              <a16:creationId xmlns:a16="http://schemas.microsoft.com/office/drawing/2014/main" id="{C32C839A-82FA-F336-51D1-72292C0464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255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38100</xdr:rowOff>
    </xdr:to>
    <xdr:pic>
      <xdr:nvPicPr>
        <xdr:cNvPr id="1741177" name="Picture 1">
          <a:hlinkClick xmlns:r="http://schemas.openxmlformats.org/officeDocument/2006/relationships" r:id="rId1"/>
          <a:extLst>
            <a:ext uri="{FF2B5EF4-FFF2-40B4-BE49-F238E27FC236}">
              <a16:creationId xmlns:a16="http://schemas.microsoft.com/office/drawing/2014/main" id="{0D6A7AD6-2E3E-6D8D-71E3-3409F4BCE6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85725</xdr:rowOff>
    </xdr:to>
    <xdr:pic>
      <xdr:nvPicPr>
        <xdr:cNvPr id="1742230" name="Picture 1">
          <a:hlinkClick xmlns:r="http://schemas.openxmlformats.org/officeDocument/2006/relationships" r:id="rId1"/>
          <a:extLst>
            <a:ext uri="{FF2B5EF4-FFF2-40B4-BE49-F238E27FC236}">
              <a16:creationId xmlns:a16="http://schemas.microsoft.com/office/drawing/2014/main" id="{F8AE102F-9418-95EE-62AB-2B72479409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84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82550</xdr:rowOff>
    </xdr:to>
    <xdr:pic>
      <xdr:nvPicPr>
        <xdr:cNvPr id="1360313" name="Picture 1">
          <a:hlinkClick xmlns:r="http://schemas.openxmlformats.org/officeDocument/2006/relationships" r:id="rId1"/>
          <a:extLst>
            <a:ext uri="{FF2B5EF4-FFF2-40B4-BE49-F238E27FC236}">
              <a16:creationId xmlns:a16="http://schemas.microsoft.com/office/drawing/2014/main" id="{9C136616-01E8-AD3A-04B3-E1AB04A82E7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84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85725</xdr:rowOff>
    </xdr:to>
    <xdr:pic>
      <xdr:nvPicPr>
        <xdr:cNvPr id="1743225" name="Picture 1">
          <a:hlinkClick xmlns:r="http://schemas.openxmlformats.org/officeDocument/2006/relationships" r:id="rId1"/>
          <a:extLst>
            <a:ext uri="{FF2B5EF4-FFF2-40B4-BE49-F238E27FC236}">
              <a16:creationId xmlns:a16="http://schemas.microsoft.com/office/drawing/2014/main" id="{75091BEA-B880-1CC3-7A56-E890CF4377C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84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875094" name="Group 1">
          <a:extLst>
            <a:ext uri="{FF2B5EF4-FFF2-40B4-BE49-F238E27FC236}">
              <a16:creationId xmlns:a16="http://schemas.microsoft.com/office/drawing/2014/main" id="{A8989877-D6B3-958C-2D6C-DF2A64FED29D}"/>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553FE2FC-5E77-0270-BEF1-C6F0CB9B7F54}"/>
              </a:ext>
            </a:extLst>
          </xdr:cNvPr>
          <xdr:cNvSpPr>
            <a:spLocks noChangeArrowheads="1"/>
          </xdr:cNvSpPr>
        </xdr:nvSpPr>
        <xdr:spPr bwMode="auto">
          <a:xfrm>
            <a:off x="-691261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75100" name="Picture 3">
            <a:extLst>
              <a:ext uri="{FF2B5EF4-FFF2-40B4-BE49-F238E27FC236}">
                <a16:creationId xmlns:a16="http://schemas.microsoft.com/office/drawing/2014/main" id="{0741874F-D536-A8FD-7767-710903D350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2875095" name="Group 7">
          <a:extLst>
            <a:ext uri="{FF2B5EF4-FFF2-40B4-BE49-F238E27FC236}">
              <a16:creationId xmlns:a16="http://schemas.microsoft.com/office/drawing/2014/main" id="{6FDB0B1E-86B9-802D-F58C-21F4B68E05D9}"/>
            </a:ext>
          </a:extLst>
        </xdr:cNvPr>
        <xdr:cNvGrpSpPr>
          <a:grpSpLocks/>
        </xdr:cNvGrpSpPr>
      </xdr:nvGrpSpPr>
      <xdr:grpSpPr bwMode="auto">
        <a:xfrm>
          <a:off x="0" y="0"/>
          <a:ext cx="8001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52151B51-0EB4-B2E5-B272-DA9C95378C39}"/>
              </a:ext>
            </a:extLst>
          </xdr:cNvPr>
          <xdr:cNvSpPr>
            <a:spLocks noChangeArrowheads="1"/>
          </xdr:cNvSpPr>
        </xdr:nvSpPr>
        <xdr:spPr bwMode="auto">
          <a:xfrm>
            <a:off x="-691261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75098" name="Picture 9">
            <a:extLst>
              <a:ext uri="{FF2B5EF4-FFF2-40B4-BE49-F238E27FC236}">
                <a16:creationId xmlns:a16="http://schemas.microsoft.com/office/drawing/2014/main" id="{B81C6783-E41F-D30E-7A1A-F73494CF9FB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1</xdr:col>
      <xdr:colOff>0</xdr:colOff>
      <xdr:row>3</xdr:row>
      <xdr:rowOff>114300</xdr:rowOff>
    </xdr:to>
    <xdr:pic>
      <xdr:nvPicPr>
        <xdr:cNvPr id="2875096" name="Picture 1">
          <a:hlinkClick xmlns:r="http://schemas.openxmlformats.org/officeDocument/2006/relationships" r:id="rId1"/>
          <a:extLst>
            <a:ext uri="{FF2B5EF4-FFF2-40B4-BE49-F238E27FC236}">
              <a16:creationId xmlns:a16="http://schemas.microsoft.com/office/drawing/2014/main" id="{BFCC0D36-2686-0208-138E-142840C883F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9150" cy="850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3</xdr:row>
      <xdr:rowOff>76200</xdr:rowOff>
    </xdr:to>
    <xdr:pic>
      <xdr:nvPicPr>
        <xdr:cNvPr id="1744254" name="Picture 1">
          <a:hlinkClick xmlns:r="http://schemas.openxmlformats.org/officeDocument/2006/relationships" r:id="rId1"/>
          <a:extLst>
            <a:ext uri="{FF2B5EF4-FFF2-40B4-BE49-F238E27FC236}">
              <a16:creationId xmlns:a16="http://schemas.microsoft.com/office/drawing/2014/main" id="{10FFED3B-7D37-E4A1-6261-F9B631C8AEC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82550</xdr:rowOff>
    </xdr:to>
    <xdr:pic>
      <xdr:nvPicPr>
        <xdr:cNvPr id="1745274" name="Picture 1">
          <a:hlinkClick xmlns:r="http://schemas.openxmlformats.org/officeDocument/2006/relationships" r:id="rId1"/>
          <a:extLst>
            <a:ext uri="{FF2B5EF4-FFF2-40B4-BE49-F238E27FC236}">
              <a16:creationId xmlns:a16="http://schemas.microsoft.com/office/drawing/2014/main" id="{5765090A-5B3C-6B5B-B85A-C1DB32EB9C9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84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407094</xdr:colOff>
      <xdr:row>62</xdr:row>
      <xdr:rowOff>19050</xdr:rowOff>
    </xdr:to>
    <xdr:pic>
      <xdr:nvPicPr>
        <xdr:cNvPr id="2" name="Picture 1">
          <a:extLst>
            <a:ext uri="{FF2B5EF4-FFF2-40B4-BE49-F238E27FC236}">
              <a16:creationId xmlns:a16="http://schemas.microsoft.com/office/drawing/2014/main" id="{DB258363-2795-47D9-A415-187660FF03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15869" cy="10058400"/>
        </a:xfrm>
        <a:prstGeom prst="rect">
          <a:avLst/>
        </a:prstGeom>
      </xdr:spPr>
    </xdr:pic>
    <xdr:clientData/>
  </xdr:twoCellAnchor>
  <xdr:twoCellAnchor editAs="oneCell">
    <xdr:from>
      <xdr:col>12</xdr:col>
      <xdr:colOff>0</xdr:colOff>
      <xdr:row>0</xdr:row>
      <xdr:rowOff>0</xdr:rowOff>
    </xdr:from>
    <xdr:to>
      <xdr:col>23</xdr:col>
      <xdr:colOff>407094</xdr:colOff>
      <xdr:row>62</xdr:row>
      <xdr:rowOff>19050</xdr:rowOff>
    </xdr:to>
    <xdr:pic>
      <xdr:nvPicPr>
        <xdr:cNvPr id="3" name="Picture 2">
          <a:extLst>
            <a:ext uri="{FF2B5EF4-FFF2-40B4-BE49-F238E27FC236}">
              <a16:creationId xmlns:a16="http://schemas.microsoft.com/office/drawing/2014/main" id="{0200A0EE-6725-4F42-94B5-11BC7F72F4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0"/>
          <a:ext cx="7115869" cy="10058400"/>
        </a:xfrm>
        <a:prstGeom prst="rect">
          <a:avLst/>
        </a:prstGeom>
      </xdr:spPr>
    </xdr:pic>
    <xdr:clientData/>
  </xdr:twoCellAnchor>
  <xdr:twoCellAnchor editAs="oneCell">
    <xdr:from>
      <xdr:col>24</xdr:col>
      <xdr:colOff>0</xdr:colOff>
      <xdr:row>0</xdr:row>
      <xdr:rowOff>0</xdr:rowOff>
    </xdr:from>
    <xdr:to>
      <xdr:col>35</xdr:col>
      <xdr:colOff>407094</xdr:colOff>
      <xdr:row>62</xdr:row>
      <xdr:rowOff>19050</xdr:rowOff>
    </xdr:to>
    <xdr:pic>
      <xdr:nvPicPr>
        <xdr:cNvPr id="4" name="Picture 3">
          <a:extLst>
            <a:ext uri="{FF2B5EF4-FFF2-40B4-BE49-F238E27FC236}">
              <a16:creationId xmlns:a16="http://schemas.microsoft.com/office/drawing/2014/main" id="{E1954DFB-4E5B-4F8B-AD42-99BB00A409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630400" y="0"/>
          <a:ext cx="7115869" cy="100584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3</xdr:row>
      <xdr:rowOff>101600</xdr:rowOff>
    </xdr:to>
    <xdr:pic>
      <xdr:nvPicPr>
        <xdr:cNvPr id="1746298" name="Picture 1">
          <a:hlinkClick xmlns:r="http://schemas.openxmlformats.org/officeDocument/2006/relationships" r:id="rId1"/>
          <a:extLst>
            <a:ext uri="{FF2B5EF4-FFF2-40B4-BE49-F238E27FC236}">
              <a16:creationId xmlns:a16="http://schemas.microsoft.com/office/drawing/2014/main" id="{899D08C6-41B8-79EB-3584-D9EF207E3A9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57150</xdr:rowOff>
    </xdr:to>
    <xdr:pic>
      <xdr:nvPicPr>
        <xdr:cNvPr id="1747321" name="Picture 1">
          <a:hlinkClick xmlns:r="http://schemas.openxmlformats.org/officeDocument/2006/relationships" r:id="rId1"/>
          <a:extLst>
            <a:ext uri="{FF2B5EF4-FFF2-40B4-BE49-F238E27FC236}">
              <a16:creationId xmlns:a16="http://schemas.microsoft.com/office/drawing/2014/main" id="{0722D504-E3C5-4AEB-2DB7-3D787AC3E93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850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407094</xdr:colOff>
      <xdr:row>62</xdr:row>
      <xdr:rowOff>19050</xdr:rowOff>
    </xdr:to>
    <xdr:pic>
      <xdr:nvPicPr>
        <xdr:cNvPr id="2" name="Picture 1">
          <a:extLst>
            <a:ext uri="{FF2B5EF4-FFF2-40B4-BE49-F238E27FC236}">
              <a16:creationId xmlns:a16="http://schemas.microsoft.com/office/drawing/2014/main" id="{97C01379-E46C-43D5-9B82-EB821FBD79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15869" cy="10058400"/>
        </a:xfrm>
        <a:prstGeom prst="rect">
          <a:avLst/>
        </a:prstGeom>
      </xdr:spPr>
    </xdr:pic>
    <xdr:clientData/>
  </xdr:twoCellAnchor>
  <xdr:twoCellAnchor editAs="oneCell">
    <xdr:from>
      <xdr:col>12</xdr:col>
      <xdr:colOff>0</xdr:colOff>
      <xdr:row>0</xdr:row>
      <xdr:rowOff>0</xdr:rowOff>
    </xdr:from>
    <xdr:to>
      <xdr:col>23</xdr:col>
      <xdr:colOff>407094</xdr:colOff>
      <xdr:row>62</xdr:row>
      <xdr:rowOff>19050</xdr:rowOff>
    </xdr:to>
    <xdr:pic>
      <xdr:nvPicPr>
        <xdr:cNvPr id="3" name="Picture 2">
          <a:extLst>
            <a:ext uri="{FF2B5EF4-FFF2-40B4-BE49-F238E27FC236}">
              <a16:creationId xmlns:a16="http://schemas.microsoft.com/office/drawing/2014/main" id="{1535E8FC-3206-4E56-B053-BAE448DCB2A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0"/>
          <a:ext cx="7115869" cy="100584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3</xdr:row>
      <xdr:rowOff>25400</xdr:rowOff>
    </xdr:to>
    <xdr:pic>
      <xdr:nvPicPr>
        <xdr:cNvPr id="1748345" name="Picture 1">
          <a:hlinkClick xmlns:r="http://schemas.openxmlformats.org/officeDocument/2006/relationships" r:id="rId1"/>
          <a:extLst>
            <a:ext uri="{FF2B5EF4-FFF2-40B4-BE49-F238E27FC236}">
              <a16:creationId xmlns:a16="http://schemas.microsoft.com/office/drawing/2014/main" id="{D8FDDA9E-02CC-1DEA-1752-F6B0675C6CD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787400</xdr:colOff>
      <xdr:row>3</xdr:row>
      <xdr:rowOff>82550</xdr:rowOff>
    </xdr:to>
    <xdr:pic>
      <xdr:nvPicPr>
        <xdr:cNvPr id="1749370" name="Picture 1">
          <a:hlinkClick xmlns:r="http://schemas.openxmlformats.org/officeDocument/2006/relationships" r:id="rId1"/>
          <a:extLst>
            <a:ext uri="{FF2B5EF4-FFF2-40B4-BE49-F238E27FC236}">
              <a16:creationId xmlns:a16="http://schemas.microsoft.com/office/drawing/2014/main" id="{171D014E-85D7-F106-ACB9-193C13397A3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2800" cy="84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EA5A222F-CA60-4112-8874-CC562BB43EC9}" name="Table141" displayName="Table141" ref="A1:G4" totalsRowShown="0" headerRowDxfId="96" tableBorderDxfId="95">
  <autoFilter ref="A1:G4" xr:uid="{75914631-7C56-44DD-A6A9-102B349CCDA1}"/>
  <tableColumns count="7">
    <tableColumn id="1" xr3:uid="{00000000-0010-0000-0100-000001000000}" name="Date"/>
    <tableColumn id="2" xr3:uid="{00000000-0010-0000-0100-000002000000}" name="AER amendment#"/>
    <tableColumn id="3" xr3:uid="{00000000-0010-0000-0100-000003000000}" name="Worksheet" dataDxfId="94"/>
    <tableColumn id="4" xr3:uid="{00000000-0010-0000-0100-000004000000}" name="Table"/>
    <tableColumn id="5" xr3:uid="{00000000-0010-0000-0100-000005000000}" name="Cell" dataDxfId="93"/>
    <tableColumn id="6" xr3:uid="{00000000-0010-0000-0100-000006000000}" name="Change"/>
    <tableColumn id="7" xr3:uid="{00000000-0010-0000-0100-000007000000}" name="Reaso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5AC6963-79F7-43DA-B381-D4E76CC73645}" name="Table1" displayName="Table1" ref="A1:G123" totalsRowShown="0" headerRowDxfId="92" dataDxfId="91">
  <autoFilter ref="A1:G123" xr:uid="{1DD33EB1-7FB7-4F95-A775-F5E52C6AA392}"/>
  <tableColumns count="7">
    <tableColumn id="1" xr3:uid="{00000000-0010-0000-0300-000001000000}" name="Date" dataDxfId="90"/>
    <tableColumn id="2" xr3:uid="{00000000-0010-0000-0300-000002000000}" name="AER amendment#" dataDxfId="89"/>
    <tableColumn id="3" xr3:uid="{00000000-0010-0000-0300-000003000000}" name="Worksheet" dataDxfId="88"/>
    <tableColumn id="4" xr3:uid="{00000000-0010-0000-0300-000004000000}" name="Table" dataDxfId="87"/>
    <tableColumn id="5" xr3:uid="{00000000-0010-0000-0300-000005000000}" name="Cell" dataDxfId="86"/>
    <tableColumn id="6" xr3:uid="{00000000-0010-0000-0300-000006000000}" name="Change" dataDxfId="85"/>
    <tableColumn id="7" xr3:uid="{00000000-0010-0000-0300-000007000000}" name="Reason" dataDxfId="84"/>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spDef>
    <a:ln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3.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3.xml"/><Relationship Id="rId1" Type="http://schemas.openxmlformats.org/officeDocument/2006/relationships/printerSettings" Target="../printerSettings/printerSettings22.bin"/><Relationship Id="rId4" Type="http://schemas.openxmlformats.org/officeDocument/2006/relationships/comments" Target="../comments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554B8-C757-4236-A103-310951DACFCA}">
  <sheetPr codeName="Sheet1"/>
  <dimension ref="A1:K51"/>
  <sheetViews>
    <sheetView tabSelected="1" zoomScale="85" zoomScaleNormal="85" workbookViewId="0">
      <pane ySplit="6" topLeftCell="A7" activePane="bottomLeft" state="frozen"/>
      <selection pane="bottomLeft"/>
    </sheetView>
  </sheetViews>
  <sheetFormatPr defaultColWidth="9.140625" defaultRowHeight="12.75" x14ac:dyDescent="0.2"/>
  <cols>
    <col min="1" max="1" width="41" style="182" customWidth="1"/>
    <col min="2" max="2" width="23.5703125" style="182" customWidth="1"/>
    <col min="3" max="6" width="20.7109375" style="182" customWidth="1"/>
    <col min="7" max="8" width="11.140625" style="182" customWidth="1"/>
    <col min="9" max="11" width="20.7109375" style="182" customWidth="1"/>
    <col min="12" max="13" width="9.140625" style="182"/>
    <col min="14" max="14" width="27.140625" style="182" customWidth="1"/>
    <col min="15" max="16384" width="9.140625" style="182"/>
  </cols>
  <sheetData>
    <row r="1" spans="1:11" ht="66" customHeight="1" x14ac:dyDescent="0.2"/>
    <row r="2" spans="1:11" ht="20.25" customHeight="1" x14ac:dyDescent="0.2">
      <c r="A2" s="183" t="s">
        <v>3</v>
      </c>
      <c r="B2" s="183"/>
      <c r="C2" s="183"/>
      <c r="D2" s="183"/>
      <c r="E2" s="183"/>
      <c r="F2" s="183"/>
      <c r="G2" s="183"/>
      <c r="H2" s="183"/>
      <c r="I2" s="183"/>
      <c r="J2" s="183"/>
      <c r="K2" s="183"/>
    </row>
    <row r="3" spans="1:11" ht="20.25" x14ac:dyDescent="0.2">
      <c r="A3" s="183" t="s">
        <v>4</v>
      </c>
      <c r="B3" s="183"/>
      <c r="C3" s="183"/>
      <c r="D3" s="183"/>
      <c r="E3" s="183"/>
      <c r="F3" s="183"/>
      <c r="G3" s="183"/>
      <c r="H3" s="183"/>
      <c r="I3" s="183"/>
      <c r="J3" s="183"/>
      <c r="K3" s="183"/>
    </row>
    <row r="4" spans="1:11" x14ac:dyDescent="0.2">
      <c r="A4" s="184"/>
      <c r="B4" s="184"/>
      <c r="C4" s="184"/>
      <c r="D4" s="184"/>
      <c r="E4" s="184"/>
      <c r="F4" s="184"/>
      <c r="G4" s="184"/>
      <c r="H4" s="184"/>
      <c r="I4" s="184"/>
      <c r="J4" s="184"/>
      <c r="K4" s="184"/>
    </row>
    <row r="5" spans="1:11" s="188" customFormat="1" ht="15.75" x14ac:dyDescent="0.2">
      <c r="A5" s="185" t="s">
        <v>5</v>
      </c>
      <c r="B5" s="186"/>
      <c r="C5" s="186"/>
      <c r="D5" s="186"/>
      <c r="E5" s="186"/>
      <c r="F5" s="186"/>
      <c r="G5" s="186"/>
      <c r="H5" s="186"/>
      <c r="I5" s="186"/>
      <c r="J5" s="187"/>
      <c r="K5" s="187"/>
    </row>
    <row r="6" spans="1:11" s="188" customFormat="1" ht="15.75" x14ac:dyDescent="0.2">
      <c r="A6" s="185" t="s">
        <v>6</v>
      </c>
      <c r="B6" s="186"/>
      <c r="C6" s="186"/>
      <c r="D6" s="186"/>
      <c r="E6" s="186"/>
      <c r="F6" s="186"/>
      <c r="G6" s="186"/>
      <c r="H6" s="186"/>
      <c r="I6" s="186"/>
      <c r="J6" s="187"/>
      <c r="K6" s="187"/>
    </row>
    <row r="7" spans="1:11" ht="15.75" thickBot="1" x14ac:dyDescent="0.25">
      <c r="A7" s="189"/>
      <c r="B7" s="189"/>
      <c r="C7" s="189"/>
      <c r="D7" s="189"/>
      <c r="E7" s="189"/>
      <c r="F7" s="189"/>
      <c r="G7" s="189"/>
      <c r="H7" s="189"/>
      <c r="I7" s="189"/>
      <c r="J7" s="184"/>
      <c r="K7" s="184"/>
    </row>
    <row r="8" spans="1:11" ht="12.75" customHeight="1" x14ac:dyDescent="0.2">
      <c r="A8" s="364" t="s">
        <v>7</v>
      </c>
      <c r="B8" s="365"/>
      <c r="C8" s="365"/>
      <c r="D8" s="365"/>
      <c r="E8" s="365"/>
      <c r="F8" s="365"/>
      <c r="G8" s="365"/>
      <c r="H8" s="365"/>
      <c r="I8" s="366"/>
      <c r="J8" s="184"/>
      <c r="K8" s="184"/>
    </row>
    <row r="9" spans="1:11" ht="15.75" x14ac:dyDescent="0.2">
      <c r="A9" s="190" t="s">
        <v>8</v>
      </c>
      <c r="B9" s="191"/>
      <c r="C9" s="191"/>
      <c r="D9" s="192"/>
      <c r="E9" s="192"/>
      <c r="F9" s="192"/>
      <c r="G9" s="192"/>
      <c r="H9" s="192"/>
      <c r="I9" s="193"/>
      <c r="J9" s="184"/>
      <c r="K9" s="184"/>
    </row>
    <row r="10" spans="1:11" ht="15.75" x14ac:dyDescent="0.2">
      <c r="A10" s="370" t="s">
        <v>9</v>
      </c>
      <c r="B10" s="371"/>
      <c r="C10" s="371"/>
      <c r="D10" s="371"/>
      <c r="E10" s="371"/>
      <c r="F10" s="371"/>
      <c r="G10" s="371"/>
      <c r="H10" s="371"/>
      <c r="I10" s="372"/>
      <c r="J10" s="184"/>
      <c r="K10" s="184"/>
    </row>
    <row r="11" spans="1:11" ht="16.5" thickBot="1" x14ac:dyDescent="0.25">
      <c r="A11" s="367" t="s">
        <v>10</v>
      </c>
      <c r="B11" s="368"/>
      <c r="C11" s="368"/>
      <c r="D11" s="368"/>
      <c r="E11" s="368"/>
      <c r="F11" s="368"/>
      <c r="G11" s="368"/>
      <c r="H11" s="368"/>
      <c r="I11" s="369"/>
      <c r="J11" s="184"/>
      <c r="K11" s="184"/>
    </row>
    <row r="12" spans="1:11" ht="15" x14ac:dyDescent="0.2">
      <c r="A12" s="373"/>
      <c r="B12" s="374"/>
      <c r="C12" s="374"/>
      <c r="D12" s="374"/>
      <c r="E12" s="374"/>
      <c r="F12" s="374"/>
      <c r="G12" s="374"/>
      <c r="H12" s="374"/>
      <c r="I12" s="374"/>
      <c r="J12" s="184"/>
      <c r="K12" s="184"/>
    </row>
    <row r="13" spans="1:11" ht="15.75" x14ac:dyDescent="0.2">
      <c r="A13" s="194" t="s">
        <v>11</v>
      </c>
      <c r="B13" s="189"/>
      <c r="C13" s="189"/>
      <c r="D13" s="189"/>
      <c r="E13" s="189"/>
      <c r="F13" s="189"/>
      <c r="G13" s="189"/>
      <c r="H13" s="189"/>
      <c r="I13" s="189"/>
      <c r="J13" s="184"/>
      <c r="K13" s="184"/>
    </row>
    <row r="14" spans="1:11" ht="15.75" x14ac:dyDescent="0.2">
      <c r="A14" s="195" t="s">
        <v>12</v>
      </c>
      <c r="B14" s="189"/>
      <c r="C14" s="189"/>
      <c r="D14" s="189"/>
      <c r="E14" s="189"/>
      <c r="F14" s="189"/>
      <c r="G14" s="189"/>
      <c r="H14" s="189"/>
      <c r="I14" s="189"/>
      <c r="J14" s="184"/>
      <c r="K14" s="184"/>
    </row>
    <row r="15" spans="1:11" x14ac:dyDescent="0.2">
      <c r="A15" s="184"/>
      <c r="B15" s="184"/>
      <c r="C15" s="184"/>
      <c r="D15" s="184"/>
      <c r="E15" s="184"/>
      <c r="F15" s="184"/>
      <c r="G15" s="184"/>
      <c r="H15" s="184"/>
      <c r="I15" s="184"/>
      <c r="J15" s="184"/>
      <c r="K15" s="184"/>
    </row>
    <row r="16" spans="1:11" x14ac:dyDescent="0.2">
      <c r="A16" s="184"/>
      <c r="B16" s="184"/>
      <c r="C16" s="184"/>
      <c r="D16" s="184"/>
      <c r="E16" s="184"/>
      <c r="F16" s="184"/>
      <c r="G16" s="184"/>
      <c r="H16" s="184"/>
      <c r="I16" s="184"/>
      <c r="J16" s="184"/>
      <c r="K16" s="184"/>
    </row>
    <row r="17" spans="1:11" ht="15.75" x14ac:dyDescent="0.2">
      <c r="A17" s="342" t="s">
        <v>13</v>
      </c>
      <c r="B17" s="363"/>
      <c r="C17" s="380" t="s">
        <v>512</v>
      </c>
      <c r="D17" s="381"/>
      <c r="E17" s="381"/>
      <c r="F17" s="189"/>
      <c r="G17" s="189"/>
      <c r="H17" s="189"/>
      <c r="I17" s="189"/>
      <c r="J17" s="189"/>
      <c r="K17" s="189"/>
    </row>
    <row r="18" spans="1:11" ht="15.75" x14ac:dyDescent="0.2">
      <c r="A18" s="195"/>
      <c r="B18" s="195"/>
      <c r="C18" s="196"/>
      <c r="D18" s="196"/>
      <c r="E18" s="196"/>
      <c r="F18" s="189"/>
      <c r="G18" s="189"/>
      <c r="H18" s="189"/>
      <c r="I18" s="189"/>
      <c r="J18" s="189"/>
      <c r="K18" s="189"/>
    </row>
    <row r="19" spans="1:11" ht="18" customHeight="1" x14ac:dyDescent="0.2">
      <c r="A19" s="342" t="s">
        <v>14</v>
      </c>
      <c r="B19" s="363"/>
      <c r="C19" s="382" t="s">
        <v>513</v>
      </c>
      <c r="D19" s="383"/>
      <c r="E19" s="383"/>
      <c r="F19" s="189"/>
      <c r="G19" s="189"/>
      <c r="H19" s="189"/>
      <c r="I19" s="189"/>
      <c r="J19" s="189"/>
      <c r="K19" s="189"/>
    </row>
    <row r="20" spans="1:11" ht="15.75" x14ac:dyDescent="0.2">
      <c r="A20" s="195"/>
      <c r="B20" s="195"/>
      <c r="C20" s="375"/>
      <c r="D20" s="376"/>
      <c r="E20" s="376"/>
      <c r="F20" s="189"/>
      <c r="G20" s="189"/>
      <c r="H20" s="189"/>
      <c r="I20" s="189"/>
      <c r="J20" s="189"/>
      <c r="K20" s="189"/>
    </row>
    <row r="21" spans="1:11" ht="15.75" x14ac:dyDescent="0.2">
      <c r="A21" s="342" t="s">
        <v>15</v>
      </c>
      <c r="B21" s="343"/>
      <c r="C21" s="377" t="s">
        <v>16</v>
      </c>
      <c r="D21" s="378"/>
      <c r="E21" s="379"/>
      <c r="F21" s="189"/>
      <c r="G21" s="189"/>
      <c r="H21" s="189"/>
      <c r="I21" s="189"/>
      <c r="J21" s="189"/>
      <c r="K21" s="189"/>
    </row>
    <row r="22" spans="1:11" ht="15" x14ac:dyDescent="0.2">
      <c r="A22" s="189"/>
      <c r="B22" s="189"/>
      <c r="C22" s="196"/>
      <c r="D22" s="196"/>
      <c r="E22" s="196"/>
      <c r="F22" s="189"/>
      <c r="G22" s="189"/>
      <c r="H22" s="189"/>
      <c r="I22" s="189"/>
      <c r="J22" s="189"/>
      <c r="K22" s="189"/>
    </row>
    <row r="23" spans="1:11" ht="18" customHeight="1" x14ac:dyDescent="0.2">
      <c r="A23" s="342" t="s">
        <v>17</v>
      </c>
      <c r="B23" s="343"/>
      <c r="C23" s="384" t="s">
        <v>18</v>
      </c>
      <c r="D23" s="385"/>
      <c r="E23" s="386"/>
      <c r="F23" s="189"/>
      <c r="G23" s="189"/>
      <c r="H23" s="189"/>
      <c r="I23" s="189"/>
      <c r="J23" s="189"/>
      <c r="K23" s="189"/>
    </row>
    <row r="24" spans="1:11" ht="15" x14ac:dyDescent="0.2">
      <c r="A24" s="189"/>
      <c r="B24" s="189"/>
      <c r="C24" s="196"/>
      <c r="D24" s="196"/>
      <c r="E24" s="196"/>
      <c r="F24" s="189"/>
      <c r="G24" s="189"/>
      <c r="H24" s="189"/>
      <c r="I24" s="189"/>
      <c r="J24" s="189"/>
      <c r="K24" s="189"/>
    </row>
    <row r="25" spans="1:11" ht="15.75" x14ac:dyDescent="0.2">
      <c r="A25" s="342" t="s">
        <v>19</v>
      </c>
      <c r="B25" s="343"/>
      <c r="C25" s="334">
        <v>45474</v>
      </c>
      <c r="D25" s="335"/>
      <c r="E25" s="336"/>
      <c r="F25" s="189"/>
      <c r="G25" s="189"/>
      <c r="H25" s="189"/>
      <c r="I25" s="189"/>
      <c r="J25" s="189"/>
      <c r="K25" s="189"/>
    </row>
    <row r="26" spans="1:11" ht="15" x14ac:dyDescent="0.2">
      <c r="A26" s="189"/>
      <c r="B26" s="189"/>
      <c r="C26" s="196"/>
      <c r="D26" s="196"/>
      <c r="E26" s="196"/>
      <c r="F26" s="189"/>
      <c r="G26" s="189"/>
      <c r="H26" s="189"/>
      <c r="I26" s="189"/>
      <c r="J26" s="189"/>
      <c r="K26" s="189"/>
    </row>
    <row r="27" spans="1:11" ht="15.75" x14ac:dyDescent="0.2">
      <c r="A27" s="342" t="s">
        <v>20</v>
      </c>
      <c r="B27" s="343"/>
      <c r="C27" s="334">
        <v>45838</v>
      </c>
      <c r="D27" s="335"/>
      <c r="E27" s="336"/>
      <c r="F27" s="189"/>
      <c r="G27" s="189"/>
      <c r="H27" s="189"/>
      <c r="I27" s="189"/>
      <c r="J27" s="189"/>
      <c r="K27" s="189"/>
    </row>
    <row r="28" spans="1:11" ht="15" x14ac:dyDescent="0.2">
      <c r="A28" s="189"/>
      <c r="B28" s="189"/>
      <c r="C28" s="196"/>
      <c r="D28" s="196"/>
      <c r="E28" s="196"/>
      <c r="F28" s="189"/>
      <c r="G28" s="189"/>
      <c r="H28" s="189"/>
      <c r="I28" s="189"/>
      <c r="J28" s="189"/>
      <c r="K28" s="189"/>
    </row>
    <row r="29" spans="1:11" ht="15.75" x14ac:dyDescent="0.2">
      <c r="A29" s="344" t="s">
        <v>21</v>
      </c>
      <c r="B29" s="344"/>
      <c r="C29" s="334">
        <v>46281</v>
      </c>
      <c r="D29" s="335"/>
      <c r="E29" s="336"/>
      <c r="F29" s="189"/>
      <c r="G29" s="189"/>
      <c r="H29" s="189"/>
      <c r="I29" s="189"/>
      <c r="J29" s="189"/>
      <c r="K29" s="189"/>
    </row>
    <row r="30" spans="1:11" ht="15" x14ac:dyDescent="0.2">
      <c r="A30" s="189"/>
      <c r="B30" s="189"/>
      <c r="C30" s="196"/>
      <c r="D30" s="196"/>
      <c r="E30" s="196"/>
      <c r="F30" s="189"/>
      <c r="G30" s="189"/>
      <c r="H30" s="189"/>
      <c r="I30" s="189"/>
      <c r="J30" s="189"/>
      <c r="K30" s="189"/>
    </row>
    <row r="31" spans="1:11" ht="15.75" x14ac:dyDescent="0.2">
      <c r="A31" s="344" t="s">
        <v>22</v>
      </c>
      <c r="B31" s="344"/>
      <c r="C31" s="334">
        <v>45838</v>
      </c>
      <c r="D31" s="335"/>
      <c r="E31" s="336"/>
      <c r="F31" s="189"/>
      <c r="G31" s="189"/>
      <c r="H31" s="189"/>
      <c r="I31" s="189"/>
      <c r="J31" s="189"/>
      <c r="K31" s="189"/>
    </row>
    <row r="32" spans="1:11" ht="15" x14ac:dyDescent="0.2">
      <c r="A32" s="189"/>
      <c r="B32" s="189"/>
      <c r="C32" s="196"/>
      <c r="D32" s="196"/>
      <c r="E32" s="196"/>
      <c r="F32" s="189"/>
      <c r="G32" s="189"/>
      <c r="H32" s="189"/>
      <c r="I32" s="189"/>
      <c r="J32" s="189"/>
      <c r="K32" s="189"/>
    </row>
    <row r="33" spans="1:11" ht="60" customHeight="1" x14ac:dyDescent="0.2">
      <c r="A33" s="341" t="s">
        <v>23</v>
      </c>
      <c r="B33" s="341"/>
      <c r="C33" s="337" t="s">
        <v>118</v>
      </c>
      <c r="D33" s="338"/>
      <c r="E33" s="339"/>
      <c r="F33" s="340" t="s">
        <v>25</v>
      </c>
      <c r="G33" s="341"/>
      <c r="H33" s="341"/>
      <c r="I33" s="337" t="s">
        <v>738</v>
      </c>
      <c r="J33" s="338"/>
      <c r="K33" s="339"/>
    </row>
    <row r="34" spans="1:11" ht="15.75" thickBot="1" x14ac:dyDescent="0.25">
      <c r="A34" s="197"/>
      <c r="B34" s="197"/>
      <c r="C34" s="197"/>
      <c r="D34" s="197"/>
      <c r="E34" s="197"/>
      <c r="F34" s="197"/>
      <c r="G34" s="197"/>
      <c r="H34" s="197"/>
      <c r="I34" s="197"/>
      <c r="J34" s="197"/>
      <c r="K34" s="197"/>
    </row>
    <row r="35" spans="1:11" ht="15" x14ac:dyDescent="0.2">
      <c r="A35" s="331"/>
      <c r="B35" s="332"/>
      <c r="C35" s="332"/>
      <c r="D35" s="332"/>
      <c r="E35" s="332"/>
      <c r="F35" s="332"/>
      <c r="G35" s="332"/>
      <c r="H35" s="333"/>
      <c r="I35" s="197"/>
      <c r="J35" s="197"/>
      <c r="K35" s="197"/>
    </row>
    <row r="36" spans="1:11" ht="15" x14ac:dyDescent="0.2">
      <c r="A36" s="351" t="s">
        <v>26</v>
      </c>
      <c r="B36" s="329" t="s">
        <v>27</v>
      </c>
      <c r="C36" s="330"/>
      <c r="D36" s="345" t="s">
        <v>28</v>
      </c>
      <c r="E36" s="346"/>
      <c r="F36" s="346"/>
      <c r="G36" s="347"/>
      <c r="H36" s="355"/>
      <c r="I36" s="197"/>
      <c r="J36" s="197"/>
      <c r="K36" s="197"/>
    </row>
    <row r="37" spans="1:11" ht="15" x14ac:dyDescent="0.2">
      <c r="A37" s="351"/>
      <c r="B37" s="329" t="s">
        <v>29</v>
      </c>
      <c r="C37" s="330"/>
      <c r="D37" s="345" t="s">
        <v>30</v>
      </c>
      <c r="E37" s="346"/>
      <c r="F37" s="346"/>
      <c r="G37" s="347"/>
      <c r="H37" s="355"/>
      <c r="I37" s="197"/>
      <c r="J37" s="197"/>
      <c r="K37" s="197"/>
    </row>
    <row r="38" spans="1:11" ht="15" x14ac:dyDescent="0.2">
      <c r="A38" s="351"/>
      <c r="B38" s="198"/>
      <c r="C38" s="199" t="s">
        <v>31</v>
      </c>
      <c r="D38" s="124" t="s">
        <v>32</v>
      </c>
      <c r="E38" s="199" t="s">
        <v>33</v>
      </c>
      <c r="F38" s="124">
        <v>2000</v>
      </c>
      <c r="G38" s="200"/>
      <c r="H38" s="355"/>
      <c r="I38" s="197"/>
      <c r="J38" s="197"/>
      <c r="K38" s="197"/>
    </row>
    <row r="39" spans="1:11" ht="15" x14ac:dyDescent="0.2">
      <c r="A39" s="351"/>
      <c r="B39" s="356"/>
      <c r="C39" s="356"/>
      <c r="D39" s="356"/>
      <c r="E39" s="356"/>
      <c r="F39" s="356"/>
      <c r="G39" s="356"/>
      <c r="H39" s="355"/>
      <c r="I39" s="197"/>
      <c r="J39" s="197"/>
      <c r="K39" s="197"/>
    </row>
    <row r="40" spans="1:11" ht="15" x14ac:dyDescent="0.2">
      <c r="A40" s="351" t="s">
        <v>34</v>
      </c>
      <c r="B40" s="329" t="s">
        <v>27</v>
      </c>
      <c r="C40" s="330"/>
      <c r="D40" s="357" t="s">
        <v>35</v>
      </c>
      <c r="E40" s="357"/>
      <c r="F40" s="357"/>
      <c r="G40" s="357"/>
      <c r="H40" s="355"/>
      <c r="I40" s="197"/>
      <c r="J40" s="197"/>
      <c r="K40" s="197"/>
    </row>
    <row r="41" spans="1:11" ht="15" x14ac:dyDescent="0.2">
      <c r="A41" s="351"/>
      <c r="B41" s="329" t="s">
        <v>29</v>
      </c>
      <c r="C41" s="330"/>
      <c r="D41" s="357" t="s">
        <v>36</v>
      </c>
      <c r="E41" s="357"/>
      <c r="F41" s="357"/>
      <c r="G41" s="357"/>
      <c r="H41" s="355"/>
      <c r="I41" s="197"/>
      <c r="J41" s="197"/>
      <c r="K41" s="197"/>
    </row>
    <row r="42" spans="1:11" ht="15" x14ac:dyDescent="0.2">
      <c r="A42" s="351"/>
      <c r="B42" s="198"/>
      <c r="C42" s="199" t="s">
        <v>31</v>
      </c>
      <c r="D42" s="124" t="s">
        <v>32</v>
      </c>
      <c r="E42" s="199" t="s">
        <v>33</v>
      </c>
      <c r="F42" s="124">
        <v>1225</v>
      </c>
      <c r="G42" s="200"/>
      <c r="H42" s="355"/>
      <c r="I42" s="197"/>
      <c r="J42" s="197"/>
      <c r="K42" s="197"/>
    </row>
    <row r="43" spans="1:11" ht="15.75" thickBot="1" x14ac:dyDescent="0.25">
      <c r="A43" s="352"/>
      <c r="B43" s="353"/>
      <c r="C43" s="353"/>
      <c r="D43" s="353"/>
      <c r="E43" s="353"/>
      <c r="F43" s="353"/>
      <c r="G43" s="353"/>
      <c r="H43" s="354"/>
      <c r="I43" s="197"/>
      <c r="J43" s="197"/>
      <c r="K43" s="197"/>
    </row>
    <row r="44" spans="1:11" ht="15" x14ac:dyDescent="0.2">
      <c r="A44" s="331"/>
      <c r="B44" s="332"/>
      <c r="C44" s="332"/>
      <c r="D44" s="332"/>
      <c r="E44" s="332"/>
      <c r="F44" s="332"/>
      <c r="G44" s="332"/>
      <c r="H44" s="333"/>
      <c r="I44" s="197"/>
      <c r="J44" s="197"/>
      <c r="K44" s="197"/>
    </row>
    <row r="45" spans="1:11" ht="15.75" x14ac:dyDescent="0.25">
      <c r="A45" s="201" t="s">
        <v>37</v>
      </c>
      <c r="B45" s="345" t="s">
        <v>38</v>
      </c>
      <c r="C45" s="346"/>
      <c r="D45" s="360"/>
      <c r="E45" s="360"/>
      <c r="F45" s="361"/>
      <c r="G45" s="358"/>
      <c r="H45" s="359"/>
      <c r="I45" s="197"/>
      <c r="J45" s="197"/>
      <c r="K45" s="197"/>
    </row>
    <row r="46" spans="1:11" ht="15.75" x14ac:dyDescent="0.25">
      <c r="A46" s="201" t="s">
        <v>39</v>
      </c>
      <c r="B46" s="362" t="s">
        <v>40</v>
      </c>
      <c r="C46" s="346"/>
      <c r="D46" s="346"/>
      <c r="E46" s="346"/>
      <c r="F46" s="347"/>
      <c r="G46" s="358"/>
      <c r="H46" s="359"/>
      <c r="I46" s="197"/>
      <c r="J46" s="197"/>
      <c r="K46" s="197"/>
    </row>
    <row r="47" spans="1:11" ht="15.75" x14ac:dyDescent="0.25">
      <c r="A47" s="201" t="s">
        <v>41</v>
      </c>
      <c r="B47" s="345" t="s">
        <v>42</v>
      </c>
      <c r="C47" s="346"/>
      <c r="D47" s="346"/>
      <c r="E47" s="346"/>
      <c r="F47" s="347"/>
      <c r="G47" s="358"/>
      <c r="H47" s="359"/>
      <c r="I47" s="197"/>
      <c r="J47" s="197"/>
      <c r="K47" s="197"/>
    </row>
    <row r="48" spans="1:11" ht="15.75" thickBot="1" x14ac:dyDescent="0.25">
      <c r="A48" s="348"/>
      <c r="B48" s="349"/>
      <c r="C48" s="349"/>
      <c r="D48" s="349"/>
      <c r="E48" s="349"/>
      <c r="F48" s="349"/>
      <c r="G48" s="349"/>
      <c r="H48" s="350"/>
      <c r="I48" s="197"/>
      <c r="J48" s="197"/>
      <c r="K48" s="197"/>
    </row>
    <row r="49" spans="1:11" ht="15" x14ac:dyDescent="0.2">
      <c r="A49" s="197"/>
      <c r="B49" s="197"/>
      <c r="C49" s="197"/>
      <c r="D49" s="197"/>
      <c r="E49" s="197"/>
      <c r="F49" s="197"/>
      <c r="G49" s="197"/>
      <c r="H49" s="197"/>
      <c r="I49" s="197"/>
      <c r="J49" s="197"/>
      <c r="K49" s="197"/>
    </row>
    <row r="50" spans="1:11" ht="15" x14ac:dyDescent="0.2">
      <c r="A50" s="197"/>
      <c r="B50" s="197"/>
      <c r="C50" s="197"/>
      <c r="D50" s="197"/>
      <c r="E50" s="197"/>
      <c r="F50" s="197"/>
      <c r="G50" s="197"/>
      <c r="H50" s="197"/>
      <c r="I50" s="197"/>
      <c r="J50" s="197"/>
      <c r="K50" s="197"/>
    </row>
    <row r="51" spans="1:11" ht="15" x14ac:dyDescent="0.2">
      <c r="A51" s="197"/>
      <c r="B51" s="197"/>
      <c r="C51" s="197"/>
      <c r="D51" s="197"/>
      <c r="E51" s="197"/>
      <c r="F51" s="197"/>
      <c r="G51" s="197"/>
      <c r="H51" s="197"/>
      <c r="I51" s="197"/>
      <c r="J51" s="197"/>
      <c r="K51" s="197"/>
    </row>
  </sheetData>
  <sheetProtection sheet="1"/>
  <mergeCells count="45">
    <mergeCell ref="A17:B17"/>
    <mergeCell ref="A23:B23"/>
    <mergeCell ref="A25:B25"/>
    <mergeCell ref="A8:I8"/>
    <mergeCell ref="A11:I11"/>
    <mergeCell ref="A10:I10"/>
    <mergeCell ref="A12:I12"/>
    <mergeCell ref="C20:E20"/>
    <mergeCell ref="C21:E21"/>
    <mergeCell ref="C17:E17"/>
    <mergeCell ref="A19:B19"/>
    <mergeCell ref="C19:E19"/>
    <mergeCell ref="A21:B21"/>
    <mergeCell ref="C23:E23"/>
    <mergeCell ref="A48:H48"/>
    <mergeCell ref="A40:A43"/>
    <mergeCell ref="B43:H43"/>
    <mergeCell ref="A33:B33"/>
    <mergeCell ref="A35:H35"/>
    <mergeCell ref="A36:A39"/>
    <mergeCell ref="H36:H42"/>
    <mergeCell ref="B39:G39"/>
    <mergeCell ref="D40:G40"/>
    <mergeCell ref="G45:H47"/>
    <mergeCell ref="B47:F47"/>
    <mergeCell ref="B41:C41"/>
    <mergeCell ref="D41:G41"/>
    <mergeCell ref="B45:F45"/>
    <mergeCell ref="B46:F46"/>
    <mergeCell ref="D37:G37"/>
    <mergeCell ref="B40:C40"/>
    <mergeCell ref="A44:H44"/>
    <mergeCell ref="C25:E25"/>
    <mergeCell ref="C33:E33"/>
    <mergeCell ref="I33:K33"/>
    <mergeCell ref="F33:H33"/>
    <mergeCell ref="C27:E27"/>
    <mergeCell ref="C29:E29"/>
    <mergeCell ref="C31:E31"/>
    <mergeCell ref="B37:C37"/>
    <mergeCell ref="A27:B27"/>
    <mergeCell ref="A29:B29"/>
    <mergeCell ref="A31:B31"/>
    <mergeCell ref="B36:C36"/>
    <mergeCell ref="D36:G36"/>
  </mergeCells>
  <phoneticPr fontId="7" type="noConversion"/>
  <dataValidations disablePrompts="1" count="4">
    <dataValidation type="list" allowBlank="1" showInputMessage="1" showErrorMessage="1" sqref="C33:E33" xr:uid="{1B2988CC-8CDF-4466-97CD-E494D28484F5}">
      <formula1>"Yes, No"</formula1>
    </dataValidation>
    <dataValidation type="list" allowBlank="1" showInputMessage="1" showErrorMessage="1" sqref="C23:E23" xr:uid="{B6BB04EF-05C6-4AE5-A704-9234DB9769F6}">
      <formula1>"Scheme pipeline, Non-scheme pipeline"</formula1>
    </dataValidation>
    <dataValidation type="date" operator="greaterThan" allowBlank="1" showInputMessage="1" showErrorMessage="1" sqref="C25:E25" xr:uid="{CAF18C40-13E3-414D-BE8F-1D20C861B2CC}">
      <formula1>40179</formula1>
    </dataValidation>
    <dataValidation type="list" allowBlank="1" showInputMessage="1" showErrorMessage="1" sqref="D38 D42" xr:uid="{FFBC510C-2D1E-4767-8F87-47C7A10BB37E}">
      <formula1>"NSW, VIC, QLD, SA, TAS, NT, ACT, WA"</formula1>
    </dataValidation>
  </dataValidations>
  <pageMargins left="0.75" right="0.75" top="1" bottom="1" header="0.5" footer="0.5"/>
  <pageSetup paperSize="9" scale="80" orientation="portrait" verticalDpi="2" r:id="rId1"/>
  <headerFooter alignWithMargins="0">
    <oddHeader>&amp;C&amp;"Arial,Bold"&amp;12Non- Scheme Gas Pipeline - Financial Guideline Reporting template</oddHeader>
    <oddFooter>&amp;C&amp;A_x000D_&amp;1#&amp;"Calibri"&amp;10&amp;K008000 APA-INTERNAL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88D76-718D-4CB0-8FEB-D424C452F148}">
  <sheetPr codeName="Sheet9">
    <tabColor rgb="FF17415D"/>
    <pageSetUpPr fitToPage="1"/>
  </sheetPr>
  <dimension ref="A1:H50"/>
  <sheetViews>
    <sheetView showGridLines="0" zoomScale="66" zoomScaleNormal="85" workbookViewId="0"/>
  </sheetViews>
  <sheetFormatPr defaultColWidth="9.140625" defaultRowHeight="23.25" x14ac:dyDescent="0.35"/>
  <cols>
    <col min="1" max="1" width="6.140625" style="1" customWidth="1"/>
    <col min="2" max="2" width="10.7109375" style="1" customWidth="1"/>
    <col min="3" max="3" width="26.7109375" style="1" customWidth="1"/>
    <col min="4" max="4" width="135.7109375" style="1" customWidth="1"/>
    <col min="5" max="5" width="61.42578125" style="1" customWidth="1"/>
    <col min="6" max="6" width="27.7109375" style="1" customWidth="1"/>
    <col min="7" max="7" width="19.42578125" style="1" bestFit="1" customWidth="1"/>
    <col min="8" max="8" width="8.85546875" style="1" customWidth="1"/>
    <col min="9" max="16384" width="9.140625" style="1"/>
  </cols>
  <sheetData>
    <row r="1" spans="1:8" ht="26.25" x14ac:dyDescent="0.35">
      <c r="A1" s="1" t="s">
        <v>43</v>
      </c>
      <c r="C1" s="77" t="s">
        <v>4</v>
      </c>
      <c r="D1" s="77"/>
      <c r="E1" s="77"/>
      <c r="F1" s="77"/>
      <c r="G1" s="3"/>
      <c r="H1" s="3"/>
    </row>
    <row r="2" spans="1:8" ht="20.25" customHeight="1" x14ac:dyDescent="0.35">
      <c r="B2" s="3"/>
      <c r="C2" s="77" t="str">
        <f>IF(Tradingname=0," ",Tradingname)</f>
        <v>APT PIPELINES (NT) PTY LIMITED</v>
      </c>
      <c r="D2" s="77"/>
      <c r="E2" s="77"/>
      <c r="F2" s="77"/>
      <c r="G2" s="3"/>
    </row>
    <row r="3" spans="1:8" ht="33.75" customHeight="1" x14ac:dyDescent="0.4">
      <c r="B3" s="3"/>
      <c r="C3" s="77" t="s">
        <v>44</v>
      </c>
      <c r="D3" s="79">
        <f>IF(Yearending=0, "01/01/2000", Yearending)</f>
        <v>45838</v>
      </c>
      <c r="E3" s="77"/>
      <c r="F3" s="78"/>
    </row>
    <row r="4" spans="1:8" ht="15" customHeight="1" x14ac:dyDescent="0.35">
      <c r="B4" s="3"/>
      <c r="C4" s="3"/>
      <c r="D4" s="3"/>
      <c r="E4" s="3"/>
      <c r="F4" s="3"/>
      <c r="G4" s="3"/>
    </row>
    <row r="5" spans="1:8" s="3" customFormat="1" ht="15" customHeight="1" thickBot="1" x14ac:dyDescent="0.25"/>
    <row r="6" spans="1:8" s="3" customFormat="1" ht="15" customHeight="1" x14ac:dyDescent="0.35">
      <c r="C6" s="109"/>
      <c r="D6" s="110"/>
      <c r="E6" s="110"/>
      <c r="F6" s="111"/>
    </row>
    <row r="7" spans="1:8" s="3" customFormat="1" ht="26.25" x14ac:dyDescent="0.4">
      <c r="C7" s="112"/>
      <c r="D7" s="387" t="s">
        <v>45</v>
      </c>
      <c r="E7" s="387"/>
      <c r="F7" s="113"/>
    </row>
    <row r="8" spans="1:8" s="3" customFormat="1" ht="25.5" x14ac:dyDescent="0.35">
      <c r="C8" s="112"/>
      <c r="D8" s="114"/>
      <c r="E8" s="114"/>
      <c r="F8" s="113"/>
    </row>
    <row r="9" spans="1:8" s="3" customFormat="1" ht="26.25" x14ac:dyDescent="0.4">
      <c r="C9" s="112"/>
      <c r="D9" s="119" t="s">
        <v>46</v>
      </c>
      <c r="E9" s="123" t="s">
        <v>47</v>
      </c>
      <c r="F9" s="113"/>
    </row>
    <row r="10" spans="1:8" s="3" customFormat="1" ht="26.25" x14ac:dyDescent="0.4">
      <c r="C10" s="112"/>
      <c r="D10" s="119"/>
      <c r="E10" s="123" t="s">
        <v>48</v>
      </c>
      <c r="F10" s="113"/>
    </row>
    <row r="11" spans="1:8" s="3" customFormat="1" ht="26.25" x14ac:dyDescent="0.4">
      <c r="C11" s="112"/>
      <c r="D11" s="119"/>
      <c r="E11" s="123" t="s">
        <v>49</v>
      </c>
      <c r="F11" s="113"/>
    </row>
    <row r="12" spans="1:8" s="3" customFormat="1" ht="25.5" x14ac:dyDescent="0.35">
      <c r="C12" s="112"/>
      <c r="D12" s="114"/>
      <c r="E12" s="114"/>
      <c r="F12" s="113"/>
    </row>
    <row r="13" spans="1:8" s="3" customFormat="1" ht="26.25" x14ac:dyDescent="0.4">
      <c r="C13" s="112"/>
      <c r="D13" s="119" t="s">
        <v>50</v>
      </c>
      <c r="E13" s="120"/>
      <c r="F13" s="113"/>
    </row>
    <row r="14" spans="1:8" s="3" customFormat="1" ht="25.5" x14ac:dyDescent="0.35">
      <c r="C14" s="112"/>
      <c r="D14" s="73"/>
      <c r="E14" s="74"/>
      <c r="F14" s="113"/>
    </row>
    <row r="15" spans="1:8" s="3" customFormat="1" ht="26.25" x14ac:dyDescent="0.4">
      <c r="C15" s="112"/>
      <c r="D15" s="119" t="s">
        <v>51</v>
      </c>
      <c r="E15" s="122" t="s">
        <v>52</v>
      </c>
      <c r="F15" s="113"/>
    </row>
    <row r="16" spans="1:8" s="3" customFormat="1" ht="26.25" x14ac:dyDescent="0.4">
      <c r="C16" s="112"/>
      <c r="D16" s="119"/>
      <c r="E16" s="122" t="s">
        <v>53</v>
      </c>
      <c r="F16" s="113"/>
    </row>
    <row r="17" spans="3:6" s="3" customFormat="1" ht="26.25" x14ac:dyDescent="0.4">
      <c r="C17" s="112"/>
      <c r="D17" s="119"/>
      <c r="E17" s="122" t="s">
        <v>54</v>
      </c>
      <c r="F17" s="113"/>
    </row>
    <row r="18" spans="3:6" s="3" customFormat="1" ht="26.25" x14ac:dyDescent="0.4">
      <c r="C18" s="112"/>
      <c r="D18" s="119"/>
      <c r="E18" s="122" t="s">
        <v>55</v>
      </c>
      <c r="F18" s="113"/>
    </row>
    <row r="19" spans="3:6" s="3" customFormat="1" ht="26.25" x14ac:dyDescent="0.4">
      <c r="C19" s="112"/>
      <c r="D19" s="119"/>
      <c r="E19" s="122" t="s">
        <v>56</v>
      </c>
      <c r="F19" s="113"/>
    </row>
    <row r="20" spans="3:6" s="3" customFormat="1" ht="25.5" customHeight="1" x14ac:dyDescent="0.35">
      <c r="C20" s="75"/>
      <c r="D20" s="73"/>
      <c r="E20" s="74"/>
      <c r="F20" s="76"/>
    </row>
    <row r="21" spans="3:6" s="3" customFormat="1" ht="25.5" customHeight="1" x14ac:dyDescent="0.4">
      <c r="C21" s="112"/>
      <c r="D21" s="119" t="s">
        <v>57</v>
      </c>
      <c r="E21" s="122" t="s">
        <v>58</v>
      </c>
      <c r="F21" s="113"/>
    </row>
    <row r="22" spans="3:6" s="3" customFormat="1" ht="25.5" customHeight="1" x14ac:dyDescent="0.4">
      <c r="C22" s="112"/>
      <c r="D22" s="119" t="s">
        <v>59</v>
      </c>
      <c r="E22" s="122" t="s">
        <v>60</v>
      </c>
      <c r="F22" s="113"/>
    </row>
    <row r="23" spans="3:6" s="3" customFormat="1" ht="25.5" customHeight="1" x14ac:dyDescent="0.4">
      <c r="C23" s="112"/>
      <c r="D23" s="119"/>
      <c r="E23" s="122" t="s">
        <v>61</v>
      </c>
      <c r="F23" s="113"/>
    </row>
    <row r="24" spans="3:6" s="3" customFormat="1" ht="25.5" customHeight="1" x14ac:dyDescent="0.4">
      <c r="C24" s="112"/>
      <c r="D24" s="119"/>
      <c r="E24" s="122" t="s">
        <v>62</v>
      </c>
      <c r="F24" s="113"/>
    </row>
    <row r="25" spans="3:6" s="3" customFormat="1" ht="25.5" x14ac:dyDescent="0.35">
      <c r="C25" s="75"/>
      <c r="D25" s="73"/>
      <c r="E25" s="74"/>
      <c r="F25" s="76"/>
    </row>
    <row r="26" spans="3:6" s="3" customFormat="1" ht="26.25" x14ac:dyDescent="0.4">
      <c r="C26" s="112"/>
      <c r="D26" s="119" t="s">
        <v>63</v>
      </c>
      <c r="E26" s="122" t="s">
        <v>1</v>
      </c>
      <c r="F26" s="113"/>
    </row>
    <row r="27" spans="3:6" s="3" customFormat="1" ht="25.5" x14ac:dyDescent="0.35">
      <c r="C27" s="75"/>
      <c r="D27" s="73"/>
      <c r="E27" s="74"/>
      <c r="F27" s="76"/>
    </row>
    <row r="28" spans="3:6" s="3" customFormat="1" ht="26.25" x14ac:dyDescent="0.4">
      <c r="C28" s="75"/>
      <c r="D28" s="119" t="s">
        <v>64</v>
      </c>
      <c r="E28" s="121"/>
      <c r="F28" s="76"/>
    </row>
    <row r="29" spans="3:6" s="3" customFormat="1" ht="25.5" x14ac:dyDescent="0.35">
      <c r="C29" s="75"/>
      <c r="D29" s="73"/>
      <c r="E29" s="74"/>
      <c r="F29" s="76"/>
    </row>
    <row r="30" spans="3:6" s="3" customFormat="1" ht="26.25" x14ac:dyDescent="0.4">
      <c r="C30" s="112"/>
      <c r="D30" s="119" t="s">
        <v>65</v>
      </c>
      <c r="E30" s="120"/>
      <c r="F30" s="113"/>
    </row>
    <row r="31" spans="3:6" s="3" customFormat="1" ht="26.25" thickBot="1" x14ac:dyDescent="0.4">
      <c r="C31" s="115"/>
      <c r="D31" s="116"/>
      <c r="E31" s="117"/>
      <c r="F31" s="118"/>
    </row>
    <row r="32" spans="3:6" s="3" customFormat="1" x14ac:dyDescent="0.2">
      <c r="C32" s="2"/>
      <c r="D32" s="2"/>
      <c r="E32" s="2"/>
      <c r="F32" s="2"/>
    </row>
    <row r="33" spans="2:6" s="3" customFormat="1" x14ac:dyDescent="0.35">
      <c r="B33" s="2"/>
      <c r="C33" s="2"/>
      <c r="D33" s="1"/>
      <c r="E33" s="1"/>
      <c r="F33" s="2"/>
    </row>
    <row r="34" spans="2:6" s="3" customFormat="1" x14ac:dyDescent="0.35">
      <c r="B34" s="2"/>
      <c r="C34" s="2"/>
      <c r="D34" s="1"/>
      <c r="E34" s="2"/>
    </row>
    <row r="35" spans="2:6" s="3" customFormat="1" x14ac:dyDescent="0.35">
      <c r="B35" s="2"/>
      <c r="C35" s="2"/>
      <c r="D35" s="1"/>
      <c r="E35" s="1"/>
      <c r="F35" s="2"/>
    </row>
    <row r="36" spans="2:6" s="3" customFormat="1" x14ac:dyDescent="0.35">
      <c r="B36" s="2"/>
      <c r="C36" s="2"/>
      <c r="D36" s="1"/>
      <c r="E36" s="1"/>
      <c r="F36" s="2"/>
    </row>
    <row r="37" spans="2:6" s="3" customFormat="1" x14ac:dyDescent="0.35">
      <c r="B37" s="2"/>
      <c r="C37" s="2"/>
      <c r="D37" s="1"/>
      <c r="E37" s="1"/>
      <c r="F37" s="2"/>
    </row>
    <row r="38" spans="2:6" s="3" customFormat="1" x14ac:dyDescent="0.35">
      <c r="B38" s="2"/>
      <c r="C38" s="2"/>
      <c r="D38" s="1"/>
      <c r="E38" s="1"/>
      <c r="F38" s="2"/>
    </row>
    <row r="39" spans="2:6" s="3" customFormat="1" x14ac:dyDescent="0.35">
      <c r="B39" s="2"/>
      <c r="C39" s="2"/>
      <c r="D39" s="1"/>
      <c r="E39" s="1"/>
      <c r="F39" s="2"/>
    </row>
    <row r="40" spans="2:6" s="3" customFormat="1" x14ac:dyDescent="0.35">
      <c r="B40" s="2"/>
      <c r="C40" s="2"/>
      <c r="D40" s="1"/>
      <c r="E40" s="1"/>
      <c r="F40" s="2"/>
    </row>
    <row r="41" spans="2:6" s="3" customFormat="1" x14ac:dyDescent="0.35">
      <c r="B41" s="2"/>
      <c r="C41" s="2"/>
      <c r="D41" s="1"/>
      <c r="E41" s="1"/>
      <c r="F41" s="2"/>
    </row>
    <row r="42" spans="2:6" s="3" customFormat="1" x14ac:dyDescent="0.35">
      <c r="B42" s="2"/>
      <c r="C42" s="2"/>
      <c r="D42" s="1"/>
      <c r="E42" s="1"/>
      <c r="F42" s="2"/>
    </row>
    <row r="43" spans="2:6" s="3" customFormat="1" x14ac:dyDescent="0.35">
      <c r="B43" s="2"/>
      <c r="C43" s="2"/>
      <c r="D43" s="1"/>
      <c r="E43" s="1"/>
      <c r="F43" s="2"/>
    </row>
    <row r="44" spans="2:6" s="3" customFormat="1" x14ac:dyDescent="0.35">
      <c r="B44" s="2"/>
      <c r="C44" s="2"/>
      <c r="D44" s="1"/>
      <c r="E44" s="1"/>
      <c r="F44" s="2"/>
    </row>
    <row r="45" spans="2:6" s="3" customFormat="1" x14ac:dyDescent="0.35">
      <c r="B45" s="2"/>
      <c r="C45" s="2"/>
      <c r="D45" s="1"/>
      <c r="E45" s="1"/>
      <c r="F45" s="2"/>
    </row>
    <row r="46" spans="2:6" s="3" customFormat="1" x14ac:dyDescent="0.35">
      <c r="B46" s="2"/>
      <c r="C46" s="2"/>
      <c r="D46" s="1"/>
      <c r="E46" s="1"/>
      <c r="F46" s="2"/>
    </row>
    <row r="47" spans="2:6" s="3" customFormat="1" x14ac:dyDescent="0.35">
      <c r="B47" s="2"/>
      <c r="C47" s="1"/>
      <c r="D47" s="1"/>
      <c r="E47" s="1"/>
      <c r="F47" s="1"/>
    </row>
    <row r="48" spans="2:6" s="3" customFormat="1" x14ac:dyDescent="0.35">
      <c r="B48" s="2"/>
      <c r="C48" s="1"/>
      <c r="D48" s="1"/>
      <c r="E48" s="1"/>
      <c r="F48" s="1"/>
    </row>
    <row r="49" spans="2:6" s="3" customFormat="1" x14ac:dyDescent="0.35">
      <c r="B49" s="2"/>
      <c r="C49" s="1"/>
      <c r="D49" s="1"/>
      <c r="E49" s="1"/>
      <c r="F49" s="1"/>
    </row>
    <row r="50" spans="2:6" s="3" customFormat="1" x14ac:dyDescent="0.35">
      <c r="B50" s="2"/>
      <c r="C50" s="1"/>
      <c r="D50" s="1"/>
      <c r="E50" s="1"/>
      <c r="F50" s="1"/>
    </row>
  </sheetData>
  <sheetProtection sheet="1"/>
  <mergeCells count="1">
    <mergeCell ref="D7:E7"/>
  </mergeCells>
  <phoneticPr fontId="29" type="noConversion"/>
  <hyperlinks>
    <hyperlink ref="D13" location="'1. Pipeline information'!A1" display="1. PIPELINE INFORMATION" xr:uid="{9C162E5B-C6F9-4727-9907-C25817624872}"/>
    <hyperlink ref="E26" location="'4.1 Pipelines capex'!A1" display="4.1 Pipelines capex" xr:uid="{7ED80B8A-90E5-4889-AB7A-47EB0CB8E1E0}"/>
    <hyperlink ref="D28" location="'5. Historical demand'!A1" display="5. Historical demand" xr:uid="{08F4C133-EBE9-40EB-8C85-8F4146C048C9}"/>
    <hyperlink ref="D30" location="'6. Pricing template'!A1" display="6. PRICING TEMPLATE" xr:uid="{59CCD8A0-E2A1-4D04-872E-620B70BB972B}"/>
    <hyperlink ref="D15" location="'2. Revenue and expenses'!A1" display="2. REVENUE AND EXPENSES" xr:uid="{B5438F57-4DC8-4BF1-8790-8B76CA334D5E}"/>
    <hyperlink ref="E9" location="'Financial summary'!A1" display="Financial summary" xr:uid="{6E6900EE-6B40-4703-B866-0716C614FA36}"/>
    <hyperlink ref="E10" location="'Data visualisation'!A1" display="Data visualisation" xr:uid="{669DF353-29BC-4E70-883E-F4C2228A2EDA}"/>
    <hyperlink ref="E11" location="'Pricing benchmarks summary'!A1" display="Pricing benchmarks summary" xr:uid="{8F545989-E49B-4617-90ED-CA5E04CAEFD1}"/>
    <hyperlink ref="E15" location="'2.1 Profit &amp; Loss by component'!A1" display="2.1 Profit &amp; Loss by component" xr:uid="{C8DB753E-2D50-409F-B092-3B03B99F876E}"/>
    <hyperlink ref="E17" location="'2.3 Revenue contributions '!A1" display="2.3 Revenue contributions " xr:uid="{FE44CD2C-BAFB-47E4-81DE-1763D1FCB308}"/>
    <hyperlink ref="E18" location="'2.4 Indirect revenue'!A1" display="2.4 Indirect revenue" xr:uid="{F3118A2D-32AA-48FB-ACD3-11227ECB1453}"/>
    <hyperlink ref="E19" location="'2.5 Shared expenses'!A1" display="2.5 Shared expenses" xr:uid="{32B25475-F826-462B-B9B0-3EF9F479E24D}"/>
    <hyperlink ref="D26" location="'4. Recovered Capital'!A1" display="4. ASSET - RECOVERED CAPITAL METHOD (RCM)" xr:uid="{5925D52C-DA15-4870-98CA-D3D908B7EEA2}"/>
    <hyperlink ref="D21" location="'3.1 Depreciated Book Value'!Print_Area" display="3.1 ASSET VALUE - DEPRICIATED BOOK VALUE METHOD (DBVM)" xr:uid="{E0C29A95-A5BE-4632-B518-429CAB084309}"/>
    <hyperlink ref="D22" location="'3.2 Regulatory Asset Base'!Print_Area" display="3.2 ASSET VALUE - REGULATORY ASSET BASE (RAB)" xr:uid="{E77D9D0C-0C85-423E-9A7E-6B4CFEFF522F}"/>
    <hyperlink ref="E21" location="'3.3 Asset useful life'!Print_Area" display="3.3 Asset useful life" xr:uid="{0CFBAE46-BC0E-4BA0-AB81-D988C3FBD58F}"/>
    <hyperlink ref="E22" location="'3.4 Asset impairment'!Print_Area" display="3.4 Asset impairment" xr:uid="{C56A3059-DC3F-4A00-B2EA-46D7A5A33669}"/>
    <hyperlink ref="E23" location="'3.5 Depreciation amortisation'!Print_Area" display="3.5 Depreciation amortisation" xr:uid="{8AC989E7-71E4-415E-B00C-8DB92456E1B0}"/>
    <hyperlink ref="E24" location="'3.6 Shared supporting assets'!Print_Area" display="3.6 Shared supporting assets" xr:uid="{9837AC22-0665-40F5-97E4-BA0321F8FD91}"/>
    <hyperlink ref="E16" location="'2.2 Allocation to services'!Print_Area" display="2.2 Allocation to pipeline services" xr:uid="{F8A0D4F7-751D-48B3-93C4-C41937B8AEF0}"/>
  </hyperlinks>
  <pageMargins left="0.25" right="0.25" top="0.75" bottom="0.75" header="0.3" footer="0.3"/>
  <pageSetup paperSize="9" scale="10" orientation="portrait" r:id="rId1"/>
  <headerFooter alignWithMargins="0">
    <oddFooter>&amp;L&amp;D&amp;C&amp; Template: &amp;A
&amp;F_x000D_&amp;1#&amp;"Calibri"&amp;10&amp;K008000 APA-INTERNAL&amp;R&amp;P o&amp;Of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08040-902F-4BB3-8916-4702BEB6B2D2}">
  <sheetPr codeName="Sheet4">
    <tabColor rgb="FF17415D"/>
  </sheetPr>
  <dimension ref="A1:G48"/>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defaultRowHeight="12.75" x14ac:dyDescent="0.2"/>
  <cols>
    <col min="1" max="1" width="11.85546875" customWidth="1"/>
    <col min="2" max="2" width="69.28515625" customWidth="1"/>
    <col min="3" max="3" width="38.85546875" customWidth="1"/>
    <col min="4" max="4" width="40.140625" customWidth="1"/>
    <col min="5" max="5" width="55" customWidth="1"/>
    <col min="6" max="6" width="39.7109375" customWidth="1"/>
    <col min="7" max="7" width="38.42578125" customWidth="1"/>
    <col min="8" max="8" width="37.140625" customWidth="1"/>
  </cols>
  <sheetData>
    <row r="1" spans="1:7" ht="20.25" x14ac:dyDescent="0.2">
      <c r="A1" s="4"/>
      <c r="B1" s="103" t="s">
        <v>66</v>
      </c>
      <c r="C1" s="103"/>
    </row>
    <row r="2" spans="1:7" ht="20.25" customHeight="1" x14ac:dyDescent="0.2">
      <c r="A2" s="4"/>
      <c r="B2" s="103" t="str">
        <f>IF(Tradingname=0," ",Tradingname)</f>
        <v>APT PIPELINES (NT) PTY LIMITED</v>
      </c>
      <c r="C2" s="103"/>
    </row>
    <row r="3" spans="1:7" ht="20.25" x14ac:dyDescent="0.3">
      <c r="B3" s="103" t="s">
        <v>44</v>
      </c>
      <c r="C3" s="80">
        <f>IF(Yearending=0, "01/01/2000", Yearending)</f>
        <v>45838</v>
      </c>
    </row>
    <row r="4" spans="1:7" ht="20.25" x14ac:dyDescent="0.2">
      <c r="B4" s="72" t="s">
        <v>47</v>
      </c>
      <c r="C4" s="72"/>
      <c r="F4" s="248"/>
      <c r="G4" s="248"/>
    </row>
    <row r="5" spans="1:7" x14ac:dyDescent="0.2">
      <c r="C5" s="248"/>
    </row>
    <row r="6" spans="1:7" ht="15.75" x14ac:dyDescent="0.25">
      <c r="B6" s="86" t="s">
        <v>67</v>
      </c>
      <c r="C6" s="85"/>
    </row>
    <row r="9" spans="1:7" x14ac:dyDescent="0.2">
      <c r="B9" s="23" t="s">
        <v>68</v>
      </c>
      <c r="C9" s="23" t="s">
        <v>69</v>
      </c>
    </row>
    <row r="10" spans="1:7" x14ac:dyDescent="0.2">
      <c r="B10" s="97" t="s">
        <v>70</v>
      </c>
      <c r="C10" s="99">
        <f>'2.1 Profit &amp; Loss by component'!$F$18</f>
        <v>24016625.219999995</v>
      </c>
    </row>
    <row r="11" spans="1:7" x14ac:dyDescent="0.2">
      <c r="B11" s="97" t="s">
        <v>71</v>
      </c>
      <c r="C11" s="99">
        <f>'2.1 Profit &amp; Loss by component'!$F$21</f>
        <v>0</v>
      </c>
    </row>
    <row r="12" spans="1:7" x14ac:dyDescent="0.2">
      <c r="B12" s="98" t="s">
        <v>72</v>
      </c>
      <c r="C12" s="99">
        <f>'2.1 Profit &amp; Loss by component'!$F$22</f>
        <v>24016625.219999995</v>
      </c>
    </row>
    <row r="13" spans="1:7" x14ac:dyDescent="0.2">
      <c r="B13" s="21" t="s">
        <v>73</v>
      </c>
      <c r="C13" s="99">
        <f>'2.1 Profit &amp; Loss by component'!$F$32</f>
        <v>19215631.442326836</v>
      </c>
    </row>
    <row r="14" spans="1:7" x14ac:dyDescent="0.2">
      <c r="B14" s="22" t="s">
        <v>74</v>
      </c>
      <c r="C14" s="99">
        <f>'2.1 Profit &amp; Loss by component'!$F$43</f>
        <v>2660848.3857639809</v>
      </c>
    </row>
    <row r="15" spans="1:7" x14ac:dyDescent="0.2">
      <c r="B15" s="98" t="s">
        <v>75</v>
      </c>
      <c r="C15" s="99">
        <f>'2.1 Profit &amp; Loss by component'!$F$44</f>
        <v>21876479.828090817</v>
      </c>
    </row>
    <row r="16" spans="1:7" x14ac:dyDescent="0.2">
      <c r="B16" s="98" t="s">
        <v>76</v>
      </c>
      <c r="C16" s="99">
        <f>'2.1 Profit &amp; Loss by component'!$F$45</f>
        <v>2140145.3919091783</v>
      </c>
    </row>
    <row r="17" spans="2:5" x14ac:dyDescent="0.2">
      <c r="B17" s="12"/>
      <c r="C17" s="12"/>
      <c r="D17" s="12"/>
      <c r="E17" s="12"/>
    </row>
    <row r="19" spans="2:5" x14ac:dyDescent="0.2">
      <c r="B19" s="23" t="s">
        <v>77</v>
      </c>
      <c r="C19" s="23" t="s">
        <v>78</v>
      </c>
    </row>
    <row r="20" spans="2:5" ht="15.75" x14ac:dyDescent="0.2">
      <c r="B20" s="64" t="s">
        <v>79</v>
      </c>
      <c r="C20" s="13">
        <f>'3.1 Depreciated Book Value'!$D$125</f>
        <v>0</v>
      </c>
    </row>
    <row r="21" spans="2:5" ht="15.75" x14ac:dyDescent="0.2">
      <c r="B21" s="64" t="s">
        <v>80</v>
      </c>
      <c r="C21" s="65">
        <f>IFERROR(C16/C20,0)</f>
        <v>0</v>
      </c>
    </row>
    <row r="22" spans="2:5" x14ac:dyDescent="0.2">
      <c r="B22" s="23" t="s">
        <v>81</v>
      </c>
      <c r="C22" s="23" t="s">
        <v>78</v>
      </c>
    </row>
    <row r="23" spans="2:5" ht="15.75" x14ac:dyDescent="0.2">
      <c r="B23" s="64" t="s">
        <v>79</v>
      </c>
      <c r="C23" s="13">
        <f>'3.2 Regulatory Asset Base'!$H$95</f>
        <v>171699812.55707675</v>
      </c>
    </row>
    <row r="24" spans="2:5" ht="15.75" x14ac:dyDescent="0.2">
      <c r="B24" s="64" t="s">
        <v>80</v>
      </c>
      <c r="C24" s="65">
        <f>IFERROR(C16/C23,0)</f>
        <v>1.2464459687151652E-2</v>
      </c>
    </row>
    <row r="25" spans="2:5" x14ac:dyDescent="0.2">
      <c r="B25" s="23" t="s">
        <v>82</v>
      </c>
      <c r="C25" s="23" t="s">
        <v>78</v>
      </c>
    </row>
    <row r="26" spans="2:5" ht="15.75" x14ac:dyDescent="0.2">
      <c r="B26" s="64" t="s">
        <v>83</v>
      </c>
      <c r="C26" s="99">
        <f>'4. Recovered Capital'!$E$29</f>
        <v>0</v>
      </c>
    </row>
    <row r="27" spans="2:5" ht="15.75" x14ac:dyDescent="0.2">
      <c r="B27" s="64" t="s">
        <v>80</v>
      </c>
      <c r="C27" s="65">
        <f>IFERROR(C16/INDEX('4. Recovered Capital'!$F$12:$BH$39,27,MATCH(VALUE(RIGHT(TEXT(C3,"dd/mm/yyyy"),4)),'4. Recovered Capital'!$F$12:$BH$12,0)),0)</f>
        <v>0</v>
      </c>
    </row>
    <row r="41" ht="27" customHeight="1" x14ac:dyDescent="0.2"/>
    <row r="48" ht="31.7" customHeight="1" x14ac:dyDescent="0.2"/>
  </sheetData>
  <sheetProtection sheet="1"/>
  <pageMargins left="0.7" right="0.7" top="0.75" bottom="0.75" header="0.3" footer="0.3"/>
  <pageSetup paperSize="9" orientation="portrait" r:id="rId1"/>
  <headerFooter>
    <oddFooter>&amp;C_x000D_&amp;1#&amp;"Calibri"&amp;10&amp;K008000 APA-INTERNAL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C1BCC-B2F0-4C6A-B13A-C59C92136444}">
  <sheetPr codeName="Sheet18">
    <tabColor rgb="FF17415D"/>
  </sheetPr>
  <dimension ref="B1:E60"/>
  <sheetViews>
    <sheetView zoomScale="57" zoomScaleNormal="70"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140625" style="169" customWidth="1"/>
    <col min="2" max="2" width="21" style="169" customWidth="1"/>
    <col min="3" max="5" width="42.28515625" style="169" customWidth="1"/>
    <col min="6" max="6" width="34.85546875" style="169" customWidth="1"/>
    <col min="7" max="7" width="44" style="169" customWidth="1"/>
    <col min="8" max="8" width="9.140625" style="169"/>
    <col min="9" max="9" width="70.85546875" style="169" customWidth="1"/>
    <col min="10" max="10" width="108.7109375" style="169" bestFit="1" customWidth="1"/>
    <col min="11" max="16384" width="9.140625" style="169"/>
  </cols>
  <sheetData>
    <row r="1" spans="2:5" ht="20.25" customHeight="1" x14ac:dyDescent="0.3">
      <c r="B1" s="103" t="s">
        <v>66</v>
      </c>
      <c r="C1" s="103"/>
      <c r="D1" s="168"/>
      <c r="E1" s="168"/>
    </row>
    <row r="2" spans="2:5" ht="20.25" x14ac:dyDescent="0.3">
      <c r="B2" s="103" t="str">
        <f>IF(Tradingname=0," ",Tradingname)</f>
        <v>APT PIPELINES (NT) PTY LIMITED</v>
      </c>
      <c r="C2" s="103"/>
      <c r="D2" s="170"/>
    </row>
    <row r="3" spans="2:5" ht="22.7" customHeight="1" x14ac:dyDescent="0.3">
      <c r="B3" s="103" t="s">
        <v>44</v>
      </c>
      <c r="C3" s="80">
        <f>IF(Yearending=0, "01/01/2000", Yearending)</f>
        <v>45838</v>
      </c>
    </row>
    <row r="4" spans="2:5" ht="20.25" x14ac:dyDescent="0.2">
      <c r="B4" s="72" t="s">
        <v>48</v>
      </c>
      <c r="C4" s="72"/>
    </row>
    <row r="7" spans="2:5" ht="15.75" x14ac:dyDescent="0.25">
      <c r="B7" s="171" t="s">
        <v>84</v>
      </c>
    </row>
    <row r="59" spans="2:5" ht="15.75" x14ac:dyDescent="0.25">
      <c r="B59" s="171" t="s">
        <v>85</v>
      </c>
      <c r="C59" s="263"/>
      <c r="D59" s="263"/>
      <c r="E59" s="263"/>
    </row>
    <row r="60" spans="2:5" ht="15.75" x14ac:dyDescent="0.25">
      <c r="B60" s="171"/>
      <c r="C60" s="263"/>
      <c r="D60" s="263"/>
      <c r="E60" s="263"/>
    </row>
  </sheetData>
  <sheetProtection sheet="1" objects="1" scenarios="1"/>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1B7D0-E7DC-4EA3-AE19-D449D57FEB14}">
  <sheetPr codeName="Sheet19">
    <tabColor rgb="FF17415D"/>
  </sheetPr>
  <dimension ref="A1:G42"/>
  <sheetViews>
    <sheetView showGridLines="0" zoomScale="97" zoomScaleNormal="55" workbookViewId="0">
      <pane xSplit="1" ySplit="6" topLeftCell="B7" activePane="bottomRight" state="frozen"/>
      <selection pane="topRight" activeCell="B1" sqref="B1"/>
      <selection pane="bottomLeft" activeCell="A7" sqref="A7"/>
      <selection pane="bottomRight"/>
    </sheetView>
  </sheetViews>
  <sheetFormatPr defaultRowHeight="12.75" x14ac:dyDescent="0.2"/>
  <cols>
    <col min="1" max="1" width="11.85546875" customWidth="1"/>
    <col min="2" max="2" width="60.140625" customWidth="1"/>
    <col min="3" max="3" width="38.85546875" customWidth="1"/>
    <col min="4" max="4" width="40.140625" customWidth="1"/>
    <col min="5" max="5" width="55" customWidth="1"/>
    <col min="6" max="6" width="39.7109375" customWidth="1"/>
    <col min="7" max="7" width="38.42578125" customWidth="1"/>
    <col min="8" max="8" width="37.140625" customWidth="1"/>
  </cols>
  <sheetData>
    <row r="1" spans="1:7" ht="20.25" x14ac:dyDescent="0.2">
      <c r="A1" s="4"/>
      <c r="B1" s="103" t="s">
        <v>66</v>
      </c>
      <c r="C1" s="103"/>
    </row>
    <row r="2" spans="1:7" ht="20.25" customHeight="1" x14ac:dyDescent="0.2">
      <c r="A2" s="4"/>
      <c r="B2" s="103" t="str">
        <f>IF(Tradingname=0," ",Tradingname)</f>
        <v>APT PIPELINES (NT) PTY LIMITED</v>
      </c>
      <c r="C2" s="103"/>
    </row>
    <row r="3" spans="1:7" ht="20.25" x14ac:dyDescent="0.3">
      <c r="B3" s="103" t="s">
        <v>44</v>
      </c>
      <c r="C3" s="80">
        <f>IF(Yearending=0, "01/01/2000", Yearending)</f>
        <v>45838</v>
      </c>
    </row>
    <row r="4" spans="1:7" ht="20.25" x14ac:dyDescent="0.2">
      <c r="B4" s="72" t="s">
        <v>49</v>
      </c>
      <c r="C4" s="72"/>
      <c r="F4" s="248"/>
      <c r="G4" s="248"/>
    </row>
    <row r="5" spans="1:7" x14ac:dyDescent="0.2">
      <c r="C5" s="248"/>
    </row>
    <row r="6" spans="1:7" ht="15.75" x14ac:dyDescent="0.25">
      <c r="B6" s="86" t="s">
        <v>67</v>
      </c>
      <c r="C6" s="85"/>
    </row>
    <row r="9" spans="1:7" x14ac:dyDescent="0.2">
      <c r="B9" s="23" t="s">
        <v>86</v>
      </c>
      <c r="C9" s="388" t="s">
        <v>87</v>
      </c>
      <c r="D9" s="389"/>
      <c r="E9" s="390" t="s">
        <v>88</v>
      </c>
    </row>
    <row r="10" spans="1:7" x14ac:dyDescent="0.2">
      <c r="B10" s="91"/>
      <c r="C10" s="89" t="s">
        <v>89</v>
      </c>
      <c r="D10" s="89" t="s">
        <v>90</v>
      </c>
      <c r="E10" s="391"/>
    </row>
    <row r="11" spans="1:7" x14ac:dyDescent="0.2">
      <c r="B11" s="91" t="s">
        <v>91</v>
      </c>
      <c r="C11" s="106">
        <f>IFERROR('6. Pricing template'!$G37,)</f>
        <v>0.36238961617866206</v>
      </c>
      <c r="D11" s="106">
        <f>IFERROR('6. Pricing template'!$G38,)</f>
        <v>0.49825452083671345</v>
      </c>
      <c r="E11" s="107" t="s">
        <v>92</v>
      </c>
    </row>
    <row r="12" spans="1:7" ht="12.75" customHeight="1" x14ac:dyDescent="0.2">
      <c r="B12" s="91" t="s">
        <v>93</v>
      </c>
      <c r="C12" s="106">
        <f>IFERROR('6. Pricing template'!$G39,)</f>
        <v>0</v>
      </c>
      <c r="D12" s="106">
        <f>IFERROR('6. Pricing template'!$G40,)</f>
        <v>0</v>
      </c>
      <c r="E12" s="107" t="s">
        <v>92</v>
      </c>
    </row>
    <row r="13" spans="1:7" x14ac:dyDescent="0.2">
      <c r="B13" s="91" t="s">
        <v>94</v>
      </c>
      <c r="C13" s="106">
        <f>IFERROR('6. Pricing template'!$G41,)</f>
        <v>0</v>
      </c>
      <c r="D13" s="106">
        <f>IFERROR('6. Pricing template'!$G42,)</f>
        <v>0</v>
      </c>
      <c r="E13" s="107" t="s">
        <v>92</v>
      </c>
    </row>
    <row r="14" spans="1:7" x14ac:dyDescent="0.2">
      <c r="B14" s="91" t="s">
        <v>95</v>
      </c>
      <c r="C14" s="106">
        <f>IFERROR('6. Pricing template'!$G43,)</f>
        <v>0</v>
      </c>
      <c r="D14" s="106">
        <f>IFERROR('6. Pricing template'!$G44,)</f>
        <v>0</v>
      </c>
      <c r="E14" s="107" t="s">
        <v>92</v>
      </c>
    </row>
    <row r="15" spans="1:7" x14ac:dyDescent="0.2">
      <c r="B15" s="159" t="s">
        <v>96</v>
      </c>
      <c r="C15" s="106">
        <f>IFERROR('6. Pricing template'!$G45,)</f>
        <v>0</v>
      </c>
      <c r="D15" s="106">
        <f>IFERROR('6. Pricing template'!$G46,)</f>
        <v>0</v>
      </c>
      <c r="E15" s="107" t="s">
        <v>92</v>
      </c>
    </row>
    <row r="16" spans="1:7" ht="12.75" customHeight="1" x14ac:dyDescent="0.2">
      <c r="B16" s="91" t="s">
        <v>97</v>
      </c>
      <c r="C16" s="106">
        <f>IFERROR('6. Pricing template'!$G47,)</f>
        <v>0</v>
      </c>
      <c r="D16" s="106">
        <f>IFERROR('6. Pricing template'!$G48,)</f>
        <v>0</v>
      </c>
      <c r="E16" s="107" t="s">
        <v>92</v>
      </c>
    </row>
    <row r="17" spans="2:5" x14ac:dyDescent="0.2">
      <c r="B17" s="91" t="s">
        <v>98</v>
      </c>
      <c r="C17" s="106">
        <f>IFERROR('6. Pricing template'!$G49,)</f>
        <v>0</v>
      </c>
      <c r="D17" s="106">
        <f>IFERROR('6. Pricing template'!$G50,)</f>
        <v>0</v>
      </c>
      <c r="E17" s="107" t="s">
        <v>92</v>
      </c>
    </row>
    <row r="18" spans="2:5" x14ac:dyDescent="0.2">
      <c r="B18" s="91" t="s">
        <v>99</v>
      </c>
      <c r="C18" s="106">
        <f>IFERROR('6. Pricing template'!$G51,)</f>
        <v>0</v>
      </c>
      <c r="D18" s="106">
        <f>IFERROR('6. Pricing template'!$G52,)</f>
        <v>0</v>
      </c>
      <c r="E18" s="107" t="s">
        <v>100</v>
      </c>
    </row>
    <row r="19" spans="2:5" x14ac:dyDescent="0.2">
      <c r="B19" s="91" t="s">
        <v>101</v>
      </c>
      <c r="C19" s="106">
        <f>IFERROR('6. Pricing template'!$G53,)</f>
        <v>0</v>
      </c>
      <c r="D19" s="106">
        <f>IFERROR('6. Pricing template'!$G54,)</f>
        <v>0</v>
      </c>
      <c r="E19" s="107" t="s">
        <v>102</v>
      </c>
    </row>
    <row r="20" spans="2:5" x14ac:dyDescent="0.2">
      <c r="B20" s="91" t="s">
        <v>103</v>
      </c>
      <c r="C20" s="106">
        <f>IFERROR('6. Pricing template'!$G55,)</f>
        <v>0</v>
      </c>
      <c r="D20" s="106">
        <f>IFERROR('6. Pricing template'!$G56,)</f>
        <v>0</v>
      </c>
      <c r="E20" s="107"/>
    </row>
    <row r="35" ht="27" customHeight="1" x14ac:dyDescent="0.2"/>
    <row r="42" ht="31.7" customHeight="1" x14ac:dyDescent="0.2"/>
  </sheetData>
  <sheetProtection sheet="1" objects="1" scenarios="1"/>
  <mergeCells count="2">
    <mergeCell ref="C9:D9"/>
    <mergeCell ref="E9:E10"/>
  </mergeCells>
  <pageMargins left="0.7" right="0.7" top="0.75" bottom="0.75" header="0.3" footer="0.3"/>
  <pageSetup paperSize="9" orientation="portrait" r:id="rId1"/>
  <headerFooter>
    <oddFooter>&amp;C_x000D_&amp;1#&amp;"Calibri"&amp;10&amp;K008000 APA-INTERNAL</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4505A-EB5E-484F-9D80-CA29E5BCDFC3}">
  <sheetPr codeName="Sheet5">
    <tabColor rgb="FF17415D"/>
  </sheetPr>
  <dimension ref="B1:F42"/>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 style="4" customWidth="1"/>
    <col min="2" max="2" width="42.7109375" style="4" customWidth="1"/>
    <col min="3" max="4" width="42.85546875" style="4" customWidth="1"/>
    <col min="5" max="5" width="10.85546875" style="4" customWidth="1"/>
    <col min="6" max="8" width="19.85546875" style="4" customWidth="1"/>
    <col min="9" max="9" width="18.28515625" style="4" customWidth="1"/>
    <col min="10" max="16384" width="9.140625" style="4"/>
  </cols>
  <sheetData>
    <row r="1" spans="2:6" ht="22.7" customHeight="1" x14ac:dyDescent="0.45">
      <c r="B1" s="103" t="s">
        <v>66</v>
      </c>
      <c r="C1" s="103"/>
      <c r="D1" s="202"/>
    </row>
    <row r="2" spans="2:6" ht="20.25" x14ac:dyDescent="0.2">
      <c r="B2" s="103" t="str">
        <f>IF(Tradingname=0," ",Tradingname)</f>
        <v>APT PIPELINES (NT) PTY LIMITED</v>
      </c>
      <c r="C2" s="103"/>
    </row>
    <row r="3" spans="2:6" ht="20.25" x14ac:dyDescent="0.3">
      <c r="B3" s="103" t="s">
        <v>44</v>
      </c>
      <c r="C3" s="80">
        <f>IF(Yearending=0, "01/01/2000", Yearending)</f>
        <v>45838</v>
      </c>
    </row>
    <row r="4" spans="2:6" ht="20.25" x14ac:dyDescent="0.2">
      <c r="B4" s="72" t="s">
        <v>104</v>
      </c>
      <c r="C4" s="72"/>
    </row>
    <row r="5" spans="2:6" ht="20.25" x14ac:dyDescent="0.3">
      <c r="B5" s="203"/>
    </row>
    <row r="6" spans="2:6" ht="20.25" x14ac:dyDescent="0.3">
      <c r="B6" s="203"/>
    </row>
    <row r="7" spans="2:6" ht="15.75" x14ac:dyDescent="0.25">
      <c r="B7" s="175" t="s">
        <v>105</v>
      </c>
    </row>
    <row r="8" spans="2:6" x14ac:dyDescent="0.2">
      <c r="B8" s="176"/>
      <c r="C8" s="264"/>
      <c r="D8" s="264"/>
      <c r="E8" s="265"/>
      <c r="F8" s="266"/>
    </row>
    <row r="9" spans="2:6" ht="13.7" customHeight="1" x14ac:dyDescent="0.2">
      <c r="B9" s="24" t="s">
        <v>106</v>
      </c>
      <c r="C9" s="267" t="s">
        <v>514</v>
      </c>
    </row>
    <row r="10" spans="2:6" ht="13.7" customHeight="1" x14ac:dyDescent="0.2">
      <c r="B10" s="24" t="s">
        <v>107</v>
      </c>
      <c r="C10" s="268">
        <v>1626</v>
      </c>
    </row>
    <row r="11" spans="2:6" ht="13.7" customHeight="1" x14ac:dyDescent="0.2">
      <c r="B11" s="24" t="s">
        <v>108</v>
      </c>
      <c r="C11" s="269">
        <v>6</v>
      </c>
    </row>
    <row r="12" spans="2:6" ht="13.7" customHeight="1" x14ac:dyDescent="0.2">
      <c r="B12" s="24" t="s">
        <v>109</v>
      </c>
      <c r="C12" s="269" t="s">
        <v>110</v>
      </c>
    </row>
    <row r="13" spans="2:6" ht="13.7" customHeight="1" x14ac:dyDescent="0.2">
      <c r="B13" s="24" t="s">
        <v>111</v>
      </c>
      <c r="C13" s="270">
        <v>165</v>
      </c>
    </row>
    <row r="14" spans="2:6" ht="13.7" customHeight="1" x14ac:dyDescent="0.2">
      <c r="B14" s="24" t="s">
        <v>112</v>
      </c>
      <c r="C14" s="258" t="s">
        <v>515</v>
      </c>
    </row>
    <row r="15" spans="2:6" ht="13.7" customHeight="1" x14ac:dyDescent="0.2">
      <c r="B15" s="24" t="str">
        <f>IF(Cover!C23="Scheme pipeline", "Date opening RAB established","")</f>
        <v>Date opening RAB established</v>
      </c>
      <c r="C15" s="271">
        <v>37073</v>
      </c>
    </row>
    <row r="16" spans="2:6" ht="13.7" customHeight="1" x14ac:dyDescent="0.2">
      <c r="B16" s="24" t="str">
        <f>IF(Cover!C23="Scheme pipeline", "Open RAB value on date established","")</f>
        <v>Open RAB value on date established</v>
      </c>
      <c r="C16" s="272">
        <v>228479113.03311837</v>
      </c>
    </row>
    <row r="18" spans="2:4" ht="15.75" x14ac:dyDescent="0.25">
      <c r="B18" s="175" t="s">
        <v>113</v>
      </c>
    </row>
    <row r="20" spans="2:4" ht="51" customHeight="1" x14ac:dyDescent="0.2">
      <c r="B20" s="104" t="s">
        <v>114</v>
      </c>
      <c r="C20" s="87" t="s">
        <v>115</v>
      </c>
      <c r="D20" s="87" t="s">
        <v>116</v>
      </c>
    </row>
    <row r="21" spans="2:4" ht="14.25" x14ac:dyDescent="0.2">
      <c r="B21" s="26" t="s">
        <v>117</v>
      </c>
      <c r="C21" s="204"/>
      <c r="D21" s="204"/>
    </row>
    <row r="22" spans="2:4" x14ac:dyDescent="0.2">
      <c r="B22" s="27" t="s">
        <v>91</v>
      </c>
      <c r="C22" s="273" t="s">
        <v>118</v>
      </c>
      <c r="D22" s="273" t="s">
        <v>24</v>
      </c>
    </row>
    <row r="23" spans="2:4" x14ac:dyDescent="0.2">
      <c r="B23" s="27" t="s">
        <v>119</v>
      </c>
      <c r="C23" s="273" t="s">
        <v>24</v>
      </c>
      <c r="D23" s="273" t="s">
        <v>24</v>
      </c>
    </row>
    <row r="24" spans="2:4" ht="25.5" x14ac:dyDescent="0.2">
      <c r="B24" s="27" t="s">
        <v>94</v>
      </c>
      <c r="C24" s="273" t="s">
        <v>118</v>
      </c>
      <c r="D24" s="273" t="s">
        <v>24</v>
      </c>
    </row>
    <row r="25" spans="2:4" ht="14.25" x14ac:dyDescent="0.2">
      <c r="B25" s="28" t="s">
        <v>120</v>
      </c>
      <c r="C25" s="204"/>
      <c r="D25" s="204"/>
    </row>
    <row r="26" spans="2:4" x14ac:dyDescent="0.2">
      <c r="B26" s="29" t="s">
        <v>95</v>
      </c>
      <c r="C26" s="273" t="s">
        <v>24</v>
      </c>
      <c r="D26" s="273" t="s">
        <v>24</v>
      </c>
    </row>
    <row r="27" spans="2:4" ht="25.5" x14ac:dyDescent="0.2">
      <c r="B27" s="30" t="s">
        <v>96</v>
      </c>
      <c r="C27" s="273" t="s">
        <v>24</v>
      </c>
      <c r="D27" s="273" t="s">
        <v>24</v>
      </c>
    </row>
    <row r="28" spans="2:4" ht="14.25" x14ac:dyDescent="0.2">
      <c r="B28" s="28" t="s">
        <v>121</v>
      </c>
      <c r="C28" s="204"/>
      <c r="D28" s="204"/>
    </row>
    <row r="29" spans="2:4" x14ac:dyDescent="0.2">
      <c r="B29" s="27" t="s">
        <v>122</v>
      </c>
      <c r="C29" s="273" t="s">
        <v>24</v>
      </c>
      <c r="D29" s="273" t="s">
        <v>24</v>
      </c>
    </row>
    <row r="30" spans="2:4" x14ac:dyDescent="0.2">
      <c r="B30" s="27" t="s">
        <v>98</v>
      </c>
      <c r="C30" s="273" t="s">
        <v>118</v>
      </c>
      <c r="D30" s="273" t="s">
        <v>24</v>
      </c>
    </row>
    <row r="31" spans="2:4" ht="14.25" x14ac:dyDescent="0.2">
      <c r="B31" s="26" t="s">
        <v>123</v>
      </c>
      <c r="C31" s="204"/>
      <c r="D31" s="204"/>
    </row>
    <row r="32" spans="2:4" x14ac:dyDescent="0.2">
      <c r="B32" s="27" t="s">
        <v>99</v>
      </c>
      <c r="C32" s="273" t="s">
        <v>118</v>
      </c>
      <c r="D32" s="273" t="s">
        <v>24</v>
      </c>
    </row>
    <row r="33" spans="2:4" x14ac:dyDescent="0.2">
      <c r="B33" s="27" t="s">
        <v>101</v>
      </c>
      <c r="C33" s="273" t="s">
        <v>118</v>
      </c>
      <c r="D33" s="273" t="s">
        <v>24</v>
      </c>
    </row>
    <row r="34" spans="2:4" ht="14.25" x14ac:dyDescent="0.2">
      <c r="B34" s="26" t="s">
        <v>124</v>
      </c>
      <c r="C34" s="204"/>
      <c r="D34" s="204"/>
    </row>
    <row r="35" spans="2:4" x14ac:dyDescent="0.2">
      <c r="B35" s="274" t="s">
        <v>125</v>
      </c>
      <c r="C35" s="275"/>
      <c r="D35" s="275"/>
    </row>
    <row r="36" spans="2:4" x14ac:dyDescent="0.2">
      <c r="B36" s="274" t="s">
        <v>125</v>
      </c>
      <c r="C36" s="275"/>
      <c r="D36" s="275"/>
    </row>
    <row r="37" spans="2:4" x14ac:dyDescent="0.2">
      <c r="B37" s="274" t="s">
        <v>125</v>
      </c>
      <c r="C37" s="275"/>
      <c r="D37" s="275"/>
    </row>
    <row r="38" spans="2:4" x14ac:dyDescent="0.2">
      <c r="B38" s="274" t="s">
        <v>125</v>
      </c>
      <c r="C38" s="275"/>
      <c r="D38" s="275"/>
    </row>
    <row r="39" spans="2:4" x14ac:dyDescent="0.2">
      <c r="B39" s="274" t="s">
        <v>125</v>
      </c>
      <c r="C39" s="275"/>
      <c r="D39" s="275"/>
    </row>
    <row r="40" spans="2:4" x14ac:dyDescent="0.2">
      <c r="B40" s="274" t="s">
        <v>125</v>
      </c>
      <c r="C40" s="275"/>
      <c r="D40" s="275"/>
    </row>
    <row r="41" spans="2:4" x14ac:dyDescent="0.2">
      <c r="B41" s="274" t="s">
        <v>125</v>
      </c>
      <c r="C41" s="275"/>
      <c r="D41" s="275"/>
    </row>
    <row r="42" spans="2:4" x14ac:dyDescent="0.2">
      <c r="B42" s="274" t="s">
        <v>125</v>
      </c>
      <c r="C42" s="275"/>
      <c r="D42" s="275"/>
    </row>
  </sheetData>
  <sheetProtection sheet="1" insertRows="0"/>
  <dataValidations count="2">
    <dataValidation type="list" allowBlank="1" showInputMessage="1" showErrorMessage="1" sqref="C12" xr:uid="{7D136B71-AA78-41C3-8E3C-E866EA294F3F}">
      <formula1>"Distribution,Transmission"</formula1>
    </dataValidation>
    <dataValidation type="list" allowBlank="1" showInputMessage="1" showErrorMessage="1" sqref="C22:D24 C26:D27 C29:D30 C32:D33" xr:uid="{D6CCE6F9-B6EA-45F3-B4D9-0C20DC08AA4E}">
      <formula1>"Yes,No"</formula1>
    </dataValidation>
  </dataValidations>
  <pageMargins left="0.75" right="0.75" top="1" bottom="1" header="0.5" footer="0.5"/>
  <pageSetup paperSize="9" scale="59" orientation="landscape" r:id="rId1"/>
  <headerFooter alignWithMargins="0">
    <oddFooter>&amp;C_x000D_&amp;1#&amp;"Calibri"&amp;10&amp;K008000 APA-INTERNAL</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E41F6-169C-411F-88AB-9DD6E24618DD}">
  <sheetPr codeName="Sheet2">
    <tabColor rgb="FF17415D"/>
    <pageSetUpPr fitToPage="1"/>
  </sheetPr>
  <dimension ref="B1:G22"/>
  <sheetViews>
    <sheetView zoomScaleNormal="113"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 style="4" customWidth="1"/>
    <col min="2" max="2" width="19.28515625" style="4" customWidth="1"/>
    <col min="3" max="3" width="55.7109375" style="4" customWidth="1"/>
    <col min="4" max="4" width="30.7109375" style="4" customWidth="1"/>
    <col min="5" max="5" width="55.7109375" style="4" customWidth="1"/>
    <col min="6" max="7" width="30.7109375" style="4" customWidth="1"/>
    <col min="8" max="16384" width="9.140625" style="4"/>
  </cols>
  <sheetData>
    <row r="1" spans="2:7" ht="20.25" x14ac:dyDescent="0.3">
      <c r="B1" s="103" t="s">
        <v>66</v>
      </c>
      <c r="C1" s="103"/>
      <c r="D1" s="168"/>
      <c r="E1" s="168"/>
      <c r="F1" s="168"/>
      <c r="G1" s="168"/>
    </row>
    <row r="2" spans="2:7" ht="18" customHeight="1" x14ac:dyDescent="0.45">
      <c r="B2" s="103" t="str">
        <f>IF(Tradingname=0," ",Tradingname)</f>
        <v>APT PIPELINES (NT) PTY LIMITED</v>
      </c>
      <c r="C2" s="103"/>
      <c r="G2" s="202"/>
    </row>
    <row r="3" spans="2:7" ht="20.25" x14ac:dyDescent="0.3">
      <c r="B3" s="103" t="s">
        <v>44</v>
      </c>
      <c r="C3" s="80">
        <f>IF(Yearending=0, "01/01/2000", Yearending)</f>
        <v>45838</v>
      </c>
    </row>
    <row r="4" spans="2:7" ht="20.25" x14ac:dyDescent="0.2">
      <c r="B4" s="72" t="s">
        <v>126</v>
      </c>
      <c r="C4" s="72"/>
      <c r="E4" s="276"/>
    </row>
    <row r="7" spans="2:7" ht="15.75" x14ac:dyDescent="0.2">
      <c r="B7" s="205" t="s">
        <v>127</v>
      </c>
      <c r="C7" s="205"/>
      <c r="D7" s="156"/>
      <c r="E7" s="156"/>
      <c r="F7" s="156"/>
      <c r="G7" s="156"/>
    </row>
    <row r="8" spans="2:7" x14ac:dyDescent="0.2">
      <c r="B8" s="206"/>
      <c r="C8" s="207"/>
      <c r="D8" s="208"/>
      <c r="E8" s="156"/>
      <c r="F8" s="156"/>
      <c r="G8" s="156"/>
    </row>
    <row r="9" spans="2:7" ht="25.5" x14ac:dyDescent="0.2">
      <c r="B9" s="46" t="s">
        <v>128</v>
      </c>
      <c r="C9" s="209" t="s">
        <v>129</v>
      </c>
      <c r="D9" s="179" t="s">
        <v>69</v>
      </c>
      <c r="E9" s="209" t="s">
        <v>129</v>
      </c>
      <c r="F9" s="179" t="s">
        <v>69</v>
      </c>
      <c r="G9" s="46" t="s">
        <v>130</v>
      </c>
    </row>
    <row r="10" spans="2:7" x14ac:dyDescent="0.2">
      <c r="B10" s="210"/>
      <c r="C10" s="211"/>
      <c r="D10" s="90" t="s">
        <v>131</v>
      </c>
      <c r="E10" s="211"/>
      <c r="F10" s="90" t="s">
        <v>131</v>
      </c>
      <c r="G10" s="90" t="s">
        <v>131</v>
      </c>
    </row>
    <row r="11" spans="2:7" x14ac:dyDescent="0.2">
      <c r="B11" s="277"/>
      <c r="C11" s="212" t="s">
        <v>132</v>
      </c>
      <c r="D11" s="90"/>
      <c r="E11" s="212" t="s">
        <v>133</v>
      </c>
      <c r="F11" s="90"/>
      <c r="G11" s="90"/>
    </row>
    <row r="12" spans="2:7" x14ac:dyDescent="0.2">
      <c r="B12" s="277"/>
      <c r="C12" s="91" t="s">
        <v>91</v>
      </c>
      <c r="D12" s="238">
        <f>IF('2.2 Allocation to services'!G13+'2.2 Allocation to services'!G25+'2.2 Allocation to services'!G37=0, ,'2.2 Allocation to services'!G13+'2.2 Allocation to services'!G25+'2.2 Allocation to services'!G37)</f>
        <v>21580536.742288079</v>
      </c>
      <c r="E12" s="91" t="s">
        <v>91</v>
      </c>
      <c r="F12" s="238">
        <f>IF('2.2 Allocation to services'!G56+'2.2 Allocation to services'!G68+'2.2 Allocation to services'!G80=0, ,'2.2 Allocation to services'!G56+'2.2 Allocation to services'!G68+'2.2 Allocation to services'!G80)</f>
        <v>19657473.620768689</v>
      </c>
      <c r="G12" s="238">
        <f>D12-ABS(F12)</f>
        <v>1923063.1215193905</v>
      </c>
    </row>
    <row r="13" spans="2:7" x14ac:dyDescent="0.2">
      <c r="B13" s="277"/>
      <c r="C13" s="91" t="s">
        <v>93</v>
      </c>
      <c r="D13" s="238">
        <f>IF('2.2 Allocation to services'!G14+'2.2 Allocation to services'!G26+'2.2 Allocation to services'!G38=0, ,'2.2 Allocation to services'!G14+'2.2 Allocation to services'!G26+'2.2 Allocation to services'!G38)</f>
        <v>0</v>
      </c>
      <c r="E13" s="91" t="s">
        <v>93</v>
      </c>
      <c r="F13" s="238">
        <f>IF('2.2 Allocation to services'!G57+'2.2 Allocation to services'!G69+'2.2 Allocation to services'!G81=0, ,'2.2 Allocation to services'!G57+'2.2 Allocation to services'!G69+'2.2 Allocation to services'!G81)</f>
        <v>0</v>
      </c>
      <c r="G13" s="238">
        <f t="shared" ref="G13:G22" si="0">D13-ABS(F13)</f>
        <v>0</v>
      </c>
    </row>
    <row r="14" spans="2:7" x14ac:dyDescent="0.2">
      <c r="B14" s="277"/>
      <c r="C14" s="91" t="s">
        <v>94</v>
      </c>
      <c r="D14" s="238">
        <f>IF('2.2 Allocation to services'!G15+'2.2 Allocation to services'!G27+'2.2 Allocation to services'!G39=0, ,'2.2 Allocation to services'!G15+'2.2 Allocation to services'!G27+'2.2 Allocation to services'!G39)</f>
        <v>1971626.9284475336</v>
      </c>
      <c r="E14" s="91" t="s">
        <v>94</v>
      </c>
      <c r="F14" s="238">
        <f>IF('2.2 Allocation to services'!G58+'2.2 Allocation to services'!G70+'2.2 Allocation to services'!G82=0, ,'2.2 Allocation to services'!G58+'2.2 Allocation to services'!G70+'2.2 Allocation to services'!G82)</f>
        <v>1795933.289277649</v>
      </c>
      <c r="G14" s="238">
        <f t="shared" si="0"/>
        <v>175693.63916988461</v>
      </c>
    </row>
    <row r="15" spans="2:7" x14ac:dyDescent="0.2">
      <c r="B15" s="277"/>
      <c r="C15" s="91" t="s">
        <v>95</v>
      </c>
      <c r="D15" s="238">
        <f>IF('2.2 Allocation to services'!G16+'2.2 Allocation to services'!G28+'2.2 Allocation to services'!G40=0, ,'2.2 Allocation to services'!G16+'2.2 Allocation to services'!G28+'2.2 Allocation to services'!G40)</f>
        <v>0</v>
      </c>
      <c r="E15" s="91" t="s">
        <v>95</v>
      </c>
      <c r="F15" s="238">
        <f>IF('2.2 Allocation to services'!G59+'2.2 Allocation to services'!G71+'2.2 Allocation to services'!G83=0, ,'2.2 Allocation to services'!G59+'2.2 Allocation to services'!G71+'2.2 Allocation to services'!G83)</f>
        <v>0</v>
      </c>
      <c r="G15" s="238">
        <f t="shared" si="0"/>
        <v>0</v>
      </c>
    </row>
    <row r="16" spans="2:7" x14ac:dyDescent="0.2">
      <c r="B16" s="277"/>
      <c r="C16" s="159" t="s">
        <v>96</v>
      </c>
      <c r="D16" s="238">
        <f>IF('2.2 Allocation to services'!G17+'2.2 Allocation to services'!G29+'2.2 Allocation to services'!G41=0, ,'2.2 Allocation to services'!G17+'2.2 Allocation to services'!G29+'2.2 Allocation to services'!G41)</f>
        <v>0</v>
      </c>
      <c r="E16" s="159" t="s">
        <v>96</v>
      </c>
      <c r="F16" s="238">
        <f>IF('2.2 Allocation to services'!G60+'2.2 Allocation to services'!G72+'2.2 Allocation to services'!G84=0, ,'2.2 Allocation to services'!G60+'2.2 Allocation to services'!G72+'2.2 Allocation to services'!G84)</f>
        <v>0</v>
      </c>
      <c r="G16" s="238">
        <f t="shared" si="0"/>
        <v>0</v>
      </c>
    </row>
    <row r="17" spans="2:7" x14ac:dyDescent="0.2">
      <c r="B17" s="277"/>
      <c r="C17" s="91" t="s">
        <v>97</v>
      </c>
      <c r="D17" s="238">
        <f>IF('2.2 Allocation to services'!G18+'2.2 Allocation to services'!G30+'2.2 Allocation to services'!G42=0, ,'2.2 Allocation to services'!G18+'2.2 Allocation to services'!G30+'2.2 Allocation to services'!G42)</f>
        <v>0</v>
      </c>
      <c r="E17" s="91" t="s">
        <v>97</v>
      </c>
      <c r="F17" s="238">
        <f>IF('2.2 Allocation to services'!G61+'2.2 Allocation to services'!G73+'2.2 Allocation to services'!G85=0, ,'2.2 Allocation to services'!G61+'2.2 Allocation to services'!G73+'2.2 Allocation to services'!G85)</f>
        <v>0</v>
      </c>
      <c r="G17" s="238">
        <f t="shared" si="0"/>
        <v>0</v>
      </c>
    </row>
    <row r="18" spans="2:7" x14ac:dyDescent="0.2">
      <c r="B18" s="277"/>
      <c r="C18" s="91" t="s">
        <v>98</v>
      </c>
      <c r="D18" s="238">
        <f>IF('2.2 Allocation to services'!G19+'2.2 Allocation to services'!G31+'2.2 Allocation to services'!G43=0, ,'2.2 Allocation to services'!G19+'2.2 Allocation to services'!G31+'2.2 Allocation to services'!G43)</f>
        <v>188698.89803577002</v>
      </c>
      <c r="E18" s="91" t="s">
        <v>98</v>
      </c>
      <c r="F18" s="238">
        <f>IF('2.2 Allocation to services'!G62+'2.2 Allocation to services'!G74+'2.2 Allocation to services'!G86=0, ,'2.2 Allocation to services'!G62+'2.2 Allocation to services'!G74+'2.2 Allocation to services'!G86)</f>
        <v>171883.75130344354</v>
      </c>
      <c r="G18" s="238">
        <f t="shared" si="0"/>
        <v>16815.146732326481</v>
      </c>
    </row>
    <row r="19" spans="2:7" x14ac:dyDescent="0.2">
      <c r="B19" s="277"/>
      <c r="C19" s="91" t="s">
        <v>99</v>
      </c>
      <c r="D19" s="238">
        <f>IF('2.2 Allocation to services'!G20+'2.2 Allocation to services'!G32+'2.2 Allocation to services'!G44=0, ,'2.2 Allocation to services'!G20+'2.2 Allocation to services'!G32+'2.2 Allocation to services'!G44)</f>
        <v>0</v>
      </c>
      <c r="E19" s="91" t="s">
        <v>99</v>
      </c>
      <c r="F19" s="238">
        <f>IF('2.2 Allocation to services'!G63+'2.2 Allocation to services'!G75+'2.2 Allocation to services'!G87=0, ,'2.2 Allocation to services'!G63+'2.2 Allocation to services'!G75+'2.2 Allocation to services'!G87)</f>
        <v>0</v>
      </c>
      <c r="G19" s="238">
        <f t="shared" si="0"/>
        <v>0</v>
      </c>
    </row>
    <row r="20" spans="2:7" x14ac:dyDescent="0.2">
      <c r="B20" s="277"/>
      <c r="C20" s="91" t="s">
        <v>101</v>
      </c>
      <c r="D20" s="238">
        <f>IF('2.2 Allocation to services'!G21+'2.2 Allocation to services'!G33+'2.2 Allocation to services'!G45=0, ,'2.2 Allocation to services'!G21+'2.2 Allocation to services'!G33+'2.2 Allocation to services'!G45)</f>
        <v>21274.525234024357</v>
      </c>
      <c r="E20" s="91" t="s">
        <v>101</v>
      </c>
      <c r="F20" s="238">
        <f>IF('2.2 Allocation to services'!G64+'2.2 Allocation to services'!G76+'2.2 Allocation to services'!G88=0, ,'2.2 Allocation to services'!G64+'2.2 Allocation to services'!G76+'2.2 Allocation to services'!G88)</f>
        <v>19378.731102768277</v>
      </c>
      <c r="G20" s="238">
        <f t="shared" si="0"/>
        <v>1895.7941312560797</v>
      </c>
    </row>
    <row r="21" spans="2:7" x14ac:dyDescent="0.2">
      <c r="B21" s="277"/>
      <c r="C21" s="91" t="s">
        <v>103</v>
      </c>
      <c r="D21" s="238">
        <f>IF('2.2 Allocation to services'!G22+'2.2 Allocation to services'!G34+'2.2 Allocation to services'!G46=0, ,'2.2 Allocation to services'!G22+'2.2 Allocation to services'!G34+'2.2 Allocation to services'!G46)</f>
        <v>254488.12599459171</v>
      </c>
      <c r="E21" s="91" t="s">
        <v>103</v>
      </c>
      <c r="F21" s="238">
        <f>IF('2.2 Allocation to services'!G65+'2.2 Allocation to services'!G77+'2.2 Allocation to services'!G89=0, ,'2.2 Allocation to services'!G65+'2.2 Allocation to services'!G77+'2.2 Allocation to services'!G89)</f>
        <v>231810.43563827247</v>
      </c>
      <c r="G21" s="238">
        <f t="shared" si="0"/>
        <v>22677.690356319246</v>
      </c>
    </row>
    <row r="22" spans="2:7" x14ac:dyDescent="0.2">
      <c r="B22" s="277"/>
      <c r="C22" s="213" t="s">
        <v>134</v>
      </c>
      <c r="D22" s="238">
        <f t="array" ref="D22">SUM(IF(ISNA(D12:D21),0,D12:D21))</f>
        <v>24016625.219999999</v>
      </c>
      <c r="E22" s="213" t="s">
        <v>135</v>
      </c>
      <c r="F22" s="238">
        <f t="array" ref="F22">SUM(IF(ISNA(F12:F21),0,F12:F21))</f>
        <v>21876479.82809082</v>
      </c>
      <c r="G22" s="238">
        <f t="shared" si="0"/>
        <v>2140145.3919091783</v>
      </c>
    </row>
  </sheetData>
  <sheetProtection sheet="1"/>
  <phoneticPr fontId="29" type="noConversion"/>
  <conditionalFormatting sqref="D12:D22 F12:G22">
    <cfRule type="containsErrors" dxfId="83" priority="1" stopIfTrue="1">
      <formula>ISERROR(D12)</formula>
    </cfRule>
  </conditionalFormatting>
  <pageMargins left="0.75" right="0.75" top="1" bottom="1" header="0.5" footer="0.5"/>
  <pageSetup paperSize="9" scale="64" orientation="landscape" verticalDpi="2" r:id="rId1"/>
  <headerFooter alignWithMargins="0">
    <oddFooter>&amp;C_x000D_&amp;1#&amp;"Calibri"&amp;10&amp;K008000 APA-INTERNAL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B84C1-BFA6-4A23-A1B8-DEFAF8410440}">
  <sheetPr codeName="Sheet22">
    <tabColor rgb="FF17415D"/>
    <pageSetUpPr fitToPage="1"/>
  </sheetPr>
  <dimension ref="B1:I115"/>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 style="4" customWidth="1"/>
    <col min="2" max="2" width="18.42578125" style="4" customWidth="1"/>
    <col min="3" max="3" width="43" style="4" bestFit="1" customWidth="1"/>
    <col min="4" max="9" width="20.7109375" style="4" customWidth="1"/>
    <col min="10" max="16384" width="9.140625" style="4"/>
  </cols>
  <sheetData>
    <row r="1" spans="2:9" ht="20.25" x14ac:dyDescent="0.2">
      <c r="B1" s="103" t="s">
        <v>66</v>
      </c>
      <c r="C1" s="103"/>
    </row>
    <row r="2" spans="2:9" ht="20.25" customHeight="1" x14ac:dyDescent="0.2">
      <c r="B2" s="103" t="str">
        <f>IF(Tradingname=0," ",Tradingname)</f>
        <v>APT PIPELINES (NT) PTY LIMITED</v>
      </c>
      <c r="C2" s="103"/>
    </row>
    <row r="3" spans="2:9" ht="20.25" x14ac:dyDescent="0.3">
      <c r="B3" s="103" t="s">
        <v>44</v>
      </c>
      <c r="C3" s="80">
        <f>IF(Yearending=0, "01/01/2000", Yearending)</f>
        <v>45838</v>
      </c>
    </row>
    <row r="4" spans="2:9" ht="20.25" x14ac:dyDescent="0.2">
      <c r="B4" s="72" t="s">
        <v>136</v>
      </c>
      <c r="C4" s="72"/>
    </row>
    <row r="7" spans="2:9" ht="21" customHeight="1" x14ac:dyDescent="0.2">
      <c r="B7" s="205" t="s">
        <v>137</v>
      </c>
    </row>
    <row r="8" spans="2:9" x14ac:dyDescent="0.2">
      <c r="B8" s="176"/>
      <c r="C8" s="278"/>
    </row>
    <row r="9" spans="2:9" ht="21" customHeight="1" x14ac:dyDescent="0.2">
      <c r="B9" s="392" t="s">
        <v>138</v>
      </c>
      <c r="C9" s="393"/>
      <c r="D9" s="393"/>
      <c r="E9" s="393"/>
      <c r="F9" s="393"/>
      <c r="G9" s="394" t="s">
        <v>139</v>
      </c>
      <c r="H9" s="395"/>
      <c r="I9" s="395"/>
    </row>
    <row r="10" spans="2:9" ht="51" customHeight="1" x14ac:dyDescent="0.2">
      <c r="B10" s="31" t="s">
        <v>128</v>
      </c>
      <c r="C10" s="25" t="s">
        <v>129</v>
      </c>
      <c r="D10" s="179" t="s">
        <v>140</v>
      </c>
      <c r="E10" s="179" t="s">
        <v>141</v>
      </c>
      <c r="F10" s="32" t="s">
        <v>69</v>
      </c>
      <c r="G10" s="179" t="s">
        <v>140</v>
      </c>
      <c r="H10" s="179" t="s">
        <v>141</v>
      </c>
      <c r="I10" s="32" t="s">
        <v>69</v>
      </c>
    </row>
    <row r="11" spans="2:9" x14ac:dyDescent="0.2">
      <c r="B11" s="31"/>
      <c r="C11" s="25"/>
      <c r="D11" s="33" t="s">
        <v>131</v>
      </c>
      <c r="E11" s="33" t="s">
        <v>131</v>
      </c>
      <c r="F11" s="33" t="s">
        <v>131</v>
      </c>
      <c r="G11" s="33" t="s">
        <v>131</v>
      </c>
      <c r="H11" s="33" t="s">
        <v>131</v>
      </c>
      <c r="I11" s="33" t="s">
        <v>131</v>
      </c>
    </row>
    <row r="12" spans="2:9" x14ac:dyDescent="0.2">
      <c r="B12" s="253"/>
      <c r="C12" s="87" t="s">
        <v>142</v>
      </c>
      <c r="D12" s="33"/>
      <c r="E12" s="33"/>
      <c r="F12" s="33"/>
      <c r="G12" s="33"/>
      <c r="H12" s="33"/>
      <c r="I12" s="33"/>
    </row>
    <row r="13" spans="2:9" x14ac:dyDescent="0.2">
      <c r="B13" s="253" t="s">
        <v>143</v>
      </c>
      <c r="C13" s="94" t="s">
        <v>144</v>
      </c>
      <c r="D13" s="261">
        <v>23638079.499999996</v>
      </c>
      <c r="E13" s="261">
        <v>0</v>
      </c>
      <c r="F13" s="279">
        <f>SUM(D13:E13)</f>
        <v>23638079.499999996</v>
      </c>
      <c r="G13" s="261">
        <v>24179961.680000003</v>
      </c>
      <c r="H13" s="261">
        <v>0</v>
      </c>
      <c r="I13" s="279">
        <f>SUM(G13:H13)</f>
        <v>24179961.680000003</v>
      </c>
    </row>
    <row r="14" spans="2:9" x14ac:dyDescent="0.2">
      <c r="B14" s="253"/>
      <c r="C14" s="94" t="s">
        <v>145</v>
      </c>
      <c r="D14" s="279">
        <f>'2.3 Revenue contributions '!C17</f>
        <v>0</v>
      </c>
      <c r="E14" s="279">
        <f>'2.3 Revenue contributions '!D17</f>
        <v>0</v>
      </c>
      <c r="F14" s="279">
        <f>SUM(D14:E14)</f>
        <v>0</v>
      </c>
      <c r="G14" s="261"/>
      <c r="H14" s="261">
        <v>0</v>
      </c>
      <c r="I14" s="279">
        <f>SUM(G14:H14)</f>
        <v>0</v>
      </c>
    </row>
    <row r="15" spans="2:9" x14ac:dyDescent="0.2">
      <c r="B15" s="253"/>
      <c r="C15" s="94" t="s">
        <v>146</v>
      </c>
      <c r="D15" s="279">
        <f>'2.3 Revenue contributions '!D29</f>
        <v>0</v>
      </c>
      <c r="E15" s="279"/>
      <c r="F15" s="279">
        <f>SUM(D15:E15)</f>
        <v>0</v>
      </c>
      <c r="G15" s="261"/>
      <c r="H15" s="279"/>
      <c r="I15" s="279">
        <f>SUM(G15:H15)</f>
        <v>0</v>
      </c>
    </row>
    <row r="16" spans="2:9" x14ac:dyDescent="0.2">
      <c r="B16" s="253"/>
      <c r="C16" s="94" t="s">
        <v>147</v>
      </c>
      <c r="D16" s="261">
        <v>0</v>
      </c>
      <c r="E16" s="261">
        <v>0</v>
      </c>
      <c r="F16" s="279">
        <f>SUM(D16:E16)</f>
        <v>0</v>
      </c>
      <c r="G16" s="261"/>
      <c r="H16" s="261">
        <v>0</v>
      </c>
      <c r="I16" s="279">
        <f>SUM(G16:H16)</f>
        <v>0</v>
      </c>
    </row>
    <row r="17" spans="2:9" x14ac:dyDescent="0.2">
      <c r="B17" s="253" t="s">
        <v>143</v>
      </c>
      <c r="C17" s="94" t="s">
        <v>148</v>
      </c>
      <c r="D17" s="261">
        <v>378545.71999999927</v>
      </c>
      <c r="E17" s="261">
        <v>0</v>
      </c>
      <c r="F17" s="279">
        <f>SUM(D17:E17)</f>
        <v>378545.71999999927</v>
      </c>
      <c r="G17" s="261">
        <v>329608.20000000019</v>
      </c>
      <c r="H17" s="261">
        <v>0</v>
      </c>
      <c r="I17" s="279">
        <f>SUM(G17:H17)</f>
        <v>329608.20000000019</v>
      </c>
    </row>
    <row r="18" spans="2:9" x14ac:dyDescent="0.2">
      <c r="B18" s="253"/>
      <c r="C18" s="95" t="s">
        <v>149</v>
      </c>
      <c r="D18" s="279">
        <f t="shared" ref="D18:I18" si="0">SUM(D13:D17)</f>
        <v>24016625.219999995</v>
      </c>
      <c r="E18" s="279">
        <f t="shared" si="0"/>
        <v>0</v>
      </c>
      <c r="F18" s="279">
        <f t="shared" si="0"/>
        <v>24016625.219999995</v>
      </c>
      <c r="G18" s="279">
        <f t="shared" si="0"/>
        <v>24509569.880000003</v>
      </c>
      <c r="H18" s="279">
        <f t="shared" si="0"/>
        <v>0</v>
      </c>
      <c r="I18" s="279">
        <f t="shared" si="0"/>
        <v>24509569.880000003</v>
      </c>
    </row>
    <row r="19" spans="2:9" x14ac:dyDescent="0.2">
      <c r="B19" s="253"/>
      <c r="C19" s="35" t="s">
        <v>150</v>
      </c>
      <c r="D19" s="33"/>
      <c r="E19" s="33"/>
      <c r="F19" s="33"/>
      <c r="G19" s="33"/>
      <c r="H19" s="33"/>
      <c r="I19" s="33"/>
    </row>
    <row r="20" spans="2:9" x14ac:dyDescent="0.2">
      <c r="B20" s="253"/>
      <c r="C20" s="94" t="s">
        <v>151</v>
      </c>
      <c r="D20" s="279">
        <f>'2.4 Indirect revenue'!G42</f>
        <v>0</v>
      </c>
      <c r="E20" s="279">
        <f>'2.4 Indirect revenue'!H42</f>
        <v>0</v>
      </c>
      <c r="F20" s="279">
        <f>SUM(D20:E20)</f>
        <v>0</v>
      </c>
      <c r="G20" s="261"/>
      <c r="H20" s="261">
        <v>0</v>
      </c>
      <c r="I20" s="279">
        <f>SUM(G20:H20)</f>
        <v>0</v>
      </c>
    </row>
    <row r="21" spans="2:9" x14ac:dyDescent="0.2">
      <c r="B21" s="253"/>
      <c r="C21" s="95" t="s">
        <v>152</v>
      </c>
      <c r="D21" s="279">
        <f t="shared" ref="D21:I21" si="1">SUM(D20)</f>
        <v>0</v>
      </c>
      <c r="E21" s="279">
        <f t="shared" si="1"/>
        <v>0</v>
      </c>
      <c r="F21" s="279">
        <f t="shared" si="1"/>
        <v>0</v>
      </c>
      <c r="G21" s="279">
        <f t="shared" si="1"/>
        <v>0</v>
      </c>
      <c r="H21" s="279">
        <f t="shared" si="1"/>
        <v>0</v>
      </c>
      <c r="I21" s="279">
        <f t="shared" si="1"/>
        <v>0</v>
      </c>
    </row>
    <row r="22" spans="2:9" x14ac:dyDescent="0.2">
      <c r="B22" s="253"/>
      <c r="C22" s="95" t="s">
        <v>153</v>
      </c>
      <c r="D22" s="279">
        <f>D18+D21</f>
        <v>24016625.219999995</v>
      </c>
      <c r="E22" s="279">
        <f>E21+E18</f>
        <v>0</v>
      </c>
      <c r="F22" s="279">
        <f>F18+F21</f>
        <v>24016625.219999995</v>
      </c>
      <c r="G22" s="279">
        <f>G18+G21</f>
        <v>24509569.880000003</v>
      </c>
      <c r="H22" s="279">
        <f>H18+H21</f>
        <v>0</v>
      </c>
      <c r="I22" s="279">
        <f>I18+I21</f>
        <v>24509569.880000003</v>
      </c>
    </row>
    <row r="23" spans="2:9" x14ac:dyDescent="0.2">
      <c r="B23" s="253"/>
      <c r="C23" s="35" t="s">
        <v>154</v>
      </c>
      <c r="D23" s="33"/>
      <c r="E23" s="33"/>
      <c r="F23" s="33"/>
      <c r="G23" s="33"/>
      <c r="H23" s="33"/>
      <c r="I23" s="33"/>
    </row>
    <row r="24" spans="2:9" x14ac:dyDescent="0.2">
      <c r="B24" s="253" t="s">
        <v>143</v>
      </c>
      <c r="C24" s="21" t="s">
        <v>155</v>
      </c>
      <c r="D24" s="261">
        <v>502951.11999999988</v>
      </c>
      <c r="E24" s="261">
        <v>0</v>
      </c>
      <c r="F24" s="279">
        <f t="shared" ref="F24:F31" si="2">SUM(D24:E24)</f>
        <v>502951.11999999988</v>
      </c>
      <c r="G24" s="261">
        <v>1043669.8799999999</v>
      </c>
      <c r="H24" s="261">
        <v>0</v>
      </c>
      <c r="I24" s="279">
        <f t="shared" ref="I24:I31" si="3">SUM(G24:H24)</f>
        <v>1043669.8799999999</v>
      </c>
    </row>
    <row r="25" spans="2:9" x14ac:dyDescent="0.2">
      <c r="B25" s="253" t="s">
        <v>143</v>
      </c>
      <c r="C25" s="21" t="s">
        <v>156</v>
      </c>
      <c r="D25" s="261">
        <v>9976721.6999999955</v>
      </c>
      <c r="E25" s="261">
        <v>0</v>
      </c>
      <c r="F25" s="279">
        <f t="shared" si="2"/>
        <v>9976721.6999999955</v>
      </c>
      <c r="G25" s="261">
        <v>9153274.3522035815</v>
      </c>
      <c r="H25" s="261">
        <v>0</v>
      </c>
      <c r="I25" s="279">
        <f t="shared" si="3"/>
        <v>9153274.3522035815</v>
      </c>
    </row>
    <row r="26" spans="2:9" x14ac:dyDescent="0.2">
      <c r="B26" s="253" t="s">
        <v>143</v>
      </c>
      <c r="C26" s="21" t="s">
        <v>157</v>
      </c>
      <c r="D26" s="261">
        <v>5580663.4622540632</v>
      </c>
      <c r="E26" s="261">
        <v>0</v>
      </c>
      <c r="F26" s="279">
        <f t="shared" si="2"/>
        <v>5580663.4622540632</v>
      </c>
      <c r="G26" s="261">
        <v>5631366.9861105159</v>
      </c>
      <c r="H26" s="261">
        <v>0</v>
      </c>
      <c r="I26" s="279">
        <f t="shared" si="3"/>
        <v>5631366.9861105159</v>
      </c>
    </row>
    <row r="27" spans="2:9" x14ac:dyDescent="0.2">
      <c r="B27" s="253" t="s">
        <v>143</v>
      </c>
      <c r="C27" s="21" t="s">
        <v>158</v>
      </c>
      <c r="D27" s="261">
        <v>251851.75</v>
      </c>
      <c r="E27" s="261">
        <v>0</v>
      </c>
      <c r="F27" s="279">
        <f t="shared" si="2"/>
        <v>251851.75</v>
      </c>
      <c r="G27" s="261">
        <v>261589.65000000002</v>
      </c>
      <c r="H27" s="261">
        <v>0</v>
      </c>
      <c r="I27" s="279">
        <f t="shared" si="3"/>
        <v>261589.65000000002</v>
      </c>
    </row>
    <row r="28" spans="2:9" x14ac:dyDescent="0.2">
      <c r="B28" s="254" t="s">
        <v>143</v>
      </c>
      <c r="C28" s="21" t="s">
        <v>159</v>
      </c>
      <c r="D28" s="261">
        <v>490320.31</v>
      </c>
      <c r="E28" s="261">
        <v>0</v>
      </c>
      <c r="F28" s="279">
        <f t="shared" si="2"/>
        <v>490320.31</v>
      </c>
      <c r="G28" s="261">
        <v>487547.45</v>
      </c>
      <c r="H28" s="261">
        <v>0</v>
      </c>
      <c r="I28" s="279">
        <f t="shared" si="3"/>
        <v>487547.45</v>
      </c>
    </row>
    <row r="29" spans="2:9" x14ac:dyDescent="0.2">
      <c r="B29" s="254" t="s">
        <v>143</v>
      </c>
      <c r="C29" s="21" t="s">
        <v>160</v>
      </c>
      <c r="D29" s="261">
        <v>89068.950072779626</v>
      </c>
      <c r="E29" s="261">
        <v>0</v>
      </c>
      <c r="F29" s="279">
        <f t="shared" si="2"/>
        <v>89068.950072779626</v>
      </c>
      <c r="G29" s="261">
        <v>86166.178436829025</v>
      </c>
      <c r="H29" s="261">
        <v>0</v>
      </c>
      <c r="I29" s="279">
        <f t="shared" si="3"/>
        <v>86166.178436829025</v>
      </c>
    </row>
    <row r="30" spans="2:9" x14ac:dyDescent="0.2">
      <c r="B30" s="254" t="s">
        <v>143</v>
      </c>
      <c r="C30" s="21" t="s">
        <v>161</v>
      </c>
      <c r="D30" s="261">
        <v>46507.25</v>
      </c>
      <c r="E30" s="261">
        <v>0</v>
      </c>
      <c r="F30" s="279">
        <f t="shared" si="2"/>
        <v>46507.25</v>
      </c>
      <c r="G30" s="261">
        <v>22373.42</v>
      </c>
      <c r="H30" s="261">
        <v>0</v>
      </c>
      <c r="I30" s="279">
        <f t="shared" si="3"/>
        <v>22373.42</v>
      </c>
    </row>
    <row r="31" spans="2:9" x14ac:dyDescent="0.2">
      <c r="B31" s="254" t="s">
        <v>143</v>
      </c>
      <c r="C31" s="36" t="s">
        <v>162</v>
      </c>
      <c r="D31" s="261">
        <v>2277546.9</v>
      </c>
      <c r="E31" s="261">
        <v>0</v>
      </c>
      <c r="F31" s="279">
        <f t="shared" si="2"/>
        <v>2277546.9</v>
      </c>
      <c r="G31" s="261">
        <v>633898.60000000009</v>
      </c>
      <c r="H31" s="261">
        <v>0</v>
      </c>
      <c r="I31" s="279">
        <f t="shared" si="3"/>
        <v>633898.60000000009</v>
      </c>
    </row>
    <row r="32" spans="2:9" x14ac:dyDescent="0.2">
      <c r="B32" s="254"/>
      <c r="C32" s="69" t="s">
        <v>163</v>
      </c>
      <c r="D32" s="279">
        <f t="shared" ref="D32:I32" si="4">SUM(D24:D31)</f>
        <v>19215631.442326836</v>
      </c>
      <c r="E32" s="279">
        <f t="shared" si="4"/>
        <v>0</v>
      </c>
      <c r="F32" s="279">
        <f>SUM(F24:F31)</f>
        <v>19215631.442326836</v>
      </c>
      <c r="G32" s="279">
        <f t="shared" si="4"/>
        <v>17319886.516750924</v>
      </c>
      <c r="H32" s="279">
        <f t="shared" si="4"/>
        <v>0</v>
      </c>
      <c r="I32" s="279">
        <f t="shared" si="4"/>
        <v>17319886.516750924</v>
      </c>
    </row>
    <row r="33" spans="2:9" x14ac:dyDescent="0.2">
      <c r="B33" s="254"/>
      <c r="C33" s="35" t="s">
        <v>164</v>
      </c>
      <c r="D33" s="33"/>
      <c r="E33" s="33"/>
      <c r="F33" s="88"/>
      <c r="G33" s="33"/>
      <c r="H33" s="33"/>
      <c r="I33" s="88"/>
    </row>
    <row r="34" spans="2:9" x14ac:dyDescent="0.2">
      <c r="B34" s="254"/>
      <c r="C34" s="21" t="s">
        <v>165</v>
      </c>
      <c r="D34" s="279">
        <f>SUMIF('2.5 Shared expenses'!$C$15:$C$35,$C34,'2.5 Shared expenses'!H$15:H$35)</f>
        <v>0</v>
      </c>
      <c r="E34" s="279">
        <f>SUMIF('2.5 Shared expenses'!$C$15:$C$35,$C34,'2.5 Shared expenses'!I$15:I$35)</f>
        <v>0</v>
      </c>
      <c r="F34" s="279">
        <f t="shared" ref="F34:F42" si="5">SUM(D34:E34)</f>
        <v>0</v>
      </c>
      <c r="G34" s="261">
        <v>0</v>
      </c>
      <c r="H34" s="261">
        <v>0</v>
      </c>
      <c r="I34" s="279">
        <f t="shared" ref="I34:I42" si="6">SUM(G34:H34)</f>
        <v>0</v>
      </c>
    </row>
    <row r="35" spans="2:9" x14ac:dyDescent="0.2">
      <c r="B35" s="254"/>
      <c r="C35" s="21" t="s">
        <v>166</v>
      </c>
      <c r="D35" s="279">
        <f>SUMIF('2.5 Shared expenses'!$C$15:$C$35,$C35,'2.5 Shared expenses'!H$15:H$35)</f>
        <v>0</v>
      </c>
      <c r="E35" s="279">
        <f>SUMIF('2.5 Shared expenses'!$C$15:$C$35,$C35,'2.5 Shared expenses'!I$15:I$35)</f>
        <v>0</v>
      </c>
      <c r="F35" s="279">
        <f t="shared" si="5"/>
        <v>0</v>
      </c>
      <c r="G35" s="261">
        <v>0</v>
      </c>
      <c r="H35" s="261">
        <v>0</v>
      </c>
      <c r="I35" s="279">
        <f t="shared" si="6"/>
        <v>0</v>
      </c>
    </row>
    <row r="36" spans="2:9" x14ac:dyDescent="0.2">
      <c r="B36" s="254"/>
      <c r="C36" s="34" t="s">
        <v>167</v>
      </c>
      <c r="D36" s="279">
        <f>SUMIF('2.5 Shared expenses'!$C$15:$C$35,$C36,'2.5 Shared expenses'!H$15:H$35)</f>
        <v>0</v>
      </c>
      <c r="E36" s="279">
        <f>SUMIF('2.5 Shared expenses'!$C$15:$C$35,$C36,'2.5 Shared expenses'!I$15:I$35)</f>
        <v>0</v>
      </c>
      <c r="F36" s="279">
        <f t="shared" si="5"/>
        <v>0</v>
      </c>
      <c r="G36" s="261">
        <v>0</v>
      </c>
      <c r="H36" s="261">
        <v>0</v>
      </c>
      <c r="I36" s="279">
        <f t="shared" si="6"/>
        <v>0</v>
      </c>
    </row>
    <row r="37" spans="2:9" x14ac:dyDescent="0.2">
      <c r="B37" s="254" t="s">
        <v>143</v>
      </c>
      <c r="C37" s="36" t="s">
        <v>168</v>
      </c>
      <c r="D37" s="279">
        <f>SUMIF('2.5 Shared expenses'!$C$15:$C$35,$C37,'2.5 Shared expenses'!H$15:H$35)</f>
        <v>363075.94097989559</v>
      </c>
      <c r="E37" s="279">
        <f>SUMIF('2.5 Shared expenses'!$C$15:$C$35,$C37,'2.5 Shared expenses'!I$15:I$35)</f>
        <v>0</v>
      </c>
      <c r="F37" s="279">
        <f t="shared" si="5"/>
        <v>363075.94097989559</v>
      </c>
      <c r="G37" s="261">
        <v>363075.94097989559</v>
      </c>
      <c r="H37" s="261">
        <v>0</v>
      </c>
      <c r="I37" s="279">
        <f t="shared" si="6"/>
        <v>363075.94097989559</v>
      </c>
    </row>
    <row r="38" spans="2:9" x14ac:dyDescent="0.2">
      <c r="B38" s="254"/>
      <c r="C38" s="36" t="s">
        <v>169</v>
      </c>
      <c r="D38" s="279">
        <f>SUMIF('2.5 Shared expenses'!$C$15:$C$35,$C38,'2.5 Shared expenses'!H$15:H$35)</f>
        <v>0</v>
      </c>
      <c r="E38" s="279">
        <f>SUMIF('2.5 Shared expenses'!$C$15:$C$35,$C38,'2.5 Shared expenses'!I$15:I$35)</f>
        <v>0</v>
      </c>
      <c r="F38" s="279">
        <f t="shared" si="5"/>
        <v>0</v>
      </c>
      <c r="G38" s="261">
        <v>0</v>
      </c>
      <c r="H38" s="261">
        <v>0</v>
      </c>
      <c r="I38" s="279">
        <f t="shared" si="6"/>
        <v>0</v>
      </c>
    </row>
    <row r="39" spans="2:9" x14ac:dyDescent="0.2">
      <c r="B39" s="254"/>
      <c r="C39" s="34" t="s">
        <v>170</v>
      </c>
      <c r="D39" s="279">
        <f>SUMIF('2.5 Shared expenses'!$C$15:$C$35,$C39,'2.5 Shared expenses'!H$15:H$35)</f>
        <v>0</v>
      </c>
      <c r="E39" s="279">
        <f>SUMIF('2.5 Shared expenses'!$C$15:$C$35,$C39,'2.5 Shared expenses'!I$15:I$35)</f>
        <v>0</v>
      </c>
      <c r="F39" s="279">
        <f t="shared" si="5"/>
        <v>0</v>
      </c>
      <c r="G39" s="261">
        <v>0</v>
      </c>
      <c r="H39" s="261">
        <v>0</v>
      </c>
      <c r="I39" s="279">
        <f t="shared" si="6"/>
        <v>0</v>
      </c>
    </row>
    <row r="40" spans="2:9" x14ac:dyDescent="0.2">
      <c r="B40" s="254"/>
      <c r="C40" s="34" t="s">
        <v>171</v>
      </c>
      <c r="D40" s="279">
        <f>SUMIF('2.5 Shared expenses'!$C$15:$C$35,$C40,'2.5 Shared expenses'!H$15:H$35)</f>
        <v>0</v>
      </c>
      <c r="E40" s="279">
        <f>SUMIF('2.5 Shared expenses'!$C$15:$C$35,$C40,'2.5 Shared expenses'!I$15:I$35)</f>
        <v>0</v>
      </c>
      <c r="F40" s="279">
        <f t="shared" si="5"/>
        <v>0</v>
      </c>
      <c r="G40" s="261">
        <v>0</v>
      </c>
      <c r="H40" s="261">
        <v>0</v>
      </c>
      <c r="I40" s="279">
        <f t="shared" si="6"/>
        <v>0</v>
      </c>
    </row>
    <row r="41" spans="2:9" x14ac:dyDescent="0.2">
      <c r="B41" s="254"/>
      <c r="C41" s="34" t="s">
        <v>172</v>
      </c>
      <c r="D41" s="279">
        <f>SUMIF('2.5 Shared expenses'!$C$15:$C$35,$C41,'2.5 Shared expenses'!H$15:H$35)</f>
        <v>0</v>
      </c>
      <c r="E41" s="279">
        <f>SUMIF('2.5 Shared expenses'!$C$15:$C$35,$C41,'2.5 Shared expenses'!I$15:I$35)</f>
        <v>0</v>
      </c>
      <c r="F41" s="279">
        <f t="shared" si="5"/>
        <v>0</v>
      </c>
      <c r="G41" s="261">
        <v>0</v>
      </c>
      <c r="H41" s="261">
        <v>0</v>
      </c>
      <c r="I41" s="279">
        <f t="shared" si="6"/>
        <v>0</v>
      </c>
    </row>
    <row r="42" spans="2:9" x14ac:dyDescent="0.2">
      <c r="B42" s="254" t="s">
        <v>143</v>
      </c>
      <c r="C42" s="36" t="s">
        <v>173</v>
      </c>
      <c r="D42" s="279">
        <f>SUMIF('2.5 Shared expenses'!$C$15:$C$35,$C42,'2.5 Shared expenses'!H$15:H$35)</f>
        <v>2297772.4447840853</v>
      </c>
      <c r="E42" s="279">
        <f>SUMIF('2.5 Shared expenses'!$C$15:$C$35,$C42,'2.5 Shared expenses'!I$15:I$35)</f>
        <v>0</v>
      </c>
      <c r="F42" s="279">
        <f t="shared" si="5"/>
        <v>2297772.4447840853</v>
      </c>
      <c r="G42" s="261">
        <v>2768487.7861157097</v>
      </c>
      <c r="H42" s="261">
        <v>0</v>
      </c>
      <c r="I42" s="279">
        <f t="shared" si="6"/>
        <v>2768487.7861157097</v>
      </c>
    </row>
    <row r="43" spans="2:9" x14ac:dyDescent="0.2">
      <c r="B43" s="254"/>
      <c r="C43" s="69" t="s">
        <v>174</v>
      </c>
      <c r="D43" s="279">
        <f t="shared" ref="D43:I43" si="7">SUM(D34:D42)</f>
        <v>2660848.3857639809</v>
      </c>
      <c r="E43" s="279">
        <f t="shared" si="7"/>
        <v>0</v>
      </c>
      <c r="F43" s="279">
        <f>SUM(F34:F42)</f>
        <v>2660848.3857639809</v>
      </c>
      <c r="G43" s="279">
        <f t="shared" si="7"/>
        <v>3131563.7270956053</v>
      </c>
      <c r="H43" s="279">
        <f t="shared" si="7"/>
        <v>0</v>
      </c>
      <c r="I43" s="279">
        <f t="shared" si="7"/>
        <v>3131563.7270956053</v>
      </c>
    </row>
    <row r="44" spans="2:9" x14ac:dyDescent="0.2">
      <c r="B44" s="254"/>
      <c r="C44" s="69" t="s">
        <v>175</v>
      </c>
      <c r="D44" s="15">
        <f t="shared" ref="D44:I44" si="8">D43+D32</f>
        <v>21876479.828090817</v>
      </c>
      <c r="E44" s="15">
        <f t="shared" si="8"/>
        <v>0</v>
      </c>
      <c r="F44" s="15">
        <f t="shared" si="8"/>
        <v>21876479.828090817</v>
      </c>
      <c r="G44" s="15">
        <f t="shared" si="8"/>
        <v>20451450.243846528</v>
      </c>
      <c r="H44" s="15">
        <f t="shared" si="8"/>
        <v>0</v>
      </c>
      <c r="I44" s="15">
        <f t="shared" si="8"/>
        <v>20451450.243846528</v>
      </c>
    </row>
    <row r="45" spans="2:9" x14ac:dyDescent="0.2">
      <c r="B45" s="254"/>
      <c r="C45" s="105" t="s">
        <v>76</v>
      </c>
      <c r="D45" s="15">
        <f t="shared" ref="D45:I45" si="9">D22-ABS(D44)</f>
        <v>2140145.3919091783</v>
      </c>
      <c r="E45" s="15">
        <f t="shared" si="9"/>
        <v>0</v>
      </c>
      <c r="F45" s="15">
        <f t="shared" si="9"/>
        <v>2140145.3919091783</v>
      </c>
      <c r="G45" s="15">
        <f t="shared" si="9"/>
        <v>4058119.6361534745</v>
      </c>
      <c r="H45" s="15">
        <f t="shared" si="9"/>
        <v>0</v>
      </c>
      <c r="I45" s="15">
        <f t="shared" si="9"/>
        <v>4058119.6361534745</v>
      </c>
    </row>
    <row r="73" spans="2:2" ht="22.7" customHeight="1" x14ac:dyDescent="0.2"/>
    <row r="77" spans="2:2" x14ac:dyDescent="0.2">
      <c r="B77" s="81"/>
    </row>
    <row r="85" spans="2:2" x14ac:dyDescent="0.2">
      <c r="B85" s="81"/>
    </row>
    <row r="92" spans="2:2" x14ac:dyDescent="0.2">
      <c r="B92" s="81"/>
    </row>
    <row r="115" ht="16.5" customHeight="1" x14ac:dyDescent="0.2"/>
  </sheetData>
  <sheetProtection sheet="1"/>
  <mergeCells count="2">
    <mergeCell ref="B9:F9"/>
    <mergeCell ref="G9:I9"/>
  </mergeCells>
  <pageMargins left="0.75" right="0.75" top="1" bottom="1" header="0.5" footer="0.5"/>
  <pageSetup paperSize="9" scale="64" orientation="landscape" verticalDpi="2" r:id="rId1"/>
  <headerFooter alignWithMargins="0">
    <oddFooter>&amp;C_x000D_&amp;1#&amp;"Calibri"&amp;10&amp;K008000 APA-INTERNAL</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41C73-22A6-4E48-ACEA-3238E1A4770E}">
  <sheetPr codeName="Sheet7">
    <tabColor rgb="FF17415D"/>
    <pageSetUpPr fitToPage="1"/>
  </sheetPr>
  <dimension ref="B1:M93"/>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 style="4" customWidth="1"/>
    <col min="2" max="2" width="18.42578125" style="4" customWidth="1"/>
    <col min="3" max="3" width="52.7109375" style="4" customWidth="1"/>
    <col min="4" max="11" width="20.7109375" style="4" customWidth="1"/>
    <col min="12" max="16384" width="9.140625" style="4"/>
  </cols>
  <sheetData>
    <row r="1" spans="2:13" ht="20.25" customHeight="1" x14ac:dyDescent="0.3">
      <c r="B1" s="103" t="s">
        <v>66</v>
      </c>
      <c r="C1" s="103"/>
      <c r="D1" s="168"/>
      <c r="E1" s="168"/>
      <c r="F1" s="168"/>
      <c r="G1" s="168"/>
      <c r="H1" s="168"/>
      <c r="I1" s="168"/>
    </row>
    <row r="2" spans="2:13" ht="20.25" customHeight="1" x14ac:dyDescent="0.45">
      <c r="B2" s="103" t="str">
        <f>IF(Tradingname=0," ",Tradingname)</f>
        <v>APT PIPELINES (NT) PTY LIMITED</v>
      </c>
      <c r="C2" s="103"/>
      <c r="I2" s="202"/>
    </row>
    <row r="3" spans="2:13" ht="20.25" customHeight="1" x14ac:dyDescent="0.3">
      <c r="B3" s="103" t="s">
        <v>44</v>
      </c>
      <c r="C3" s="80">
        <f>IF(Yearending=0, "01/01/2000", Yearending)</f>
        <v>45838</v>
      </c>
    </row>
    <row r="4" spans="2:13" ht="20.25" x14ac:dyDescent="0.2">
      <c r="B4" s="72" t="s">
        <v>176</v>
      </c>
      <c r="C4" s="72"/>
      <c r="D4" s="276"/>
      <c r="G4" s="276"/>
    </row>
    <row r="5" spans="2:13" x14ac:dyDescent="0.2">
      <c r="B5" s="156"/>
      <c r="C5" s="156"/>
      <c r="D5" s="156"/>
      <c r="E5" s="156"/>
      <c r="F5" s="156"/>
      <c r="G5" s="156"/>
      <c r="H5" s="156"/>
      <c r="I5" s="156"/>
      <c r="J5" s="156"/>
      <c r="K5" s="156"/>
      <c r="L5" s="156"/>
      <c r="M5" s="156"/>
    </row>
    <row r="6" spans="2:13" x14ac:dyDescent="0.2">
      <c r="B6" s="156"/>
      <c r="C6" s="156"/>
      <c r="D6" s="156"/>
      <c r="E6" s="156"/>
      <c r="F6" s="156"/>
      <c r="G6" s="156"/>
      <c r="H6" s="156"/>
      <c r="I6" s="156"/>
      <c r="J6" s="156"/>
      <c r="K6" s="156"/>
      <c r="L6" s="156"/>
      <c r="M6" s="156"/>
    </row>
    <row r="7" spans="2:13" ht="15.75" x14ac:dyDescent="0.2">
      <c r="B7" s="205" t="s">
        <v>177</v>
      </c>
      <c r="C7" s="156"/>
      <c r="D7" s="156"/>
      <c r="E7" s="156"/>
      <c r="F7" s="156"/>
      <c r="G7" s="156"/>
      <c r="H7" s="156"/>
      <c r="I7" s="156"/>
      <c r="J7" s="156"/>
      <c r="K7" s="156"/>
      <c r="L7" s="156"/>
      <c r="M7" s="156"/>
    </row>
    <row r="8" spans="2:13" x14ac:dyDescent="0.2">
      <c r="B8" s="206"/>
      <c r="C8" s="207"/>
      <c r="D8" s="208"/>
      <c r="E8" s="208"/>
      <c r="F8" s="208"/>
      <c r="G8" s="208"/>
      <c r="H8" s="208"/>
      <c r="I8" s="208"/>
      <c r="J8" s="208"/>
      <c r="K8" s="208"/>
      <c r="L8" s="156"/>
      <c r="M8" s="156"/>
    </row>
    <row r="9" spans="2:13" ht="21" customHeight="1" x14ac:dyDescent="0.2">
      <c r="B9" s="209"/>
      <c r="C9" s="209"/>
      <c r="D9" s="396" t="s">
        <v>178</v>
      </c>
      <c r="E9" s="397"/>
      <c r="F9" s="397"/>
      <c r="G9" s="398"/>
      <c r="H9" s="396" t="s">
        <v>139</v>
      </c>
      <c r="I9" s="397"/>
      <c r="J9" s="397"/>
      <c r="K9" s="398"/>
      <c r="L9" s="156"/>
      <c r="M9" s="156"/>
    </row>
    <row r="10" spans="2:13" ht="51" customHeight="1" x14ac:dyDescent="0.2">
      <c r="B10" s="46" t="s">
        <v>128</v>
      </c>
      <c r="C10" s="209" t="s">
        <v>129</v>
      </c>
      <c r="D10" s="179" t="s">
        <v>179</v>
      </c>
      <c r="E10" s="179" t="s">
        <v>140</v>
      </c>
      <c r="F10" s="179" t="s">
        <v>141</v>
      </c>
      <c r="G10" s="179" t="s">
        <v>69</v>
      </c>
      <c r="H10" s="179" t="s">
        <v>179</v>
      </c>
      <c r="I10" s="179" t="s">
        <v>140</v>
      </c>
      <c r="J10" s="179" t="s">
        <v>141</v>
      </c>
      <c r="K10" s="179" t="s">
        <v>69</v>
      </c>
      <c r="L10" s="156"/>
      <c r="M10" s="156"/>
    </row>
    <row r="11" spans="2:13" ht="15.75" customHeight="1" x14ac:dyDescent="0.2">
      <c r="B11" s="46"/>
      <c r="C11" s="209"/>
      <c r="D11" s="90" t="s">
        <v>180</v>
      </c>
      <c r="E11" s="90" t="s">
        <v>131</v>
      </c>
      <c r="F11" s="90" t="s">
        <v>131</v>
      </c>
      <c r="G11" s="90" t="s">
        <v>131</v>
      </c>
      <c r="H11" s="90" t="s">
        <v>180</v>
      </c>
      <c r="I11" s="90" t="s">
        <v>131</v>
      </c>
      <c r="J11" s="90" t="s">
        <v>131</v>
      </c>
      <c r="K11" s="90" t="s">
        <v>131</v>
      </c>
      <c r="L11" s="156"/>
      <c r="M11" s="156"/>
    </row>
    <row r="12" spans="2:13" x14ac:dyDescent="0.2">
      <c r="B12" s="153"/>
      <c r="C12" s="214" t="s">
        <v>181</v>
      </c>
      <c r="D12" s="90"/>
      <c r="E12" s="90"/>
      <c r="F12" s="90"/>
      <c r="G12" s="90"/>
      <c r="H12" s="90"/>
      <c r="I12" s="90"/>
      <c r="J12" s="90"/>
      <c r="K12" s="90"/>
      <c r="L12" s="156"/>
      <c r="M12" s="156"/>
    </row>
    <row r="13" spans="2:13" x14ac:dyDescent="0.2">
      <c r="B13" s="255" t="s">
        <v>182</v>
      </c>
      <c r="C13" s="91" t="s">
        <v>91</v>
      </c>
      <c r="D13" s="280">
        <v>0.89856657813508078</v>
      </c>
      <c r="E13" s="281">
        <f t="shared" ref="E13:E22" si="0">D13*$E$23</f>
        <v>21580536.742288079</v>
      </c>
      <c r="F13" s="281">
        <f t="shared" ref="F13:F22" si="1">D13*$F$23</f>
        <v>0</v>
      </c>
      <c r="G13" s="282">
        <f t="shared" ref="G13:G22" si="2">SUM(E13:F13)</f>
        <v>21580536.742288079</v>
      </c>
      <c r="H13" s="280">
        <v>0.83106312226380663</v>
      </c>
      <c r="I13" s="281">
        <f t="shared" ref="I13:I22" si="3">H13*$I$23</f>
        <v>20368999.669815756</v>
      </c>
      <c r="J13" s="281">
        <f t="shared" ref="J13:J22" si="4">H13*$J$23</f>
        <v>0</v>
      </c>
      <c r="K13" s="282">
        <f t="shared" ref="K13:K22" si="5">SUM(I13:J13)</f>
        <v>20368999.669815756</v>
      </c>
      <c r="L13" s="156"/>
      <c r="M13" s="215"/>
    </row>
    <row r="14" spans="2:13" x14ac:dyDescent="0.2">
      <c r="B14" s="255" t="s">
        <v>182</v>
      </c>
      <c r="C14" s="91" t="s">
        <v>93</v>
      </c>
      <c r="D14" s="280">
        <v>0</v>
      </c>
      <c r="E14" s="281">
        <f t="shared" si="0"/>
        <v>0</v>
      </c>
      <c r="F14" s="281">
        <f t="shared" si="1"/>
        <v>0</v>
      </c>
      <c r="G14" s="282">
        <f t="shared" si="2"/>
        <v>0</v>
      </c>
      <c r="H14" s="280">
        <v>0</v>
      </c>
      <c r="I14" s="281">
        <f t="shared" si="3"/>
        <v>0</v>
      </c>
      <c r="J14" s="281">
        <f t="shared" si="4"/>
        <v>0</v>
      </c>
      <c r="K14" s="282">
        <f t="shared" si="5"/>
        <v>0</v>
      </c>
      <c r="L14" s="156"/>
      <c r="M14" s="215"/>
    </row>
    <row r="15" spans="2:13" x14ac:dyDescent="0.2">
      <c r="B15" s="255" t="s">
        <v>182</v>
      </c>
      <c r="C15" s="91" t="s">
        <v>94</v>
      </c>
      <c r="D15" s="280">
        <v>8.2094253892326594E-2</v>
      </c>
      <c r="E15" s="281">
        <f t="shared" si="0"/>
        <v>1971626.9284475336</v>
      </c>
      <c r="F15" s="281">
        <f t="shared" si="1"/>
        <v>0</v>
      </c>
      <c r="G15" s="282">
        <f t="shared" si="2"/>
        <v>1971626.9284475336</v>
      </c>
      <c r="H15" s="280">
        <v>0.14554825795737159</v>
      </c>
      <c r="I15" s="281">
        <f t="shared" si="3"/>
        <v>3567325.1993184653</v>
      </c>
      <c r="J15" s="281">
        <f t="shared" si="4"/>
        <v>0</v>
      </c>
      <c r="K15" s="282">
        <f t="shared" si="5"/>
        <v>3567325.1993184653</v>
      </c>
      <c r="L15" s="156"/>
      <c r="M15" s="215"/>
    </row>
    <row r="16" spans="2:13" x14ac:dyDescent="0.2">
      <c r="B16" s="255" t="s">
        <v>182</v>
      </c>
      <c r="C16" s="91" t="s">
        <v>95</v>
      </c>
      <c r="D16" s="280">
        <v>0</v>
      </c>
      <c r="E16" s="281">
        <f t="shared" si="0"/>
        <v>0</v>
      </c>
      <c r="F16" s="281">
        <f t="shared" si="1"/>
        <v>0</v>
      </c>
      <c r="G16" s="282">
        <f t="shared" si="2"/>
        <v>0</v>
      </c>
      <c r="H16" s="280">
        <v>0</v>
      </c>
      <c r="I16" s="281">
        <f t="shared" si="3"/>
        <v>0</v>
      </c>
      <c r="J16" s="281">
        <f t="shared" si="4"/>
        <v>0</v>
      </c>
      <c r="K16" s="282">
        <f t="shared" si="5"/>
        <v>0</v>
      </c>
      <c r="L16" s="156"/>
      <c r="M16" s="215"/>
    </row>
    <row r="17" spans="2:13" x14ac:dyDescent="0.2">
      <c r="B17" s="255" t="s">
        <v>182</v>
      </c>
      <c r="C17" s="159" t="s">
        <v>96</v>
      </c>
      <c r="D17" s="280">
        <v>0</v>
      </c>
      <c r="E17" s="281">
        <f t="shared" si="0"/>
        <v>0</v>
      </c>
      <c r="F17" s="281">
        <f t="shared" si="1"/>
        <v>0</v>
      </c>
      <c r="G17" s="282">
        <f t="shared" si="2"/>
        <v>0</v>
      </c>
      <c r="H17" s="280">
        <v>0</v>
      </c>
      <c r="I17" s="281">
        <f t="shared" si="3"/>
        <v>0</v>
      </c>
      <c r="J17" s="281">
        <f t="shared" si="4"/>
        <v>0</v>
      </c>
      <c r="K17" s="282">
        <f t="shared" si="5"/>
        <v>0</v>
      </c>
      <c r="L17" s="156"/>
      <c r="M17" s="215"/>
    </row>
    <row r="18" spans="2:13" x14ac:dyDescent="0.2">
      <c r="B18" s="255" t="s">
        <v>182</v>
      </c>
      <c r="C18" s="91" t="s">
        <v>97</v>
      </c>
      <c r="D18" s="280">
        <v>0</v>
      </c>
      <c r="E18" s="281">
        <f t="shared" si="0"/>
        <v>0</v>
      </c>
      <c r="F18" s="281">
        <f t="shared" si="1"/>
        <v>0</v>
      </c>
      <c r="G18" s="282">
        <f t="shared" si="2"/>
        <v>0</v>
      </c>
      <c r="H18" s="280">
        <v>0</v>
      </c>
      <c r="I18" s="281">
        <f t="shared" si="3"/>
        <v>0</v>
      </c>
      <c r="J18" s="281">
        <f t="shared" si="4"/>
        <v>0</v>
      </c>
      <c r="K18" s="282">
        <f t="shared" si="5"/>
        <v>0</v>
      </c>
      <c r="L18" s="156"/>
      <c r="M18" s="215"/>
    </row>
    <row r="19" spans="2:13" x14ac:dyDescent="0.2">
      <c r="B19" s="255" t="s">
        <v>182</v>
      </c>
      <c r="C19" s="91" t="s">
        <v>98</v>
      </c>
      <c r="D19" s="280">
        <v>7.8570113955323678E-3</v>
      </c>
      <c r="E19" s="281">
        <f t="shared" si="0"/>
        <v>188698.89803577002</v>
      </c>
      <c r="F19" s="281">
        <f t="shared" si="1"/>
        <v>0</v>
      </c>
      <c r="G19" s="282">
        <f t="shared" si="2"/>
        <v>188698.89803577002</v>
      </c>
      <c r="H19" s="280">
        <v>9.0954056466478229E-3</v>
      </c>
      <c r="I19" s="281">
        <f t="shared" si="3"/>
        <v>222924.48028346142</v>
      </c>
      <c r="J19" s="281">
        <f t="shared" si="4"/>
        <v>0</v>
      </c>
      <c r="K19" s="282">
        <f t="shared" si="5"/>
        <v>222924.48028346142</v>
      </c>
      <c r="L19" s="156"/>
      <c r="M19" s="215"/>
    </row>
    <row r="20" spans="2:13" x14ac:dyDescent="0.2">
      <c r="B20" s="255" t="s">
        <v>182</v>
      </c>
      <c r="C20" s="91" t="s">
        <v>99</v>
      </c>
      <c r="D20" s="280">
        <v>0</v>
      </c>
      <c r="E20" s="281">
        <f t="shared" si="0"/>
        <v>0</v>
      </c>
      <c r="F20" s="281">
        <f t="shared" si="1"/>
        <v>0</v>
      </c>
      <c r="G20" s="282">
        <f t="shared" si="2"/>
        <v>0</v>
      </c>
      <c r="H20" s="280">
        <v>0</v>
      </c>
      <c r="I20" s="281">
        <f t="shared" si="3"/>
        <v>0</v>
      </c>
      <c r="J20" s="281">
        <f t="shared" si="4"/>
        <v>0</v>
      </c>
      <c r="K20" s="282">
        <f t="shared" si="5"/>
        <v>0</v>
      </c>
      <c r="L20" s="156"/>
      <c r="M20" s="215"/>
    </row>
    <row r="21" spans="2:13" x14ac:dyDescent="0.2">
      <c r="B21" s="255" t="s">
        <v>182</v>
      </c>
      <c r="C21" s="91" t="s">
        <v>101</v>
      </c>
      <c r="D21" s="280">
        <v>8.8582492499020488E-4</v>
      </c>
      <c r="E21" s="281">
        <f t="shared" si="0"/>
        <v>21274.525234024357</v>
      </c>
      <c r="F21" s="281">
        <f t="shared" si="1"/>
        <v>0</v>
      </c>
      <c r="G21" s="282">
        <f t="shared" si="2"/>
        <v>21274.525234024357</v>
      </c>
      <c r="H21" s="280">
        <v>7.7390527940654683E-5</v>
      </c>
      <c r="I21" s="281">
        <f t="shared" si="3"/>
        <v>1896.8085526115688</v>
      </c>
      <c r="J21" s="281">
        <f t="shared" si="4"/>
        <v>0</v>
      </c>
      <c r="K21" s="282">
        <f t="shared" si="5"/>
        <v>1896.8085526115688</v>
      </c>
      <c r="L21" s="156"/>
      <c r="M21" s="215"/>
    </row>
    <row r="22" spans="2:13" x14ac:dyDescent="0.2">
      <c r="B22" s="255" t="s">
        <v>182</v>
      </c>
      <c r="C22" s="91" t="s">
        <v>103</v>
      </c>
      <c r="D22" s="280">
        <v>1.0596331652070131E-2</v>
      </c>
      <c r="E22" s="281">
        <f t="shared" si="0"/>
        <v>254488.12599459171</v>
      </c>
      <c r="F22" s="281">
        <f t="shared" si="1"/>
        <v>0</v>
      </c>
      <c r="G22" s="282">
        <f t="shared" si="2"/>
        <v>254488.12599459171</v>
      </c>
      <c r="H22" s="280">
        <v>1.4215823604233268E-2</v>
      </c>
      <c r="I22" s="281">
        <f t="shared" si="3"/>
        <v>348423.72202970879</v>
      </c>
      <c r="J22" s="281">
        <f t="shared" si="4"/>
        <v>0</v>
      </c>
      <c r="K22" s="282">
        <f t="shared" si="5"/>
        <v>348423.72202970879</v>
      </c>
      <c r="L22" s="156"/>
      <c r="M22" s="215"/>
    </row>
    <row r="23" spans="2:13" x14ac:dyDescent="0.2">
      <c r="B23" s="256"/>
      <c r="C23" s="151" t="s">
        <v>183</v>
      </c>
      <c r="D23" s="96">
        <f>SUM(D13:D22)</f>
        <v>1.0000000000000002</v>
      </c>
      <c r="E23" s="92">
        <f>'2.1 Profit &amp; Loss by component'!D18-'2.1 Profit &amp; Loss by component'!D15-'2.1 Profit &amp; Loss by component'!D14</f>
        <v>24016625.219999995</v>
      </c>
      <c r="F23" s="92">
        <f>'2.1 Profit &amp; Loss by component'!E18-'2.1 Profit &amp; Loss by component'!E14</f>
        <v>0</v>
      </c>
      <c r="G23" s="92">
        <f>SUM(G13:G22)</f>
        <v>24016625.219999999</v>
      </c>
      <c r="H23" s="96">
        <f>SUM(H13:H22)</f>
        <v>0.99999999999999989</v>
      </c>
      <c r="I23" s="92">
        <f>'2.1 Profit &amp; Loss by component'!G18-'2.1 Profit &amp; Loss by component'!G14-'2.1 Profit &amp; Loss by component'!G15</f>
        <v>24509569.880000003</v>
      </c>
      <c r="J23" s="92">
        <f>'2.1 Profit &amp; Loss by component'!H18-'2.1 Profit &amp; Loss by component'!H14-'2.1 Profit &amp; Loss by component'!H15</f>
        <v>0</v>
      </c>
      <c r="K23" s="92">
        <f>SUM(K13:K22)</f>
        <v>24509569.880000003</v>
      </c>
      <c r="L23" s="156"/>
      <c r="M23" s="156"/>
    </row>
    <row r="24" spans="2:13" x14ac:dyDescent="0.2">
      <c r="B24" s="257"/>
      <c r="C24" s="214" t="s">
        <v>184</v>
      </c>
      <c r="D24" s="90"/>
      <c r="E24" s="90"/>
      <c r="F24" s="90"/>
      <c r="G24" s="90"/>
      <c r="H24" s="90"/>
      <c r="I24" s="90"/>
      <c r="J24" s="90"/>
      <c r="K24" s="90"/>
      <c r="L24" s="156"/>
      <c r="M24" s="156"/>
    </row>
    <row r="25" spans="2:13" x14ac:dyDescent="0.2">
      <c r="B25" s="255" t="s">
        <v>182</v>
      </c>
      <c r="C25" s="91" t="s">
        <v>91</v>
      </c>
      <c r="D25" s="280">
        <v>0</v>
      </c>
      <c r="E25" s="281">
        <f t="shared" ref="E25:F34" si="6">$D25*E$35</f>
        <v>0</v>
      </c>
      <c r="F25" s="281">
        <f t="shared" si="6"/>
        <v>0</v>
      </c>
      <c r="G25" s="282">
        <f t="shared" ref="G25:G34" si="7">SUM(E25:F25)</f>
        <v>0</v>
      </c>
      <c r="H25" s="280">
        <v>0</v>
      </c>
      <c r="I25" s="281">
        <f t="shared" ref="I25:I34" si="8">H25*$I$35</f>
        <v>0</v>
      </c>
      <c r="J25" s="281">
        <f t="shared" ref="J25:J34" si="9">H25*$J$35</f>
        <v>0</v>
      </c>
      <c r="K25" s="282">
        <f t="shared" ref="K25:K34" si="10">SUM(I25:J25)</f>
        <v>0</v>
      </c>
      <c r="L25" s="156"/>
      <c r="M25" s="156"/>
    </row>
    <row r="26" spans="2:13" x14ac:dyDescent="0.2">
      <c r="B26" s="255" t="s">
        <v>182</v>
      </c>
      <c r="C26" s="91" t="s">
        <v>93</v>
      </c>
      <c r="D26" s="280">
        <v>0</v>
      </c>
      <c r="E26" s="281">
        <f t="shared" si="6"/>
        <v>0</v>
      </c>
      <c r="F26" s="281">
        <f t="shared" si="6"/>
        <v>0</v>
      </c>
      <c r="G26" s="282">
        <f t="shared" si="7"/>
        <v>0</v>
      </c>
      <c r="H26" s="280">
        <v>0</v>
      </c>
      <c r="I26" s="281">
        <f t="shared" si="8"/>
        <v>0</v>
      </c>
      <c r="J26" s="281">
        <f t="shared" si="9"/>
        <v>0</v>
      </c>
      <c r="K26" s="282">
        <f t="shared" si="10"/>
        <v>0</v>
      </c>
      <c r="L26" s="156"/>
      <c r="M26" s="156"/>
    </row>
    <row r="27" spans="2:13" x14ac:dyDescent="0.2">
      <c r="B27" s="255" t="s">
        <v>182</v>
      </c>
      <c r="C27" s="91" t="s">
        <v>94</v>
      </c>
      <c r="D27" s="280">
        <v>0</v>
      </c>
      <c r="E27" s="281">
        <f t="shared" si="6"/>
        <v>0</v>
      </c>
      <c r="F27" s="281">
        <f t="shared" si="6"/>
        <v>0</v>
      </c>
      <c r="G27" s="282">
        <f t="shared" si="7"/>
        <v>0</v>
      </c>
      <c r="H27" s="280">
        <v>0</v>
      </c>
      <c r="I27" s="281">
        <f t="shared" si="8"/>
        <v>0</v>
      </c>
      <c r="J27" s="281">
        <f t="shared" si="9"/>
        <v>0</v>
      </c>
      <c r="K27" s="282">
        <f t="shared" si="10"/>
        <v>0</v>
      </c>
      <c r="L27" s="156"/>
      <c r="M27" s="156"/>
    </row>
    <row r="28" spans="2:13" ht="12.75" customHeight="1" x14ac:dyDescent="0.2">
      <c r="B28" s="255" t="s">
        <v>182</v>
      </c>
      <c r="C28" s="91" t="s">
        <v>95</v>
      </c>
      <c r="D28" s="280">
        <v>0</v>
      </c>
      <c r="E28" s="281">
        <f t="shared" si="6"/>
        <v>0</v>
      </c>
      <c r="F28" s="281">
        <f t="shared" si="6"/>
        <v>0</v>
      </c>
      <c r="G28" s="282">
        <f t="shared" si="7"/>
        <v>0</v>
      </c>
      <c r="H28" s="280">
        <v>0</v>
      </c>
      <c r="I28" s="281">
        <f t="shared" si="8"/>
        <v>0</v>
      </c>
      <c r="J28" s="281">
        <f t="shared" si="9"/>
        <v>0</v>
      </c>
      <c r="K28" s="282">
        <f t="shared" si="10"/>
        <v>0</v>
      </c>
      <c r="L28" s="156"/>
      <c r="M28" s="156"/>
    </row>
    <row r="29" spans="2:13" ht="12.75" customHeight="1" x14ac:dyDescent="0.2">
      <c r="B29" s="255" t="s">
        <v>182</v>
      </c>
      <c r="C29" s="159" t="s">
        <v>96</v>
      </c>
      <c r="D29" s="280">
        <v>0</v>
      </c>
      <c r="E29" s="281">
        <f t="shared" si="6"/>
        <v>0</v>
      </c>
      <c r="F29" s="281">
        <f t="shared" si="6"/>
        <v>0</v>
      </c>
      <c r="G29" s="282">
        <f t="shared" si="7"/>
        <v>0</v>
      </c>
      <c r="H29" s="280">
        <v>0</v>
      </c>
      <c r="I29" s="281">
        <f t="shared" si="8"/>
        <v>0</v>
      </c>
      <c r="J29" s="281">
        <f t="shared" si="9"/>
        <v>0</v>
      </c>
      <c r="K29" s="282">
        <f t="shared" si="10"/>
        <v>0</v>
      </c>
      <c r="L29" s="156"/>
      <c r="M29" s="156"/>
    </row>
    <row r="30" spans="2:13" x14ac:dyDescent="0.2">
      <c r="B30" s="255" t="s">
        <v>182</v>
      </c>
      <c r="C30" s="91" t="s">
        <v>97</v>
      </c>
      <c r="D30" s="280">
        <v>0</v>
      </c>
      <c r="E30" s="281">
        <f t="shared" si="6"/>
        <v>0</v>
      </c>
      <c r="F30" s="281">
        <f t="shared" si="6"/>
        <v>0</v>
      </c>
      <c r="G30" s="282">
        <f t="shared" si="7"/>
        <v>0</v>
      </c>
      <c r="H30" s="280">
        <v>0</v>
      </c>
      <c r="I30" s="281">
        <f t="shared" si="8"/>
        <v>0</v>
      </c>
      <c r="J30" s="281">
        <f t="shared" si="9"/>
        <v>0</v>
      </c>
      <c r="K30" s="282">
        <f t="shared" si="10"/>
        <v>0</v>
      </c>
      <c r="L30" s="156"/>
      <c r="M30" s="156"/>
    </row>
    <row r="31" spans="2:13" x14ac:dyDescent="0.2">
      <c r="B31" s="255" t="s">
        <v>182</v>
      </c>
      <c r="C31" s="91" t="s">
        <v>98</v>
      </c>
      <c r="D31" s="280">
        <v>0</v>
      </c>
      <c r="E31" s="281">
        <f t="shared" si="6"/>
        <v>0</v>
      </c>
      <c r="F31" s="281">
        <f t="shared" si="6"/>
        <v>0</v>
      </c>
      <c r="G31" s="282">
        <f t="shared" si="7"/>
        <v>0</v>
      </c>
      <c r="H31" s="280">
        <v>0</v>
      </c>
      <c r="I31" s="281">
        <f t="shared" si="8"/>
        <v>0</v>
      </c>
      <c r="J31" s="281">
        <f t="shared" si="9"/>
        <v>0</v>
      </c>
      <c r="K31" s="282">
        <f t="shared" si="10"/>
        <v>0</v>
      </c>
      <c r="L31" s="156"/>
      <c r="M31" s="156"/>
    </row>
    <row r="32" spans="2:13" x14ac:dyDescent="0.2">
      <c r="B32" s="255" t="s">
        <v>182</v>
      </c>
      <c r="C32" s="91" t="s">
        <v>99</v>
      </c>
      <c r="D32" s="280">
        <v>0</v>
      </c>
      <c r="E32" s="281">
        <f t="shared" si="6"/>
        <v>0</v>
      </c>
      <c r="F32" s="281">
        <f t="shared" si="6"/>
        <v>0</v>
      </c>
      <c r="G32" s="282">
        <f t="shared" si="7"/>
        <v>0</v>
      </c>
      <c r="H32" s="280">
        <v>0</v>
      </c>
      <c r="I32" s="281">
        <f t="shared" si="8"/>
        <v>0</v>
      </c>
      <c r="J32" s="281">
        <f t="shared" si="9"/>
        <v>0</v>
      </c>
      <c r="K32" s="282">
        <f t="shared" si="10"/>
        <v>0</v>
      </c>
      <c r="L32" s="156"/>
      <c r="M32" s="156"/>
    </row>
    <row r="33" spans="2:13" x14ac:dyDescent="0.2">
      <c r="B33" s="255" t="s">
        <v>182</v>
      </c>
      <c r="C33" s="91" t="s">
        <v>101</v>
      </c>
      <c r="D33" s="280">
        <v>0</v>
      </c>
      <c r="E33" s="281">
        <f t="shared" si="6"/>
        <v>0</v>
      </c>
      <c r="F33" s="281">
        <f t="shared" si="6"/>
        <v>0</v>
      </c>
      <c r="G33" s="282">
        <f t="shared" si="7"/>
        <v>0</v>
      </c>
      <c r="H33" s="280">
        <v>0</v>
      </c>
      <c r="I33" s="281">
        <f t="shared" si="8"/>
        <v>0</v>
      </c>
      <c r="J33" s="281">
        <f t="shared" si="9"/>
        <v>0</v>
      </c>
      <c r="K33" s="282">
        <f t="shared" si="10"/>
        <v>0</v>
      </c>
      <c r="L33" s="156"/>
      <c r="M33" s="156"/>
    </row>
    <row r="34" spans="2:13" x14ac:dyDescent="0.2">
      <c r="B34" s="255" t="s">
        <v>182</v>
      </c>
      <c r="C34" s="91" t="s">
        <v>103</v>
      </c>
      <c r="D34" s="280">
        <v>0</v>
      </c>
      <c r="E34" s="281">
        <f t="shared" si="6"/>
        <v>0</v>
      </c>
      <c r="F34" s="281">
        <f t="shared" si="6"/>
        <v>0</v>
      </c>
      <c r="G34" s="282">
        <f t="shared" si="7"/>
        <v>0</v>
      </c>
      <c r="H34" s="280">
        <v>0</v>
      </c>
      <c r="I34" s="281">
        <f t="shared" si="8"/>
        <v>0</v>
      </c>
      <c r="J34" s="281">
        <f t="shared" si="9"/>
        <v>0</v>
      </c>
      <c r="K34" s="282">
        <f t="shared" si="10"/>
        <v>0</v>
      </c>
      <c r="L34" s="156"/>
      <c r="M34" s="156"/>
    </row>
    <row r="35" spans="2:13" x14ac:dyDescent="0.2">
      <c r="B35" s="256"/>
      <c r="C35" s="151" t="s">
        <v>185</v>
      </c>
      <c r="D35" s="96">
        <f>SUM(D25:D34)</f>
        <v>0</v>
      </c>
      <c r="E35" s="92">
        <f>'2.1 Profit &amp; Loss by component'!D14+'2.1 Profit &amp; Loss by component'!D15</f>
        <v>0</v>
      </c>
      <c r="F35" s="92">
        <f>'2.1 Profit &amp; Loss by component'!E14+'2.1 Profit &amp; Loss by component'!E15</f>
        <v>0</v>
      </c>
      <c r="G35" s="92">
        <f>SUM(G25:G34)</f>
        <v>0</v>
      </c>
      <c r="H35" s="96">
        <f>SUM(H25:H34)</f>
        <v>0</v>
      </c>
      <c r="I35" s="92">
        <f>'2.1 Profit &amp; Loss by component'!G14+'2.1 Profit &amp; Loss by component'!G15</f>
        <v>0</v>
      </c>
      <c r="J35" s="92">
        <f>'2.1 Profit &amp; Loss by component'!H14</f>
        <v>0</v>
      </c>
      <c r="K35" s="92">
        <f>SUM(K25:K34)</f>
        <v>0</v>
      </c>
      <c r="L35" s="156"/>
      <c r="M35" s="156"/>
    </row>
    <row r="36" spans="2:13" x14ac:dyDescent="0.2">
      <c r="B36" s="257"/>
      <c r="C36" s="214" t="s">
        <v>71</v>
      </c>
      <c r="D36" s="90"/>
      <c r="E36" s="90"/>
      <c r="F36" s="90"/>
      <c r="G36" s="90"/>
      <c r="H36" s="90"/>
      <c r="I36" s="90"/>
      <c r="J36" s="90"/>
      <c r="K36" s="90"/>
      <c r="L36" s="156"/>
      <c r="M36" s="156"/>
    </row>
    <row r="37" spans="2:13" x14ac:dyDescent="0.2">
      <c r="B37" s="255" t="s">
        <v>182</v>
      </c>
      <c r="C37" s="91" t="s">
        <v>91</v>
      </c>
      <c r="D37" s="280">
        <v>0</v>
      </c>
      <c r="E37" s="281">
        <f>$D37*'2.4 Indirect revenue'!$G$42</f>
        <v>0</v>
      </c>
      <c r="F37" s="281">
        <f>$D37*'2.4 Indirect revenue'!$H$42</f>
        <v>0</v>
      </c>
      <c r="G37" s="282">
        <f t="shared" ref="G37:G46" si="11">SUM(E37:F37)</f>
        <v>0</v>
      </c>
      <c r="H37" s="280">
        <v>0</v>
      </c>
      <c r="I37" s="281">
        <f t="shared" ref="I37:I46" si="12">H37*$I$47</f>
        <v>0</v>
      </c>
      <c r="J37" s="281">
        <f t="shared" ref="J37:J46" si="13">H37*$J$47</f>
        <v>0</v>
      </c>
      <c r="K37" s="282">
        <f t="shared" ref="K37:K46" si="14">SUM(I37:J37)</f>
        <v>0</v>
      </c>
      <c r="L37" s="156"/>
      <c r="M37" s="156"/>
    </row>
    <row r="38" spans="2:13" x14ac:dyDescent="0.2">
      <c r="B38" s="255" t="s">
        <v>182</v>
      </c>
      <c r="C38" s="91" t="s">
        <v>93</v>
      </c>
      <c r="D38" s="280">
        <v>0</v>
      </c>
      <c r="E38" s="281">
        <f>$D38*'2.4 Indirect revenue'!$G$42</f>
        <v>0</v>
      </c>
      <c r="F38" s="281">
        <f>$D38*'2.4 Indirect revenue'!$H$42</f>
        <v>0</v>
      </c>
      <c r="G38" s="282">
        <f t="shared" si="11"/>
        <v>0</v>
      </c>
      <c r="H38" s="280">
        <v>0</v>
      </c>
      <c r="I38" s="281">
        <f t="shared" si="12"/>
        <v>0</v>
      </c>
      <c r="J38" s="281">
        <f t="shared" si="13"/>
        <v>0</v>
      </c>
      <c r="K38" s="282">
        <f t="shared" si="14"/>
        <v>0</v>
      </c>
      <c r="L38" s="156"/>
      <c r="M38" s="156"/>
    </row>
    <row r="39" spans="2:13" x14ac:dyDescent="0.2">
      <c r="B39" s="255" t="s">
        <v>182</v>
      </c>
      <c r="C39" s="91" t="s">
        <v>94</v>
      </c>
      <c r="D39" s="280">
        <v>0</v>
      </c>
      <c r="E39" s="281">
        <f>$D39*'2.4 Indirect revenue'!$G$42</f>
        <v>0</v>
      </c>
      <c r="F39" s="281">
        <f>$D39*'2.4 Indirect revenue'!$H$42</f>
        <v>0</v>
      </c>
      <c r="G39" s="282">
        <f t="shared" si="11"/>
        <v>0</v>
      </c>
      <c r="H39" s="280">
        <v>0</v>
      </c>
      <c r="I39" s="281">
        <f t="shared" si="12"/>
        <v>0</v>
      </c>
      <c r="J39" s="281">
        <f t="shared" si="13"/>
        <v>0</v>
      </c>
      <c r="K39" s="282">
        <f t="shared" si="14"/>
        <v>0</v>
      </c>
      <c r="L39" s="156"/>
      <c r="M39" s="156"/>
    </row>
    <row r="40" spans="2:13" x14ac:dyDescent="0.2">
      <c r="B40" s="255" t="s">
        <v>182</v>
      </c>
      <c r="C40" s="91" t="s">
        <v>95</v>
      </c>
      <c r="D40" s="280">
        <v>0</v>
      </c>
      <c r="E40" s="281">
        <f>$D40*'2.4 Indirect revenue'!$G$42</f>
        <v>0</v>
      </c>
      <c r="F40" s="281">
        <f>$D40*'2.4 Indirect revenue'!$H$42</f>
        <v>0</v>
      </c>
      <c r="G40" s="282">
        <f t="shared" si="11"/>
        <v>0</v>
      </c>
      <c r="H40" s="280">
        <v>0</v>
      </c>
      <c r="I40" s="281">
        <f t="shared" si="12"/>
        <v>0</v>
      </c>
      <c r="J40" s="281">
        <f t="shared" si="13"/>
        <v>0</v>
      </c>
      <c r="K40" s="282">
        <f t="shared" si="14"/>
        <v>0</v>
      </c>
      <c r="L40" s="156"/>
      <c r="M40" s="156"/>
    </row>
    <row r="41" spans="2:13" x14ac:dyDescent="0.2">
      <c r="B41" s="255" t="s">
        <v>182</v>
      </c>
      <c r="C41" s="159" t="s">
        <v>96</v>
      </c>
      <c r="D41" s="280">
        <v>0</v>
      </c>
      <c r="E41" s="281">
        <f>$D41*'2.4 Indirect revenue'!$G$42</f>
        <v>0</v>
      </c>
      <c r="F41" s="281">
        <f>$D41*'2.4 Indirect revenue'!$H$42</f>
        <v>0</v>
      </c>
      <c r="G41" s="282">
        <f t="shared" si="11"/>
        <v>0</v>
      </c>
      <c r="H41" s="280">
        <v>0</v>
      </c>
      <c r="I41" s="281">
        <f t="shared" si="12"/>
        <v>0</v>
      </c>
      <c r="J41" s="281">
        <f t="shared" si="13"/>
        <v>0</v>
      </c>
      <c r="K41" s="282">
        <f t="shared" si="14"/>
        <v>0</v>
      </c>
      <c r="L41" s="156"/>
      <c r="M41" s="156"/>
    </row>
    <row r="42" spans="2:13" x14ac:dyDescent="0.2">
      <c r="B42" s="255" t="s">
        <v>182</v>
      </c>
      <c r="C42" s="91" t="s">
        <v>97</v>
      </c>
      <c r="D42" s="280">
        <v>0</v>
      </c>
      <c r="E42" s="281">
        <f>$D42*'2.4 Indirect revenue'!$G$42</f>
        <v>0</v>
      </c>
      <c r="F42" s="281">
        <f>$D42*'2.4 Indirect revenue'!$H$42</f>
        <v>0</v>
      </c>
      <c r="G42" s="282">
        <f t="shared" si="11"/>
        <v>0</v>
      </c>
      <c r="H42" s="280">
        <v>0</v>
      </c>
      <c r="I42" s="281">
        <f t="shared" si="12"/>
        <v>0</v>
      </c>
      <c r="J42" s="281">
        <f t="shared" si="13"/>
        <v>0</v>
      </c>
      <c r="K42" s="282">
        <f t="shared" si="14"/>
        <v>0</v>
      </c>
      <c r="L42" s="156"/>
      <c r="M42" s="156"/>
    </row>
    <row r="43" spans="2:13" x14ac:dyDescent="0.2">
      <c r="B43" s="255" t="s">
        <v>182</v>
      </c>
      <c r="C43" s="91" t="s">
        <v>98</v>
      </c>
      <c r="D43" s="280">
        <v>0</v>
      </c>
      <c r="E43" s="281">
        <f>$D43*'2.4 Indirect revenue'!$G$42</f>
        <v>0</v>
      </c>
      <c r="F43" s="281">
        <f>$D43*'2.4 Indirect revenue'!$H$42</f>
        <v>0</v>
      </c>
      <c r="G43" s="282">
        <f t="shared" si="11"/>
        <v>0</v>
      </c>
      <c r="H43" s="280">
        <v>0</v>
      </c>
      <c r="I43" s="281">
        <f t="shared" si="12"/>
        <v>0</v>
      </c>
      <c r="J43" s="281">
        <f t="shared" si="13"/>
        <v>0</v>
      </c>
      <c r="K43" s="282">
        <f t="shared" si="14"/>
        <v>0</v>
      </c>
      <c r="L43" s="156"/>
      <c r="M43" s="156"/>
    </row>
    <row r="44" spans="2:13" x14ac:dyDescent="0.2">
      <c r="B44" s="255" t="s">
        <v>182</v>
      </c>
      <c r="C44" s="91" t="s">
        <v>99</v>
      </c>
      <c r="D44" s="280">
        <v>0</v>
      </c>
      <c r="E44" s="281">
        <f>$D44*'2.4 Indirect revenue'!$G$42</f>
        <v>0</v>
      </c>
      <c r="F44" s="281">
        <f>$D44*'2.4 Indirect revenue'!$H$42</f>
        <v>0</v>
      </c>
      <c r="G44" s="282">
        <f t="shared" si="11"/>
        <v>0</v>
      </c>
      <c r="H44" s="280">
        <v>0</v>
      </c>
      <c r="I44" s="281">
        <f t="shared" si="12"/>
        <v>0</v>
      </c>
      <c r="J44" s="281">
        <f t="shared" si="13"/>
        <v>0</v>
      </c>
      <c r="K44" s="282">
        <f t="shared" si="14"/>
        <v>0</v>
      </c>
      <c r="L44" s="156"/>
      <c r="M44" s="156"/>
    </row>
    <row r="45" spans="2:13" x14ac:dyDescent="0.2">
      <c r="B45" s="255" t="s">
        <v>182</v>
      </c>
      <c r="C45" s="91" t="s">
        <v>101</v>
      </c>
      <c r="D45" s="280">
        <v>0</v>
      </c>
      <c r="E45" s="281">
        <f>$D45*'2.4 Indirect revenue'!$G$42</f>
        <v>0</v>
      </c>
      <c r="F45" s="281">
        <f>$D45*'2.4 Indirect revenue'!$H$42</f>
        <v>0</v>
      </c>
      <c r="G45" s="282">
        <f t="shared" si="11"/>
        <v>0</v>
      </c>
      <c r="H45" s="280">
        <v>0</v>
      </c>
      <c r="I45" s="281">
        <f t="shared" si="12"/>
        <v>0</v>
      </c>
      <c r="J45" s="281">
        <f t="shared" si="13"/>
        <v>0</v>
      </c>
      <c r="K45" s="282">
        <f t="shared" si="14"/>
        <v>0</v>
      </c>
      <c r="L45" s="156"/>
      <c r="M45" s="156"/>
    </row>
    <row r="46" spans="2:13" x14ac:dyDescent="0.2">
      <c r="B46" s="255" t="s">
        <v>182</v>
      </c>
      <c r="C46" s="91" t="s">
        <v>103</v>
      </c>
      <c r="D46" s="280">
        <v>1</v>
      </c>
      <c r="E46" s="281">
        <f>$D46*'2.4 Indirect revenue'!$G$42</f>
        <v>0</v>
      </c>
      <c r="F46" s="281">
        <f>$D46*'2.4 Indirect revenue'!$H$42</f>
        <v>0</v>
      </c>
      <c r="G46" s="282">
        <f t="shared" si="11"/>
        <v>0</v>
      </c>
      <c r="H46" s="280">
        <v>1</v>
      </c>
      <c r="I46" s="281">
        <f t="shared" si="12"/>
        <v>0</v>
      </c>
      <c r="J46" s="281">
        <f t="shared" si="13"/>
        <v>0</v>
      </c>
      <c r="K46" s="282">
        <f t="shared" si="14"/>
        <v>0</v>
      </c>
      <c r="L46" s="156"/>
      <c r="M46" s="156"/>
    </row>
    <row r="47" spans="2:13" x14ac:dyDescent="0.2">
      <c r="B47" s="231"/>
      <c r="C47" s="151" t="s">
        <v>186</v>
      </c>
      <c r="D47" s="96">
        <f>SUM(D37:D46)</f>
        <v>1</v>
      </c>
      <c r="E47" s="92">
        <f>'2.1 Profit &amp; Loss by component'!D21</f>
        <v>0</v>
      </c>
      <c r="F47" s="92">
        <f>'2.1 Profit &amp; Loss by component'!E21</f>
        <v>0</v>
      </c>
      <c r="G47" s="92">
        <f>SUM(G37:G46)</f>
        <v>0</v>
      </c>
      <c r="H47" s="96">
        <f>SUM(H37:H46)</f>
        <v>1</v>
      </c>
      <c r="I47" s="92">
        <f>'2.1 Profit &amp; Loss by component'!G21</f>
        <v>0</v>
      </c>
      <c r="J47" s="92">
        <f>'2.1 Profit &amp; Loss by component'!H21</f>
        <v>0</v>
      </c>
      <c r="K47" s="92">
        <f>SUM(K37:K46)</f>
        <v>0</v>
      </c>
      <c r="L47" s="156"/>
      <c r="M47" s="156"/>
    </row>
    <row r="48" spans="2:13" ht="14.25" x14ac:dyDescent="0.2">
      <c r="B48" s="231"/>
      <c r="C48" s="151" t="s">
        <v>72</v>
      </c>
      <c r="D48" s="216"/>
      <c r="E48" s="92">
        <f>E47+E35+E23</f>
        <v>24016625.219999995</v>
      </c>
      <c r="F48" s="92">
        <f>F47+F35+F23</f>
        <v>0</v>
      </c>
      <c r="G48" s="92">
        <f>G47+G35+G23</f>
        <v>24016625.219999999</v>
      </c>
      <c r="H48" s="216"/>
      <c r="I48" s="92">
        <f>I47+I35+I23</f>
        <v>24509569.880000003</v>
      </c>
      <c r="J48" s="92">
        <f>J47+J35+J23</f>
        <v>0</v>
      </c>
      <c r="K48" s="92">
        <f>K47+K35+K23</f>
        <v>24509569.880000003</v>
      </c>
      <c r="L48" s="156"/>
      <c r="M48" s="156"/>
    </row>
    <row r="49" spans="2:13" x14ac:dyDescent="0.2">
      <c r="B49" s="156"/>
      <c r="C49" s="156"/>
      <c r="D49" s="156"/>
      <c r="E49" s="156"/>
      <c r="F49" s="156"/>
      <c r="G49" s="156"/>
      <c r="H49" s="156"/>
      <c r="I49" s="156"/>
      <c r="J49" s="156"/>
      <c r="K49" s="156"/>
      <c r="L49" s="156"/>
      <c r="M49" s="156"/>
    </row>
    <row r="50" spans="2:13" ht="15.75" x14ac:dyDescent="0.2">
      <c r="B50" s="205" t="s">
        <v>187</v>
      </c>
      <c r="C50" s="156"/>
      <c r="D50" s="156"/>
      <c r="E50" s="156"/>
      <c r="F50" s="156"/>
      <c r="G50" s="156"/>
      <c r="H50" s="156"/>
      <c r="I50" s="156"/>
      <c r="J50" s="156"/>
      <c r="K50" s="156"/>
      <c r="L50" s="156"/>
      <c r="M50" s="156"/>
    </row>
    <row r="51" spans="2:13" x14ac:dyDescent="0.2">
      <c r="B51" s="206"/>
      <c r="C51" s="207"/>
      <c r="D51" s="208"/>
      <c r="E51" s="208"/>
      <c r="F51" s="208"/>
      <c r="G51" s="208"/>
      <c r="H51" s="208"/>
      <c r="I51" s="208"/>
      <c r="J51" s="208"/>
      <c r="K51" s="208"/>
      <c r="L51" s="156"/>
      <c r="M51" s="156"/>
    </row>
    <row r="52" spans="2:13" x14ac:dyDescent="0.2">
      <c r="B52" s="209"/>
      <c r="C52" s="209"/>
      <c r="D52" s="396" t="s">
        <v>178</v>
      </c>
      <c r="E52" s="397"/>
      <c r="F52" s="397"/>
      <c r="G52" s="398"/>
      <c r="H52" s="396" t="s">
        <v>139</v>
      </c>
      <c r="I52" s="397"/>
      <c r="J52" s="397"/>
      <c r="K52" s="398"/>
      <c r="L52" s="156"/>
      <c r="M52" s="156"/>
    </row>
    <row r="53" spans="2:13" ht="38.25" x14ac:dyDescent="0.2">
      <c r="B53" s="46" t="s">
        <v>128</v>
      </c>
      <c r="C53" s="209" t="s">
        <v>129</v>
      </c>
      <c r="D53" s="179" t="s">
        <v>179</v>
      </c>
      <c r="E53" s="179" t="s">
        <v>140</v>
      </c>
      <c r="F53" s="179" t="s">
        <v>141</v>
      </c>
      <c r="G53" s="179" t="s">
        <v>69</v>
      </c>
      <c r="H53" s="179" t="s">
        <v>179</v>
      </c>
      <c r="I53" s="179" t="s">
        <v>140</v>
      </c>
      <c r="J53" s="179" t="s">
        <v>141</v>
      </c>
      <c r="K53" s="179" t="s">
        <v>69</v>
      </c>
      <c r="L53" s="156"/>
      <c r="M53" s="156"/>
    </row>
    <row r="54" spans="2:13" x14ac:dyDescent="0.2">
      <c r="B54" s="46"/>
      <c r="C54" s="209"/>
      <c r="D54" s="90" t="s">
        <v>180</v>
      </c>
      <c r="E54" s="90" t="s">
        <v>131</v>
      </c>
      <c r="F54" s="90" t="s">
        <v>131</v>
      </c>
      <c r="G54" s="90" t="s">
        <v>131</v>
      </c>
      <c r="H54" s="90" t="s">
        <v>180</v>
      </c>
      <c r="I54" s="90" t="s">
        <v>131</v>
      </c>
      <c r="J54" s="90" t="s">
        <v>131</v>
      </c>
      <c r="K54" s="90" t="s">
        <v>131</v>
      </c>
      <c r="L54" s="156"/>
      <c r="M54" s="156"/>
    </row>
    <row r="55" spans="2:13" x14ac:dyDescent="0.2">
      <c r="B55" s="153"/>
      <c r="C55" s="214" t="s">
        <v>188</v>
      </c>
      <c r="D55" s="90"/>
      <c r="E55" s="90"/>
      <c r="F55" s="90"/>
      <c r="G55" s="90"/>
      <c r="H55" s="90"/>
      <c r="I55" s="90"/>
      <c r="J55" s="90"/>
      <c r="K55" s="90"/>
      <c r="L55" s="156"/>
      <c r="M55" s="156"/>
    </row>
    <row r="56" spans="2:13" x14ac:dyDescent="0.2">
      <c r="B56" s="255" t="s">
        <v>182</v>
      </c>
      <c r="C56" s="91" t="s">
        <v>91</v>
      </c>
      <c r="D56" s="280">
        <v>0.89856657813508078</v>
      </c>
      <c r="E56" s="281">
        <f t="shared" ref="E56:E65" si="15">D56*$E$66</f>
        <v>12251926.520835387</v>
      </c>
      <c r="F56" s="281">
        <f t="shared" ref="F56:F65" si="16">D56*$F$66</f>
        <v>0</v>
      </c>
      <c r="G56" s="282">
        <f t="shared" ref="G56:G65" si="17">SUM(E56:F56)</f>
        <v>12251926.520835387</v>
      </c>
      <c r="H56" s="280">
        <v>0.83106312226380663</v>
      </c>
      <c r="I56" s="281">
        <f t="shared" ref="I56:I65" si="18">H56*$I$66</f>
        <v>9713897.5357755013</v>
      </c>
      <c r="J56" s="281">
        <f t="shared" ref="J56:J65" si="19">H56*$J$66</f>
        <v>0</v>
      </c>
      <c r="K56" s="282">
        <f t="shared" ref="K56:K65" si="20">SUM(I56:J56)</f>
        <v>9713897.5357755013</v>
      </c>
      <c r="L56" s="156"/>
      <c r="M56" s="156"/>
    </row>
    <row r="57" spans="2:13" x14ac:dyDescent="0.2">
      <c r="B57" s="255" t="s">
        <v>182</v>
      </c>
      <c r="C57" s="91" t="s">
        <v>93</v>
      </c>
      <c r="D57" s="280">
        <v>0</v>
      </c>
      <c r="E57" s="281">
        <f t="shared" si="15"/>
        <v>0</v>
      </c>
      <c r="F57" s="281">
        <f t="shared" si="16"/>
        <v>0</v>
      </c>
      <c r="G57" s="282">
        <f t="shared" si="17"/>
        <v>0</v>
      </c>
      <c r="H57" s="280">
        <v>0</v>
      </c>
      <c r="I57" s="281">
        <f t="shared" si="18"/>
        <v>0</v>
      </c>
      <c r="J57" s="281">
        <f t="shared" si="19"/>
        <v>0</v>
      </c>
      <c r="K57" s="282">
        <f t="shared" si="20"/>
        <v>0</v>
      </c>
      <c r="L57" s="156"/>
      <c r="M57" s="156"/>
    </row>
    <row r="58" spans="2:13" x14ac:dyDescent="0.2">
      <c r="B58" s="255" t="s">
        <v>182</v>
      </c>
      <c r="C58" s="91" t="s">
        <v>94</v>
      </c>
      <c r="D58" s="280">
        <v>8.2094253892326594E-2</v>
      </c>
      <c r="E58" s="281">
        <f t="shared" si="15"/>
        <v>1119352.5231698379</v>
      </c>
      <c r="F58" s="281">
        <f t="shared" si="16"/>
        <v>0</v>
      </c>
      <c r="G58" s="282">
        <f t="shared" si="17"/>
        <v>1119352.5231698379</v>
      </c>
      <c r="H58" s="280">
        <v>0.14554825795737159</v>
      </c>
      <c r="I58" s="281">
        <f t="shared" si="18"/>
        <v>1701243.655785426</v>
      </c>
      <c r="J58" s="281">
        <f t="shared" si="19"/>
        <v>0</v>
      </c>
      <c r="K58" s="282">
        <f t="shared" si="20"/>
        <v>1701243.655785426</v>
      </c>
      <c r="L58" s="156"/>
      <c r="M58" s="156"/>
    </row>
    <row r="59" spans="2:13" x14ac:dyDescent="0.2">
      <c r="B59" s="255" t="s">
        <v>182</v>
      </c>
      <c r="C59" s="91" t="s">
        <v>95</v>
      </c>
      <c r="D59" s="280">
        <v>0</v>
      </c>
      <c r="E59" s="281">
        <f t="shared" si="15"/>
        <v>0</v>
      </c>
      <c r="F59" s="281">
        <f t="shared" si="16"/>
        <v>0</v>
      </c>
      <c r="G59" s="282">
        <f t="shared" si="17"/>
        <v>0</v>
      </c>
      <c r="H59" s="280">
        <v>0</v>
      </c>
      <c r="I59" s="281">
        <f t="shared" si="18"/>
        <v>0</v>
      </c>
      <c r="J59" s="281">
        <f t="shared" si="19"/>
        <v>0</v>
      </c>
      <c r="K59" s="282">
        <f t="shared" si="20"/>
        <v>0</v>
      </c>
      <c r="L59" s="156"/>
      <c r="M59" s="156"/>
    </row>
    <row r="60" spans="2:13" x14ac:dyDescent="0.2">
      <c r="B60" s="255" t="s">
        <v>182</v>
      </c>
      <c r="C60" s="159" t="s">
        <v>96</v>
      </c>
      <c r="D60" s="280">
        <v>0</v>
      </c>
      <c r="E60" s="281">
        <f t="shared" si="15"/>
        <v>0</v>
      </c>
      <c r="F60" s="281">
        <f t="shared" si="16"/>
        <v>0</v>
      </c>
      <c r="G60" s="282">
        <f t="shared" si="17"/>
        <v>0</v>
      </c>
      <c r="H60" s="280">
        <v>0</v>
      </c>
      <c r="I60" s="281">
        <f t="shared" si="18"/>
        <v>0</v>
      </c>
      <c r="J60" s="281">
        <f t="shared" si="19"/>
        <v>0</v>
      </c>
      <c r="K60" s="282">
        <f t="shared" si="20"/>
        <v>0</v>
      </c>
      <c r="L60" s="156"/>
      <c r="M60" s="156"/>
    </row>
    <row r="61" spans="2:13" x14ac:dyDescent="0.2">
      <c r="B61" s="255" t="s">
        <v>182</v>
      </c>
      <c r="C61" s="91" t="s">
        <v>97</v>
      </c>
      <c r="D61" s="280">
        <v>0</v>
      </c>
      <c r="E61" s="281">
        <f t="shared" si="15"/>
        <v>0</v>
      </c>
      <c r="F61" s="281">
        <f t="shared" si="16"/>
        <v>0</v>
      </c>
      <c r="G61" s="282">
        <f t="shared" si="17"/>
        <v>0</v>
      </c>
      <c r="H61" s="280">
        <v>0</v>
      </c>
      <c r="I61" s="281">
        <f t="shared" si="18"/>
        <v>0</v>
      </c>
      <c r="J61" s="281">
        <f t="shared" si="19"/>
        <v>0</v>
      </c>
      <c r="K61" s="282">
        <f t="shared" si="20"/>
        <v>0</v>
      </c>
      <c r="L61" s="156"/>
      <c r="M61" s="156"/>
    </row>
    <row r="62" spans="2:13" x14ac:dyDescent="0.2">
      <c r="B62" s="255" t="s">
        <v>182</v>
      </c>
      <c r="C62" s="91" t="s">
        <v>98</v>
      </c>
      <c r="D62" s="280">
        <v>7.8570113955323678E-3</v>
      </c>
      <c r="E62" s="281">
        <f t="shared" si="15"/>
        <v>107130.09879715074</v>
      </c>
      <c r="F62" s="281">
        <f t="shared" si="16"/>
        <v>0</v>
      </c>
      <c r="G62" s="282">
        <f t="shared" si="17"/>
        <v>107130.09879715074</v>
      </c>
      <c r="H62" s="280">
        <v>9.0954056466478229E-3</v>
      </c>
      <c r="I62" s="281">
        <f t="shared" si="18"/>
        <v>106311.82653994013</v>
      </c>
      <c r="J62" s="281">
        <f t="shared" si="19"/>
        <v>0</v>
      </c>
      <c r="K62" s="282">
        <f t="shared" si="20"/>
        <v>106311.82653994013</v>
      </c>
      <c r="L62" s="156"/>
      <c r="M62" s="156"/>
    </row>
    <row r="63" spans="2:13" x14ac:dyDescent="0.2">
      <c r="B63" s="255" t="s">
        <v>182</v>
      </c>
      <c r="C63" s="91" t="s">
        <v>99</v>
      </c>
      <c r="D63" s="280">
        <v>0</v>
      </c>
      <c r="E63" s="281">
        <f t="shared" si="15"/>
        <v>0</v>
      </c>
      <c r="F63" s="281">
        <f t="shared" si="16"/>
        <v>0</v>
      </c>
      <c r="G63" s="282">
        <f t="shared" si="17"/>
        <v>0</v>
      </c>
      <c r="H63" s="280">
        <v>0</v>
      </c>
      <c r="I63" s="281">
        <f t="shared" si="18"/>
        <v>0</v>
      </c>
      <c r="J63" s="281">
        <f t="shared" si="19"/>
        <v>0</v>
      </c>
      <c r="K63" s="282">
        <f t="shared" si="20"/>
        <v>0</v>
      </c>
      <c r="L63" s="156"/>
      <c r="M63" s="156"/>
    </row>
    <row r="64" spans="2:13" x14ac:dyDescent="0.2">
      <c r="B64" s="255" t="s">
        <v>182</v>
      </c>
      <c r="C64" s="91" t="s">
        <v>101</v>
      </c>
      <c r="D64" s="280">
        <v>8.8582492499020488E-4</v>
      </c>
      <c r="E64" s="281">
        <f t="shared" si="15"/>
        <v>12078.19448819181</v>
      </c>
      <c r="F64" s="281">
        <f t="shared" si="16"/>
        <v>0</v>
      </c>
      <c r="G64" s="282">
        <f t="shared" si="17"/>
        <v>12078.19448819181</v>
      </c>
      <c r="H64" s="280">
        <v>7.7390527940654683E-5</v>
      </c>
      <c r="I64" s="281">
        <f t="shared" si="18"/>
        <v>904.58069732091451</v>
      </c>
      <c r="J64" s="281">
        <f t="shared" si="19"/>
        <v>0</v>
      </c>
      <c r="K64" s="282">
        <f t="shared" si="20"/>
        <v>904.58069732091451</v>
      </c>
      <c r="L64" s="156"/>
      <c r="M64" s="156"/>
    </row>
    <row r="65" spans="2:13" x14ac:dyDescent="0.2">
      <c r="B65" s="255" t="s">
        <v>182</v>
      </c>
      <c r="C65" s="91" t="s">
        <v>103</v>
      </c>
      <c r="D65" s="280">
        <v>1.0596331652070131E-2</v>
      </c>
      <c r="E65" s="281">
        <f t="shared" si="15"/>
        <v>144480.64278220787</v>
      </c>
      <c r="F65" s="281">
        <f t="shared" si="16"/>
        <v>0</v>
      </c>
      <c r="G65" s="282">
        <f t="shared" si="17"/>
        <v>144480.64278220787</v>
      </c>
      <c r="H65" s="280">
        <v>1.4215823604233268E-2</v>
      </c>
      <c r="I65" s="281">
        <f t="shared" si="18"/>
        <v>166161.93184221949</v>
      </c>
      <c r="J65" s="281">
        <f t="shared" si="19"/>
        <v>0</v>
      </c>
      <c r="K65" s="282">
        <f t="shared" si="20"/>
        <v>166161.93184221949</v>
      </c>
      <c r="L65" s="156"/>
      <c r="M65" s="156"/>
    </row>
    <row r="66" spans="2:13" x14ac:dyDescent="0.2">
      <c r="B66" s="231"/>
      <c r="C66" s="151" t="s">
        <v>189</v>
      </c>
      <c r="D66" s="96">
        <f>SUM(D56:D65)</f>
        <v>1.0000000000000002</v>
      </c>
      <c r="E66" s="92">
        <f>'2.1 Profit &amp; Loss by component'!D32-'2.1 Profit &amp; Loss by component'!D26</f>
        <v>13634967.980072774</v>
      </c>
      <c r="F66" s="92">
        <f>'2.1 Profit &amp; Loss by component'!E32-'2.1 Profit &amp; Loss by component'!E26</f>
        <v>0</v>
      </c>
      <c r="G66" s="92">
        <f>SUM(G56:G65)</f>
        <v>13634967.980072774</v>
      </c>
      <c r="H66" s="96">
        <f>SUM(H56:H65)</f>
        <v>0.99999999999999989</v>
      </c>
      <c r="I66" s="92">
        <f>'2.1 Profit &amp; Loss by component'!G32-'2.1 Profit &amp; Loss by component'!G26</f>
        <v>11688519.530640408</v>
      </c>
      <c r="J66" s="92">
        <f>'2.1 Profit &amp; Loss by component'!H32-'2.1 Profit &amp; Loss by component'!H26</f>
        <v>0</v>
      </c>
      <c r="K66" s="92">
        <f>SUM(K56:K65)</f>
        <v>11688519.530640407</v>
      </c>
      <c r="L66" s="156"/>
      <c r="M66" s="156"/>
    </row>
    <row r="67" spans="2:13" x14ac:dyDescent="0.2">
      <c r="B67" s="153"/>
      <c r="C67" s="214" t="s">
        <v>190</v>
      </c>
      <c r="D67" s="90"/>
      <c r="E67" s="90"/>
      <c r="F67" s="90"/>
      <c r="G67" s="90"/>
      <c r="H67" s="90"/>
      <c r="I67" s="90"/>
      <c r="J67" s="90"/>
      <c r="K67" s="90"/>
      <c r="L67" s="156"/>
      <c r="M67" s="156"/>
    </row>
    <row r="68" spans="2:13" x14ac:dyDescent="0.2">
      <c r="B68" s="255" t="s">
        <v>182</v>
      </c>
      <c r="C68" s="91" t="s">
        <v>91</v>
      </c>
      <c r="D68" s="280">
        <v>0.89856657813508078</v>
      </c>
      <c r="E68" s="281">
        <f t="shared" ref="E68:E77" si="21">D68*$E$78</f>
        <v>5340845.576890585</v>
      </c>
      <c r="F68" s="281">
        <f t="shared" ref="F68:F77" si="22">D68*$F$78</f>
        <v>0</v>
      </c>
      <c r="G68" s="282">
        <f t="shared" ref="G68:G77" si="23">SUM(E68:F68)</f>
        <v>5340845.576890585</v>
      </c>
      <c r="H68" s="280">
        <v>0.83106312226380663</v>
      </c>
      <c r="I68" s="281">
        <f t="shared" ref="I68:I77" si="24">H68*$I$78</f>
        <v>4981760.4552199496</v>
      </c>
      <c r="J68" s="281">
        <f t="shared" ref="J68:J77" si="25">H68*$J$78</f>
        <v>0</v>
      </c>
      <c r="K68" s="282">
        <f t="shared" ref="K68:K77" si="26">SUM(I68:J68)</f>
        <v>4981760.4552199496</v>
      </c>
      <c r="L68" s="156"/>
      <c r="M68" s="156"/>
    </row>
    <row r="69" spans="2:13" x14ac:dyDescent="0.2">
      <c r="B69" s="255" t="s">
        <v>182</v>
      </c>
      <c r="C69" s="91" t="s">
        <v>93</v>
      </c>
      <c r="D69" s="280">
        <v>0</v>
      </c>
      <c r="E69" s="281">
        <f t="shared" si="21"/>
        <v>0</v>
      </c>
      <c r="F69" s="281">
        <f t="shared" si="22"/>
        <v>0</v>
      </c>
      <c r="G69" s="282">
        <f t="shared" si="23"/>
        <v>0</v>
      </c>
      <c r="H69" s="280">
        <v>0</v>
      </c>
      <c r="I69" s="281">
        <f t="shared" si="24"/>
        <v>0</v>
      </c>
      <c r="J69" s="281">
        <f t="shared" si="25"/>
        <v>0</v>
      </c>
      <c r="K69" s="282">
        <f t="shared" si="26"/>
        <v>0</v>
      </c>
      <c r="L69" s="156"/>
      <c r="M69" s="156"/>
    </row>
    <row r="70" spans="2:13" x14ac:dyDescent="0.2">
      <c r="B70" s="255" t="s">
        <v>182</v>
      </c>
      <c r="C70" s="91" t="s">
        <v>94</v>
      </c>
      <c r="D70" s="280">
        <v>8.2094253892326594E-2</v>
      </c>
      <c r="E70" s="281">
        <f t="shared" si="21"/>
        <v>487946.85163891432</v>
      </c>
      <c r="F70" s="281">
        <f t="shared" si="22"/>
        <v>0</v>
      </c>
      <c r="G70" s="282">
        <f t="shared" si="23"/>
        <v>487946.85163891432</v>
      </c>
      <c r="H70" s="280">
        <v>0.14554825795737159</v>
      </c>
      <c r="I70" s="281">
        <f t="shared" si="24"/>
        <v>872480.72546289675</v>
      </c>
      <c r="J70" s="281">
        <f t="shared" si="25"/>
        <v>0</v>
      </c>
      <c r="K70" s="282">
        <f t="shared" si="26"/>
        <v>872480.72546289675</v>
      </c>
      <c r="L70" s="156"/>
      <c r="M70" s="156"/>
    </row>
    <row r="71" spans="2:13" x14ac:dyDescent="0.2">
      <c r="B71" s="255" t="s">
        <v>182</v>
      </c>
      <c r="C71" s="91" t="s">
        <v>95</v>
      </c>
      <c r="D71" s="280">
        <v>0</v>
      </c>
      <c r="E71" s="281">
        <f t="shared" si="21"/>
        <v>0</v>
      </c>
      <c r="F71" s="281">
        <f t="shared" si="22"/>
        <v>0</v>
      </c>
      <c r="G71" s="282">
        <f t="shared" si="23"/>
        <v>0</v>
      </c>
      <c r="H71" s="280">
        <v>0</v>
      </c>
      <c r="I71" s="281">
        <f t="shared" si="24"/>
        <v>0</v>
      </c>
      <c r="J71" s="281">
        <f t="shared" si="25"/>
        <v>0</v>
      </c>
      <c r="K71" s="282">
        <f t="shared" si="26"/>
        <v>0</v>
      </c>
      <c r="L71" s="156"/>
      <c r="M71" s="156"/>
    </row>
    <row r="72" spans="2:13" x14ac:dyDescent="0.2">
      <c r="B72" s="255" t="s">
        <v>182</v>
      </c>
      <c r="C72" s="159" t="s">
        <v>96</v>
      </c>
      <c r="D72" s="280">
        <v>0</v>
      </c>
      <c r="E72" s="281">
        <f t="shared" si="21"/>
        <v>0</v>
      </c>
      <c r="F72" s="281">
        <f t="shared" si="22"/>
        <v>0</v>
      </c>
      <c r="G72" s="282">
        <f t="shared" si="23"/>
        <v>0</v>
      </c>
      <c r="H72" s="280">
        <v>0</v>
      </c>
      <c r="I72" s="281">
        <f t="shared" si="24"/>
        <v>0</v>
      </c>
      <c r="J72" s="281">
        <f t="shared" si="25"/>
        <v>0</v>
      </c>
      <c r="K72" s="282">
        <f t="shared" si="26"/>
        <v>0</v>
      </c>
      <c r="L72" s="156"/>
      <c r="M72" s="156"/>
    </row>
    <row r="73" spans="2:13" x14ac:dyDescent="0.2">
      <c r="B73" s="255" t="s">
        <v>182</v>
      </c>
      <c r="C73" s="91" t="s">
        <v>97</v>
      </c>
      <c r="D73" s="280">
        <v>0</v>
      </c>
      <c r="E73" s="281">
        <f t="shared" si="21"/>
        <v>0</v>
      </c>
      <c r="F73" s="281">
        <f t="shared" si="22"/>
        <v>0</v>
      </c>
      <c r="G73" s="282">
        <f t="shared" si="23"/>
        <v>0</v>
      </c>
      <c r="H73" s="280">
        <v>0</v>
      </c>
      <c r="I73" s="281">
        <f t="shared" si="24"/>
        <v>0</v>
      </c>
      <c r="J73" s="281">
        <f t="shared" si="25"/>
        <v>0</v>
      </c>
      <c r="K73" s="282">
        <f t="shared" si="26"/>
        <v>0</v>
      </c>
      <c r="L73" s="156"/>
      <c r="M73" s="156"/>
    </row>
    <row r="74" spans="2:13" x14ac:dyDescent="0.2">
      <c r="B74" s="255" t="s">
        <v>182</v>
      </c>
      <c r="C74" s="91" t="s">
        <v>98</v>
      </c>
      <c r="D74" s="280">
        <v>7.8570113955323678E-3</v>
      </c>
      <c r="E74" s="281">
        <f t="shared" si="21"/>
        <v>46700.028223283967</v>
      </c>
      <c r="F74" s="281">
        <f t="shared" si="22"/>
        <v>0</v>
      </c>
      <c r="G74" s="282">
        <f t="shared" si="23"/>
        <v>46700.028223283967</v>
      </c>
      <c r="H74" s="280">
        <v>9.0954056466478229E-3</v>
      </c>
      <c r="I74" s="281">
        <f t="shared" si="24"/>
        <v>54521.89004756623</v>
      </c>
      <c r="J74" s="281">
        <f t="shared" si="25"/>
        <v>0</v>
      </c>
      <c r="K74" s="282">
        <f t="shared" si="26"/>
        <v>54521.89004756623</v>
      </c>
      <c r="L74" s="156"/>
      <c r="M74" s="156"/>
    </row>
    <row r="75" spans="2:13" x14ac:dyDescent="0.2">
      <c r="B75" s="255" t="s">
        <v>182</v>
      </c>
      <c r="C75" s="91" t="s">
        <v>99</v>
      </c>
      <c r="D75" s="280">
        <v>0</v>
      </c>
      <c r="E75" s="281">
        <f t="shared" si="21"/>
        <v>0</v>
      </c>
      <c r="F75" s="281">
        <f t="shared" si="22"/>
        <v>0</v>
      </c>
      <c r="G75" s="282">
        <f t="shared" si="23"/>
        <v>0</v>
      </c>
      <c r="H75" s="280">
        <v>0</v>
      </c>
      <c r="I75" s="281">
        <f t="shared" si="24"/>
        <v>0</v>
      </c>
      <c r="J75" s="281">
        <f t="shared" si="25"/>
        <v>0</v>
      </c>
      <c r="K75" s="282">
        <f t="shared" si="26"/>
        <v>0</v>
      </c>
      <c r="L75" s="156"/>
      <c r="M75" s="156"/>
    </row>
    <row r="76" spans="2:13" x14ac:dyDescent="0.2">
      <c r="B76" s="255" t="s">
        <v>182</v>
      </c>
      <c r="C76" s="91" t="s">
        <v>101</v>
      </c>
      <c r="D76" s="280">
        <v>8.8582492499020488E-4</v>
      </c>
      <c r="E76" s="281">
        <f t="shared" si="21"/>
        <v>5265.1125110310468</v>
      </c>
      <c r="F76" s="281">
        <f t="shared" si="22"/>
        <v>0</v>
      </c>
      <c r="G76" s="282">
        <f t="shared" si="23"/>
        <v>5265.1125110310468</v>
      </c>
      <c r="H76" s="280">
        <v>7.7390527940654683E-5</v>
      </c>
      <c r="I76" s="281">
        <f t="shared" si="24"/>
        <v>463.91310283765029</v>
      </c>
      <c r="J76" s="281">
        <f t="shared" si="25"/>
        <v>0</v>
      </c>
      <c r="K76" s="282">
        <f t="shared" si="26"/>
        <v>463.91310283765029</v>
      </c>
      <c r="L76" s="156"/>
      <c r="M76" s="156"/>
    </row>
    <row r="77" spans="2:13" x14ac:dyDescent="0.2">
      <c r="B77" s="255" t="s">
        <v>182</v>
      </c>
      <c r="C77" s="91" t="s">
        <v>103</v>
      </c>
      <c r="D77" s="280">
        <v>1.0596331652070131E-2</v>
      </c>
      <c r="E77" s="281">
        <f t="shared" si="21"/>
        <v>62981.833970144427</v>
      </c>
      <c r="F77" s="281">
        <f t="shared" si="22"/>
        <v>0</v>
      </c>
      <c r="G77" s="282">
        <f t="shared" si="23"/>
        <v>62981.833970144427</v>
      </c>
      <c r="H77" s="280">
        <v>1.4215823604233268E-2</v>
      </c>
      <c r="I77" s="281">
        <f t="shared" si="24"/>
        <v>85215.943257161023</v>
      </c>
      <c r="J77" s="281">
        <f t="shared" si="25"/>
        <v>0</v>
      </c>
      <c r="K77" s="282">
        <f t="shared" si="26"/>
        <v>85215.943257161023</v>
      </c>
      <c r="L77" s="156"/>
      <c r="M77" s="156"/>
    </row>
    <row r="78" spans="2:13" x14ac:dyDescent="0.2">
      <c r="B78" s="231"/>
      <c r="C78" s="151" t="s">
        <v>191</v>
      </c>
      <c r="D78" s="96">
        <f>SUM(D68:D77)</f>
        <v>1.0000000000000002</v>
      </c>
      <c r="E78" s="92">
        <f>'2.1 Profit &amp; Loss by component'!D26+'2.1 Profit &amp; Loss by component'!D37</f>
        <v>5943739.4032339584</v>
      </c>
      <c r="F78" s="93">
        <f>'2.1 Profit &amp; Loss by component'!E26+'2.1 Profit &amp; Loss by component'!E37</f>
        <v>0</v>
      </c>
      <c r="G78" s="92">
        <f>SUM(G68:G77)</f>
        <v>5943739.4032339584</v>
      </c>
      <c r="H78" s="96">
        <f>SUM(H68:H77)</f>
        <v>0.99999999999999989</v>
      </c>
      <c r="I78" s="92">
        <f>'2.1 Profit &amp; Loss by component'!G26+'2.1 Profit &amp; Loss by component'!G37</f>
        <v>5994442.9270904111</v>
      </c>
      <c r="J78" s="92">
        <f>'2.1 Profit &amp; Loss by component'!H26+'2.1 Profit &amp; Loss by component'!H37</f>
        <v>0</v>
      </c>
      <c r="K78" s="92">
        <f>SUM(K68:K77)</f>
        <v>5994442.9270904111</v>
      </c>
      <c r="L78" s="156"/>
      <c r="M78" s="156"/>
    </row>
    <row r="79" spans="2:13" x14ac:dyDescent="0.2">
      <c r="B79" s="153"/>
      <c r="C79" s="214" t="s">
        <v>192</v>
      </c>
      <c r="D79" s="90"/>
      <c r="E79" s="90"/>
      <c r="F79" s="90"/>
      <c r="G79" s="90"/>
      <c r="H79" s="90"/>
      <c r="I79" s="90"/>
      <c r="J79" s="90"/>
      <c r="K79" s="90"/>
      <c r="L79" s="156"/>
      <c r="M79" s="156"/>
    </row>
    <row r="80" spans="2:13" x14ac:dyDescent="0.2">
      <c r="B80" s="255" t="s">
        <v>182</v>
      </c>
      <c r="C80" s="91" t="s">
        <v>91</v>
      </c>
      <c r="D80" s="280">
        <v>0.89856657813508078</v>
      </c>
      <c r="E80" s="281">
        <f t="shared" ref="E80:E89" si="27">D80*$E$90</f>
        <v>2064701.5230427145</v>
      </c>
      <c r="F80" s="281">
        <f t="shared" ref="F80:F89" si="28">D80*$F$90</f>
        <v>0</v>
      </c>
      <c r="G80" s="282">
        <f t="shared" ref="G80:G89" si="29">SUM(E80:F80)</f>
        <v>2064701.5230427145</v>
      </c>
      <c r="H80" s="280">
        <v>0.83106312226380663</v>
      </c>
      <c r="I80" s="281">
        <f t="shared" ref="I80:I89" si="30">H80*$I$90</f>
        <v>2300788.1034785355</v>
      </c>
      <c r="J80" s="281">
        <f t="shared" ref="J80:J89" si="31">H80*$J$90</f>
        <v>0</v>
      </c>
      <c r="K80" s="282">
        <f t="shared" ref="K80:K89" si="32">SUM(I80:J80)</f>
        <v>2300788.1034785355</v>
      </c>
      <c r="L80" s="156"/>
      <c r="M80" s="156"/>
    </row>
    <row r="81" spans="2:13" x14ac:dyDescent="0.2">
      <c r="B81" s="255" t="s">
        <v>182</v>
      </c>
      <c r="C81" s="91" t="s">
        <v>93</v>
      </c>
      <c r="D81" s="280">
        <v>0</v>
      </c>
      <c r="E81" s="281">
        <f t="shared" si="27"/>
        <v>0</v>
      </c>
      <c r="F81" s="281">
        <f t="shared" si="28"/>
        <v>0</v>
      </c>
      <c r="G81" s="282">
        <f t="shared" si="29"/>
        <v>0</v>
      </c>
      <c r="H81" s="280">
        <v>0</v>
      </c>
      <c r="I81" s="281">
        <f t="shared" si="30"/>
        <v>0</v>
      </c>
      <c r="J81" s="281">
        <f t="shared" si="31"/>
        <v>0</v>
      </c>
      <c r="K81" s="282">
        <f t="shared" si="32"/>
        <v>0</v>
      </c>
      <c r="L81" s="156"/>
      <c r="M81" s="156"/>
    </row>
    <row r="82" spans="2:13" x14ac:dyDescent="0.2">
      <c r="B82" s="255" t="s">
        <v>182</v>
      </c>
      <c r="C82" s="91" t="s">
        <v>94</v>
      </c>
      <c r="D82" s="280">
        <v>8.2094253892326594E-2</v>
      </c>
      <c r="E82" s="281">
        <f t="shared" si="27"/>
        <v>188633.91446889669</v>
      </c>
      <c r="F82" s="281">
        <f t="shared" si="28"/>
        <v>0</v>
      </c>
      <c r="G82" s="282">
        <f t="shared" si="29"/>
        <v>188633.91446889669</v>
      </c>
      <c r="H82" s="280">
        <v>0.14554825795737159</v>
      </c>
      <c r="I82" s="281">
        <f t="shared" si="30"/>
        <v>402948.5744454019</v>
      </c>
      <c r="J82" s="281">
        <f t="shared" si="31"/>
        <v>0</v>
      </c>
      <c r="K82" s="282">
        <f t="shared" si="32"/>
        <v>402948.5744454019</v>
      </c>
      <c r="L82" s="156"/>
      <c r="M82" s="156"/>
    </row>
    <row r="83" spans="2:13" x14ac:dyDescent="0.2">
      <c r="B83" s="255" t="s">
        <v>182</v>
      </c>
      <c r="C83" s="91" t="s">
        <v>95</v>
      </c>
      <c r="D83" s="280">
        <v>0</v>
      </c>
      <c r="E83" s="281">
        <f t="shared" si="27"/>
        <v>0</v>
      </c>
      <c r="F83" s="281">
        <f t="shared" si="28"/>
        <v>0</v>
      </c>
      <c r="G83" s="282">
        <f t="shared" si="29"/>
        <v>0</v>
      </c>
      <c r="H83" s="280">
        <v>0</v>
      </c>
      <c r="I83" s="281">
        <f t="shared" si="30"/>
        <v>0</v>
      </c>
      <c r="J83" s="281">
        <f t="shared" si="31"/>
        <v>0</v>
      </c>
      <c r="K83" s="282">
        <f t="shared" si="32"/>
        <v>0</v>
      </c>
      <c r="L83" s="156"/>
      <c r="M83" s="156"/>
    </row>
    <row r="84" spans="2:13" x14ac:dyDescent="0.2">
      <c r="B84" s="255" t="s">
        <v>182</v>
      </c>
      <c r="C84" s="159" t="s">
        <v>96</v>
      </c>
      <c r="D84" s="280">
        <v>0</v>
      </c>
      <c r="E84" s="281">
        <f t="shared" si="27"/>
        <v>0</v>
      </c>
      <c r="F84" s="281">
        <f t="shared" si="28"/>
        <v>0</v>
      </c>
      <c r="G84" s="282">
        <f t="shared" si="29"/>
        <v>0</v>
      </c>
      <c r="H84" s="280">
        <v>0</v>
      </c>
      <c r="I84" s="281">
        <f t="shared" si="30"/>
        <v>0</v>
      </c>
      <c r="J84" s="281">
        <f t="shared" si="31"/>
        <v>0</v>
      </c>
      <c r="K84" s="282">
        <f t="shared" si="32"/>
        <v>0</v>
      </c>
      <c r="L84" s="156"/>
      <c r="M84" s="156"/>
    </row>
    <row r="85" spans="2:13" x14ac:dyDescent="0.2">
      <c r="B85" s="255" t="s">
        <v>182</v>
      </c>
      <c r="C85" s="91" t="s">
        <v>97</v>
      </c>
      <c r="D85" s="280">
        <v>0</v>
      </c>
      <c r="E85" s="281">
        <f t="shared" si="27"/>
        <v>0</v>
      </c>
      <c r="F85" s="281">
        <f t="shared" si="28"/>
        <v>0</v>
      </c>
      <c r="G85" s="282">
        <f t="shared" si="29"/>
        <v>0</v>
      </c>
      <c r="H85" s="280">
        <v>0</v>
      </c>
      <c r="I85" s="281">
        <f t="shared" si="30"/>
        <v>0</v>
      </c>
      <c r="J85" s="281">
        <f t="shared" si="31"/>
        <v>0</v>
      </c>
      <c r="K85" s="282">
        <f t="shared" si="32"/>
        <v>0</v>
      </c>
      <c r="L85" s="156"/>
      <c r="M85" s="156"/>
    </row>
    <row r="86" spans="2:13" x14ac:dyDescent="0.2">
      <c r="B86" s="255" t="s">
        <v>182</v>
      </c>
      <c r="C86" s="91" t="s">
        <v>98</v>
      </c>
      <c r="D86" s="280">
        <v>7.8570113955323678E-3</v>
      </c>
      <c r="E86" s="281">
        <f t="shared" si="27"/>
        <v>18053.624283008827</v>
      </c>
      <c r="F86" s="281">
        <f t="shared" si="28"/>
        <v>0</v>
      </c>
      <c r="G86" s="282">
        <f t="shared" si="29"/>
        <v>18053.624283008827</v>
      </c>
      <c r="H86" s="280">
        <v>9.0954056466478229E-3</v>
      </c>
      <c r="I86" s="281">
        <f t="shared" si="30"/>
        <v>25180.519442512355</v>
      </c>
      <c r="J86" s="281">
        <f t="shared" si="31"/>
        <v>0</v>
      </c>
      <c r="K86" s="282">
        <f t="shared" si="32"/>
        <v>25180.519442512355</v>
      </c>
      <c r="L86" s="156"/>
      <c r="M86" s="156"/>
    </row>
    <row r="87" spans="2:13" x14ac:dyDescent="0.2">
      <c r="B87" s="255" t="s">
        <v>182</v>
      </c>
      <c r="C87" s="91" t="s">
        <v>99</v>
      </c>
      <c r="D87" s="280">
        <v>0</v>
      </c>
      <c r="E87" s="281">
        <f t="shared" si="27"/>
        <v>0</v>
      </c>
      <c r="F87" s="281">
        <f t="shared" si="28"/>
        <v>0</v>
      </c>
      <c r="G87" s="282">
        <f t="shared" si="29"/>
        <v>0</v>
      </c>
      <c r="H87" s="280">
        <v>0</v>
      </c>
      <c r="I87" s="281">
        <f t="shared" si="30"/>
        <v>0</v>
      </c>
      <c r="J87" s="281">
        <f t="shared" si="31"/>
        <v>0</v>
      </c>
      <c r="K87" s="282">
        <f t="shared" si="32"/>
        <v>0</v>
      </c>
      <c r="L87" s="156"/>
      <c r="M87" s="156"/>
    </row>
    <row r="88" spans="2:13" x14ac:dyDescent="0.2">
      <c r="B88" s="255" t="s">
        <v>182</v>
      </c>
      <c r="C88" s="91" t="s">
        <v>101</v>
      </c>
      <c r="D88" s="280">
        <v>8.8582492499020488E-4</v>
      </c>
      <c r="E88" s="281">
        <f t="shared" si="27"/>
        <v>2035.424103545422</v>
      </c>
      <c r="F88" s="281">
        <f t="shared" si="28"/>
        <v>0</v>
      </c>
      <c r="G88" s="282">
        <f t="shared" si="29"/>
        <v>2035.424103545422</v>
      </c>
      <c r="H88" s="280">
        <v>7.7390527940654683E-5</v>
      </c>
      <c r="I88" s="281">
        <f t="shared" si="30"/>
        <v>214.25473136474906</v>
      </c>
      <c r="J88" s="281">
        <f t="shared" si="31"/>
        <v>0</v>
      </c>
      <c r="K88" s="282">
        <f t="shared" si="32"/>
        <v>214.25473136474906</v>
      </c>
      <c r="L88" s="156"/>
      <c r="M88" s="156"/>
    </row>
    <row r="89" spans="2:13" x14ac:dyDescent="0.2">
      <c r="B89" s="255" t="s">
        <v>182</v>
      </c>
      <c r="C89" s="91" t="s">
        <v>103</v>
      </c>
      <c r="D89" s="280">
        <v>1.0596331652070131E-2</v>
      </c>
      <c r="E89" s="281">
        <f t="shared" si="27"/>
        <v>24347.958885920169</v>
      </c>
      <c r="F89" s="281">
        <f t="shared" si="28"/>
        <v>0</v>
      </c>
      <c r="G89" s="282">
        <f t="shared" si="29"/>
        <v>24347.958885920169</v>
      </c>
      <c r="H89" s="280">
        <v>1.4215823604233268E-2</v>
      </c>
      <c r="I89" s="281">
        <f t="shared" si="30"/>
        <v>39356.334017895213</v>
      </c>
      <c r="J89" s="281">
        <f t="shared" si="31"/>
        <v>0</v>
      </c>
      <c r="K89" s="282">
        <f t="shared" si="32"/>
        <v>39356.334017895213</v>
      </c>
      <c r="L89" s="156"/>
      <c r="M89" s="156"/>
    </row>
    <row r="90" spans="2:13" x14ac:dyDescent="0.2">
      <c r="B90" s="231"/>
      <c r="C90" s="151" t="s">
        <v>193</v>
      </c>
      <c r="D90" s="96">
        <f>SUM(D80:D89)</f>
        <v>1.0000000000000002</v>
      </c>
      <c r="E90" s="92">
        <f>'2.1 Profit &amp; Loss by component'!D43-'2.1 Profit &amp; Loss by component'!D37</f>
        <v>2297772.4447840853</v>
      </c>
      <c r="F90" s="92">
        <f>'2.1 Profit &amp; Loss by component'!E43-'2.1 Profit &amp; Loss by component'!E37</f>
        <v>0</v>
      </c>
      <c r="G90" s="92">
        <f>SUM(G80:G89)</f>
        <v>2297772.4447840857</v>
      </c>
      <c r="H90" s="96">
        <f>SUM(H80:H89)</f>
        <v>0.99999999999999989</v>
      </c>
      <c r="I90" s="92">
        <f>'2.1 Profit &amp; Loss by component'!G43-'2.1 Profit &amp; Loss by component'!G37</f>
        <v>2768487.7861157097</v>
      </c>
      <c r="J90" s="92">
        <f>'2.1 Profit &amp; Loss by component'!H43-'2.1 Profit &amp; Loss by component'!H37</f>
        <v>0</v>
      </c>
      <c r="K90" s="92">
        <f>SUM(K80:K89)</f>
        <v>2768487.7861157092</v>
      </c>
      <c r="L90" s="156"/>
      <c r="M90" s="156"/>
    </row>
    <row r="91" spans="2:13" ht="14.25" x14ac:dyDescent="0.2">
      <c r="B91" s="231"/>
      <c r="C91" s="151" t="s">
        <v>75</v>
      </c>
      <c r="D91" s="216"/>
      <c r="E91" s="92">
        <f>E90+E78+E66</f>
        <v>21876479.828090817</v>
      </c>
      <c r="F91" s="92">
        <f>F90+F78+F66</f>
        <v>0</v>
      </c>
      <c r="G91" s="92">
        <f>G90+G78+G66</f>
        <v>21876479.828090817</v>
      </c>
      <c r="H91" s="216"/>
      <c r="I91" s="92">
        <f>I90+I78+I66</f>
        <v>20451450.243846528</v>
      </c>
      <c r="J91" s="92">
        <f>J90+J78+J66</f>
        <v>0</v>
      </c>
      <c r="K91" s="92">
        <f>K90+K78+K66</f>
        <v>20451450.243846528</v>
      </c>
      <c r="L91" s="156"/>
      <c r="M91" s="156"/>
    </row>
    <row r="92" spans="2:13" x14ac:dyDescent="0.2">
      <c r="B92" s="156"/>
      <c r="C92" s="156"/>
      <c r="D92" s="156"/>
      <c r="E92" s="156"/>
      <c r="F92" s="156"/>
      <c r="G92" s="156"/>
      <c r="H92" s="156"/>
      <c r="I92" s="156"/>
      <c r="J92" s="156"/>
      <c r="K92" s="156"/>
      <c r="L92" s="156"/>
      <c r="M92" s="156"/>
    </row>
    <row r="93" spans="2:13" x14ac:dyDescent="0.2">
      <c r="B93" s="156"/>
      <c r="C93" s="156"/>
      <c r="D93" s="156"/>
      <c r="E93" s="156"/>
      <c r="F93" s="156"/>
      <c r="G93" s="156"/>
      <c r="H93" s="156"/>
      <c r="I93" s="156"/>
      <c r="J93" s="156"/>
      <c r="K93" s="156"/>
      <c r="L93" s="156"/>
      <c r="M93" s="156"/>
    </row>
  </sheetData>
  <sheetProtection sheet="1"/>
  <mergeCells count="4">
    <mergeCell ref="D52:G52"/>
    <mergeCell ref="H52:K52"/>
    <mergeCell ref="D9:G9"/>
    <mergeCell ref="H9:K9"/>
  </mergeCells>
  <phoneticPr fontId="73" type="noConversion"/>
  <conditionalFormatting sqref="D23">
    <cfRule type="cellIs" dxfId="82" priority="23" stopIfTrue="1" operator="lessThan">
      <formula>1</formula>
    </cfRule>
    <cfRule type="cellIs" dxfId="81" priority="26" stopIfTrue="1" operator="greaterThan">
      <formula>1</formula>
    </cfRule>
  </conditionalFormatting>
  <conditionalFormatting sqref="D35">
    <cfRule type="cellIs" dxfId="80" priority="21" stopIfTrue="1" operator="lessThan">
      <formula>1</formula>
    </cfRule>
    <cfRule type="cellIs" dxfId="79" priority="22" stopIfTrue="1" operator="greaterThan">
      <formula>1</formula>
    </cfRule>
  </conditionalFormatting>
  <conditionalFormatting sqref="D47">
    <cfRule type="cellIs" dxfId="78" priority="19" stopIfTrue="1" operator="lessThan">
      <formula>1</formula>
    </cfRule>
    <cfRule type="cellIs" dxfId="77" priority="20" stopIfTrue="1" operator="greaterThan">
      <formula>1</formula>
    </cfRule>
  </conditionalFormatting>
  <conditionalFormatting sqref="D66">
    <cfRule type="cellIs" dxfId="76" priority="17" stopIfTrue="1" operator="lessThan">
      <formula>1</formula>
    </cfRule>
    <cfRule type="cellIs" dxfId="75" priority="18" stopIfTrue="1" operator="greaterThan">
      <formula>1</formula>
    </cfRule>
  </conditionalFormatting>
  <conditionalFormatting sqref="D78">
    <cfRule type="cellIs" dxfId="74" priority="15" stopIfTrue="1" operator="lessThan">
      <formula>1</formula>
    </cfRule>
    <cfRule type="cellIs" dxfId="73" priority="16" stopIfTrue="1" operator="greaterThan">
      <formula>1</formula>
    </cfRule>
  </conditionalFormatting>
  <conditionalFormatting sqref="D90">
    <cfRule type="cellIs" dxfId="72" priority="13" stopIfTrue="1" operator="lessThan">
      <formula>1</formula>
    </cfRule>
    <cfRule type="cellIs" dxfId="71" priority="14" stopIfTrue="1" operator="greaterThan">
      <formula>1</formula>
    </cfRule>
  </conditionalFormatting>
  <conditionalFormatting sqref="H23">
    <cfRule type="cellIs" dxfId="70" priority="1" stopIfTrue="1" operator="lessThan">
      <formula>1</formula>
    </cfRule>
    <cfRule type="cellIs" dxfId="69" priority="2" stopIfTrue="1" operator="greaterThan">
      <formula>1</formula>
    </cfRule>
  </conditionalFormatting>
  <conditionalFormatting sqref="H35">
    <cfRule type="cellIs" dxfId="68" priority="3" stopIfTrue="1" operator="lessThan">
      <formula>1</formula>
    </cfRule>
    <cfRule type="cellIs" dxfId="67" priority="4" stopIfTrue="1" operator="greaterThan">
      <formula>1</formula>
    </cfRule>
  </conditionalFormatting>
  <conditionalFormatting sqref="H47">
    <cfRule type="cellIs" dxfId="66" priority="5" stopIfTrue="1" operator="lessThan">
      <formula>1</formula>
    </cfRule>
    <cfRule type="cellIs" dxfId="65" priority="6" stopIfTrue="1" operator="greaterThan">
      <formula>1</formula>
    </cfRule>
  </conditionalFormatting>
  <conditionalFormatting sqref="H66">
    <cfRule type="cellIs" dxfId="64" priority="7" stopIfTrue="1" operator="lessThan">
      <formula>1</formula>
    </cfRule>
    <cfRule type="cellIs" dxfId="63" priority="8" stopIfTrue="1" operator="greaterThan">
      <formula>1</formula>
    </cfRule>
  </conditionalFormatting>
  <conditionalFormatting sqref="H78">
    <cfRule type="cellIs" dxfId="62" priority="9" stopIfTrue="1" operator="lessThan">
      <formula>1</formula>
    </cfRule>
    <cfRule type="cellIs" dxfId="61" priority="10" stopIfTrue="1" operator="greaterThan">
      <formula>1</formula>
    </cfRule>
  </conditionalFormatting>
  <conditionalFormatting sqref="H90">
    <cfRule type="cellIs" dxfId="60" priority="11" stopIfTrue="1" operator="lessThan">
      <formula>1</formula>
    </cfRule>
    <cfRule type="cellIs" dxfId="59" priority="12" stopIfTrue="1" operator="greaterThan">
      <formula>1</formula>
    </cfRule>
  </conditionalFormatting>
  <pageMargins left="0.75" right="0.75" top="1" bottom="1" header="0.5" footer="0.5"/>
  <pageSetup paperSize="9" scale="59" orientation="landscape" verticalDpi="2" r:id="rId1"/>
  <headerFooter alignWithMargins="0">
    <oddFooter>&amp;C_x000D_&amp;1#&amp;"Calibri"&amp;10&amp;K008000 APA-INTERNAL</oddFooter>
  </headerFooter>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953C9-36DE-4485-A30E-BDE11BEE26AF}">
  <sheetPr codeName="Sheet8">
    <tabColor rgb="FF17415D"/>
  </sheetPr>
  <dimension ref="B1:J29"/>
  <sheetViews>
    <sheetView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 style="4" customWidth="1"/>
    <col min="2" max="2" width="37.5703125" style="4" customWidth="1"/>
    <col min="3" max="3" width="42.85546875" style="4" customWidth="1"/>
    <col min="4" max="5" width="27.28515625" style="4" customWidth="1"/>
    <col min="6" max="6" width="18.42578125" style="4" customWidth="1"/>
    <col min="7" max="7" width="6.7109375" style="4" customWidth="1"/>
    <col min="8" max="10" width="19.85546875" style="4" customWidth="1"/>
    <col min="11" max="11" width="18.28515625" style="4" customWidth="1"/>
    <col min="12" max="16384" width="9.140625" style="4"/>
  </cols>
  <sheetData>
    <row r="1" spans="2:10" ht="20.25" customHeight="1" x14ac:dyDescent="0.3">
      <c r="B1" s="103" t="s">
        <v>66</v>
      </c>
      <c r="C1" s="103"/>
      <c r="D1" s="168"/>
      <c r="E1" s="168"/>
      <c r="F1" s="168"/>
      <c r="G1" s="168"/>
      <c r="H1" s="168"/>
      <c r="I1" s="168"/>
      <c r="J1" s="168"/>
    </row>
    <row r="2" spans="2:10" ht="20.25" customHeight="1" x14ac:dyDescent="0.2">
      <c r="B2" s="103" t="str">
        <f>IF(Tradingname=0," ",Tradingname)</f>
        <v>APT PIPELINES (NT) PTY LIMITED</v>
      </c>
      <c r="C2" s="103"/>
    </row>
    <row r="3" spans="2:10" ht="20.25" customHeight="1" x14ac:dyDescent="0.45">
      <c r="B3" s="103" t="s">
        <v>44</v>
      </c>
      <c r="C3" s="80">
        <f>IF(Yearending=0, "01/01/2000", Yearending)</f>
        <v>45838</v>
      </c>
      <c r="F3" s="202"/>
    </row>
    <row r="4" spans="2:10" ht="20.25" x14ac:dyDescent="0.2">
      <c r="B4" s="72" t="s">
        <v>194</v>
      </c>
      <c r="C4" s="72"/>
    </row>
    <row r="6" spans="2:10" ht="20.25" x14ac:dyDescent="0.3">
      <c r="B6" s="203"/>
      <c r="G6" s="265"/>
      <c r="H6" s="266"/>
    </row>
    <row r="7" spans="2:10" ht="15.75" x14ac:dyDescent="0.25">
      <c r="B7" s="175" t="s">
        <v>195</v>
      </c>
    </row>
    <row r="8" spans="2:10" ht="13.7" customHeight="1" x14ac:dyDescent="0.2">
      <c r="B8" s="176"/>
      <c r="C8" s="264"/>
      <c r="D8" s="264"/>
      <c r="E8" s="264"/>
    </row>
    <row r="9" spans="2:10" ht="13.7" customHeight="1" x14ac:dyDescent="0.2">
      <c r="B9" s="37" t="s">
        <v>129</v>
      </c>
      <c r="C9" s="32" t="s">
        <v>140</v>
      </c>
      <c r="D9" s="32" t="s">
        <v>141</v>
      </c>
      <c r="E9" s="32" t="s">
        <v>69</v>
      </c>
      <c r="F9" s="264"/>
    </row>
    <row r="10" spans="2:10" ht="13.7" customHeight="1" x14ac:dyDescent="0.2">
      <c r="B10" s="31"/>
      <c r="C10" s="33" t="s">
        <v>131</v>
      </c>
      <c r="D10" s="33" t="s">
        <v>131</v>
      </c>
      <c r="E10" s="33" t="s">
        <v>131</v>
      </c>
    </row>
    <row r="11" spans="2:10" ht="13.7" customHeight="1" x14ac:dyDescent="0.2">
      <c r="B11" s="283"/>
      <c r="C11" s="272"/>
      <c r="D11" s="272"/>
      <c r="E11" s="15">
        <f t="shared" ref="E11:E17" si="0">SUM(C11:D11)</f>
        <v>0</v>
      </c>
    </row>
    <row r="12" spans="2:10" ht="13.7" customHeight="1" x14ac:dyDescent="0.2">
      <c r="B12" s="283"/>
      <c r="C12" s="272"/>
      <c r="D12" s="272"/>
      <c r="E12" s="15">
        <f t="shared" si="0"/>
        <v>0</v>
      </c>
    </row>
    <row r="13" spans="2:10" ht="13.7" customHeight="1" x14ac:dyDescent="0.2">
      <c r="B13" s="283"/>
      <c r="C13" s="272"/>
      <c r="D13" s="272"/>
      <c r="E13" s="15">
        <f t="shared" si="0"/>
        <v>0</v>
      </c>
    </row>
    <row r="14" spans="2:10" ht="13.7" customHeight="1" x14ac:dyDescent="0.2">
      <c r="B14" s="283"/>
      <c r="C14" s="272"/>
      <c r="D14" s="272"/>
      <c r="E14" s="15">
        <f t="shared" si="0"/>
        <v>0</v>
      </c>
    </row>
    <row r="15" spans="2:10" x14ac:dyDescent="0.2">
      <c r="B15" s="283"/>
      <c r="C15" s="272"/>
      <c r="D15" s="272"/>
      <c r="E15" s="15">
        <f t="shared" si="0"/>
        <v>0</v>
      </c>
    </row>
    <row r="16" spans="2:10" x14ac:dyDescent="0.2">
      <c r="B16" s="283"/>
      <c r="C16" s="272"/>
      <c r="D16" s="272"/>
      <c r="E16" s="15">
        <f t="shared" si="0"/>
        <v>0</v>
      </c>
    </row>
    <row r="17" spans="2:6" x14ac:dyDescent="0.2">
      <c r="B17" s="104" t="s">
        <v>69</v>
      </c>
      <c r="C17" s="15">
        <f>SUM(C11:C16)</f>
        <v>0</v>
      </c>
      <c r="D17" s="15">
        <f>SUM(D11:D16)</f>
        <v>0</v>
      </c>
      <c r="E17" s="15">
        <f t="shared" si="0"/>
        <v>0</v>
      </c>
    </row>
    <row r="18" spans="2:6" ht="19.5" customHeight="1" x14ac:dyDescent="0.2"/>
    <row r="19" spans="2:6" ht="15.75" x14ac:dyDescent="0.25">
      <c r="B19" s="175" t="s">
        <v>196</v>
      </c>
    </row>
    <row r="20" spans="2:6" x14ac:dyDescent="0.2">
      <c r="B20" s="176"/>
      <c r="C20" s="264"/>
      <c r="D20" s="264"/>
      <c r="E20" s="264"/>
    </row>
    <row r="21" spans="2:6" x14ac:dyDescent="0.2">
      <c r="B21" s="31" t="s">
        <v>197</v>
      </c>
      <c r="C21" s="38" t="s">
        <v>129</v>
      </c>
      <c r="D21" s="32" t="s">
        <v>69</v>
      </c>
      <c r="F21" s="264"/>
    </row>
    <row r="22" spans="2:6" x14ac:dyDescent="0.2">
      <c r="B22" s="31"/>
      <c r="C22" s="33"/>
      <c r="D22" s="33" t="s">
        <v>131</v>
      </c>
    </row>
    <row r="23" spans="2:6" x14ac:dyDescent="0.2">
      <c r="B23" s="283"/>
      <c r="C23" s="269"/>
      <c r="D23" s="272"/>
    </row>
    <row r="24" spans="2:6" x14ac:dyDescent="0.2">
      <c r="B24" s="283"/>
      <c r="C24" s="269"/>
      <c r="D24" s="272"/>
    </row>
    <row r="25" spans="2:6" x14ac:dyDescent="0.2">
      <c r="B25" s="283"/>
      <c r="C25" s="269"/>
      <c r="D25" s="272"/>
    </row>
    <row r="26" spans="2:6" x14ac:dyDescent="0.2">
      <c r="B26" s="283"/>
      <c r="C26" s="269"/>
      <c r="D26" s="272"/>
    </row>
    <row r="27" spans="2:6" x14ac:dyDescent="0.2">
      <c r="B27" s="283"/>
      <c r="C27" s="269"/>
      <c r="D27" s="272"/>
    </row>
    <row r="28" spans="2:6" x14ac:dyDescent="0.2">
      <c r="B28" s="283"/>
      <c r="C28" s="269"/>
      <c r="D28" s="272"/>
    </row>
    <row r="29" spans="2:6" x14ac:dyDescent="0.2">
      <c r="B29" s="399" t="s">
        <v>198</v>
      </c>
      <c r="C29" s="400"/>
      <c r="D29" s="15">
        <f>SUM(D23:D28)</f>
        <v>0</v>
      </c>
    </row>
  </sheetData>
  <sheetProtection sheet="1" insertRows="0"/>
  <mergeCells count="1">
    <mergeCell ref="B29:C29"/>
  </mergeCells>
  <pageMargins left="0.75" right="0.75" top="1" bottom="1" header="0.5" footer="0.5"/>
  <pageSetup paperSize="9" scale="59" orientation="landscape" r:id="rId1"/>
  <headerFooter alignWithMargins="0">
    <oddFooter>&amp;C_x000D_&amp;1#&amp;"Calibri"&amp;10&amp;K008000 APA-INTERNAL</oddFooter>
  </headerFooter>
  <colBreaks count="1" manualBreakCount="1">
    <brk id="7" max="22"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0E708-7F2C-43A7-87D5-7870AF08F639}">
  <sheetPr codeName="Sheet10">
    <tabColor rgb="FF17415D"/>
  </sheetPr>
  <dimension ref="B1:I42"/>
  <sheetViews>
    <sheetView zoomScale="96" zoomScaleNormal="85" workbookViewId="0">
      <pane xSplit="1" ySplit="8" topLeftCell="B9" activePane="bottomRight" state="frozen"/>
      <selection pane="topRight" activeCell="B1" sqref="B1"/>
      <selection pane="bottomLeft" activeCell="A9" sqref="A9"/>
      <selection pane="bottomRight"/>
    </sheetView>
  </sheetViews>
  <sheetFormatPr defaultColWidth="9.140625" defaultRowHeight="12.75" x14ac:dyDescent="0.2"/>
  <cols>
    <col min="1" max="1" width="12.42578125" style="169" customWidth="1"/>
    <col min="2" max="2" width="22.5703125" style="169" customWidth="1"/>
    <col min="3" max="3" width="42.28515625" style="169" customWidth="1"/>
    <col min="4" max="4" width="26.85546875" style="169" customWidth="1"/>
    <col min="5" max="5" width="22.5703125" style="169" customWidth="1"/>
    <col min="6" max="6" width="20.5703125" style="169" customWidth="1"/>
    <col min="7" max="8" width="22.5703125" style="169" customWidth="1"/>
    <col min="9" max="9" width="35.28515625" style="169" customWidth="1"/>
    <col min="10" max="10" width="25.140625" style="169" customWidth="1"/>
    <col min="11" max="16384" width="9.140625" style="169"/>
  </cols>
  <sheetData>
    <row r="1" spans="2:9" ht="20.25" customHeight="1" x14ac:dyDescent="0.3">
      <c r="B1" s="103" t="s">
        <v>66</v>
      </c>
      <c r="C1" s="103"/>
      <c r="D1" s="168"/>
      <c r="E1" s="168"/>
      <c r="F1" s="168"/>
      <c r="G1" s="168"/>
      <c r="H1" s="168"/>
    </row>
    <row r="2" spans="2:9" ht="20.25" customHeight="1" x14ac:dyDescent="0.3">
      <c r="B2" s="103" t="str">
        <f>IF(Tradingname=0," ",Tradingname)</f>
        <v>APT PIPELINES (NT) PTY LIMITED</v>
      </c>
      <c r="C2" s="103"/>
      <c r="H2" s="170"/>
    </row>
    <row r="3" spans="2:9" ht="20.25" customHeight="1" x14ac:dyDescent="0.3">
      <c r="B3" s="103" t="s">
        <v>44</v>
      </c>
      <c r="C3" s="80">
        <f>IF(Yearending=0, "01/01/2000", Yearending)</f>
        <v>45838</v>
      </c>
    </row>
    <row r="4" spans="2:9" ht="20.25" x14ac:dyDescent="0.2">
      <c r="B4" s="72" t="s">
        <v>199</v>
      </c>
      <c r="C4" s="72"/>
    </row>
    <row r="6" spans="2:9" x14ac:dyDescent="0.2">
      <c r="B6" s="401" t="s">
        <v>200</v>
      </c>
      <c r="C6" s="401"/>
      <c r="D6" s="401"/>
    </row>
    <row r="7" spans="2:9" ht="15.75" customHeight="1" x14ac:dyDescent="0.2">
      <c r="B7" s="401"/>
      <c r="C7" s="401"/>
      <c r="D7" s="401"/>
    </row>
    <row r="8" spans="2:9" ht="15.75" customHeight="1" x14ac:dyDescent="0.2">
      <c r="B8" s="401"/>
      <c r="C8" s="401"/>
      <c r="D8" s="401"/>
    </row>
    <row r="11" spans="2:9" s="217" customFormat="1" ht="15.75" x14ac:dyDescent="0.25">
      <c r="B11" s="171" t="s">
        <v>201</v>
      </c>
      <c r="C11" s="263"/>
      <c r="D11" s="263"/>
      <c r="E11" s="263"/>
      <c r="F11" s="284"/>
      <c r="G11" s="263"/>
      <c r="H11" s="263"/>
      <c r="I11" s="169"/>
    </row>
    <row r="12" spans="2:9" s="217" customFormat="1" ht="15.75" x14ac:dyDescent="0.25">
      <c r="B12" s="171"/>
      <c r="C12" s="263"/>
      <c r="D12" s="263"/>
      <c r="E12" s="263"/>
      <c r="F12" s="284"/>
      <c r="G12" s="263"/>
      <c r="H12" s="263"/>
      <c r="I12" s="169"/>
    </row>
    <row r="13" spans="2:9" ht="38.25" x14ac:dyDescent="0.2">
      <c r="B13" s="39" t="s">
        <v>128</v>
      </c>
      <c r="C13" s="39" t="s">
        <v>202</v>
      </c>
      <c r="D13" s="51" t="s">
        <v>203</v>
      </c>
      <c r="E13" s="51" t="s">
        <v>204</v>
      </c>
      <c r="F13" s="51" t="s">
        <v>205</v>
      </c>
      <c r="G13" s="51" t="s">
        <v>206</v>
      </c>
      <c r="H13" s="51" t="s">
        <v>207</v>
      </c>
      <c r="I13" s="51" t="s">
        <v>208</v>
      </c>
    </row>
    <row r="14" spans="2:9" x14ac:dyDescent="0.2">
      <c r="B14" s="71"/>
      <c r="C14" s="39" t="s">
        <v>209</v>
      </c>
      <c r="D14" s="55" t="s">
        <v>131</v>
      </c>
      <c r="E14" s="55" t="s">
        <v>131</v>
      </c>
      <c r="F14" s="55"/>
      <c r="G14" s="55" t="s">
        <v>131</v>
      </c>
      <c r="H14" s="55" t="s">
        <v>131</v>
      </c>
      <c r="I14" s="55" t="s">
        <v>131</v>
      </c>
    </row>
    <row r="15" spans="2:9" x14ac:dyDescent="0.2">
      <c r="B15" s="250"/>
      <c r="C15" s="246"/>
      <c r="D15" s="285"/>
      <c r="E15" s="285"/>
      <c r="F15" s="280"/>
      <c r="G15" s="286">
        <f>D15*F15</f>
        <v>0</v>
      </c>
      <c r="H15" s="286">
        <f t="shared" ref="H15:H41" si="0">E15*F15</f>
        <v>0</v>
      </c>
      <c r="I15" s="279">
        <f t="shared" ref="I15:I41" si="1">G15+H15</f>
        <v>0</v>
      </c>
    </row>
    <row r="16" spans="2:9" x14ac:dyDescent="0.2">
      <c r="B16" s="250"/>
      <c r="C16" s="246"/>
      <c r="D16" s="285"/>
      <c r="E16" s="285"/>
      <c r="F16" s="280"/>
      <c r="G16" s="286">
        <f>D16*F16</f>
        <v>0</v>
      </c>
      <c r="H16" s="286">
        <f t="shared" si="0"/>
        <v>0</v>
      </c>
      <c r="I16" s="279">
        <f t="shared" si="1"/>
        <v>0</v>
      </c>
    </row>
    <row r="17" spans="2:9" x14ac:dyDescent="0.2">
      <c r="B17" s="250"/>
      <c r="C17" s="246"/>
      <c r="D17" s="285"/>
      <c r="E17" s="285"/>
      <c r="F17" s="280"/>
      <c r="G17" s="286">
        <f>D17*F17</f>
        <v>0</v>
      </c>
      <c r="H17" s="286">
        <f t="shared" si="0"/>
        <v>0</v>
      </c>
      <c r="I17" s="279">
        <f t="shared" si="1"/>
        <v>0</v>
      </c>
    </row>
    <row r="18" spans="2:9" x14ac:dyDescent="0.2">
      <c r="B18" s="250"/>
      <c r="C18" s="246"/>
      <c r="D18" s="285"/>
      <c r="E18" s="285"/>
      <c r="F18" s="280"/>
      <c r="G18" s="286">
        <f>D18*F18</f>
        <v>0</v>
      </c>
      <c r="H18" s="279">
        <f t="shared" si="0"/>
        <v>0</v>
      </c>
      <c r="I18" s="279">
        <f t="shared" si="1"/>
        <v>0</v>
      </c>
    </row>
    <row r="19" spans="2:9" x14ac:dyDescent="0.2">
      <c r="B19" s="250"/>
      <c r="C19" s="246"/>
      <c r="D19" s="285"/>
      <c r="E19" s="285"/>
      <c r="F19" s="280"/>
      <c r="G19" s="286">
        <f t="shared" ref="G19:G41" si="2">D19*F19</f>
        <v>0</v>
      </c>
      <c r="H19" s="286">
        <f t="shared" si="0"/>
        <v>0</v>
      </c>
      <c r="I19" s="279">
        <f t="shared" si="1"/>
        <v>0</v>
      </c>
    </row>
    <row r="20" spans="2:9" x14ac:dyDescent="0.2">
      <c r="B20" s="250"/>
      <c r="C20" s="246"/>
      <c r="D20" s="285"/>
      <c r="E20" s="285"/>
      <c r="F20" s="280"/>
      <c r="G20" s="286">
        <f t="shared" si="2"/>
        <v>0</v>
      </c>
      <c r="H20" s="286">
        <f t="shared" si="0"/>
        <v>0</v>
      </c>
      <c r="I20" s="279">
        <f t="shared" si="1"/>
        <v>0</v>
      </c>
    </row>
    <row r="21" spans="2:9" x14ac:dyDescent="0.2">
      <c r="B21" s="250"/>
      <c r="C21" s="246"/>
      <c r="D21" s="285"/>
      <c r="E21" s="285"/>
      <c r="F21" s="280"/>
      <c r="G21" s="286">
        <f t="shared" si="2"/>
        <v>0</v>
      </c>
      <c r="H21" s="286">
        <f t="shared" si="0"/>
        <v>0</v>
      </c>
      <c r="I21" s="279">
        <f t="shared" si="1"/>
        <v>0</v>
      </c>
    </row>
    <row r="22" spans="2:9" x14ac:dyDescent="0.2">
      <c r="B22" s="250"/>
      <c r="C22" s="246"/>
      <c r="D22" s="285"/>
      <c r="E22" s="285"/>
      <c r="F22" s="280"/>
      <c r="G22" s="286">
        <f t="shared" si="2"/>
        <v>0</v>
      </c>
      <c r="H22" s="286">
        <f t="shared" si="0"/>
        <v>0</v>
      </c>
      <c r="I22" s="279">
        <f t="shared" si="1"/>
        <v>0</v>
      </c>
    </row>
    <row r="23" spans="2:9" x14ac:dyDescent="0.2">
      <c r="B23" s="250"/>
      <c r="C23" s="246"/>
      <c r="D23" s="285"/>
      <c r="E23" s="285"/>
      <c r="F23" s="280"/>
      <c r="G23" s="286">
        <f t="shared" si="2"/>
        <v>0</v>
      </c>
      <c r="H23" s="286">
        <f t="shared" si="0"/>
        <v>0</v>
      </c>
      <c r="I23" s="279">
        <f t="shared" si="1"/>
        <v>0</v>
      </c>
    </row>
    <row r="24" spans="2:9" x14ac:dyDescent="0.2">
      <c r="B24" s="250"/>
      <c r="C24" s="246"/>
      <c r="D24" s="285"/>
      <c r="E24" s="285"/>
      <c r="F24" s="280"/>
      <c r="G24" s="286">
        <f t="shared" si="2"/>
        <v>0</v>
      </c>
      <c r="H24" s="286">
        <f t="shared" si="0"/>
        <v>0</v>
      </c>
      <c r="I24" s="279">
        <f t="shared" si="1"/>
        <v>0</v>
      </c>
    </row>
    <row r="25" spans="2:9" x14ac:dyDescent="0.2">
      <c r="B25" s="250"/>
      <c r="C25" s="246"/>
      <c r="D25" s="285"/>
      <c r="E25" s="285"/>
      <c r="F25" s="280"/>
      <c r="G25" s="286">
        <f t="shared" si="2"/>
        <v>0</v>
      </c>
      <c r="H25" s="286">
        <f t="shared" si="0"/>
        <v>0</v>
      </c>
      <c r="I25" s="279">
        <f t="shared" si="1"/>
        <v>0</v>
      </c>
    </row>
    <row r="26" spans="2:9" x14ac:dyDescent="0.2">
      <c r="B26" s="250"/>
      <c r="C26" s="246"/>
      <c r="D26" s="285"/>
      <c r="E26" s="285"/>
      <c r="F26" s="280"/>
      <c r="G26" s="286">
        <f t="shared" si="2"/>
        <v>0</v>
      </c>
      <c r="H26" s="286">
        <f t="shared" si="0"/>
        <v>0</v>
      </c>
      <c r="I26" s="279">
        <f t="shared" si="1"/>
        <v>0</v>
      </c>
    </row>
    <row r="27" spans="2:9" x14ac:dyDescent="0.2">
      <c r="B27" s="250"/>
      <c r="C27" s="246"/>
      <c r="D27" s="285"/>
      <c r="E27" s="285"/>
      <c r="F27" s="280"/>
      <c r="G27" s="286">
        <f t="shared" si="2"/>
        <v>0</v>
      </c>
      <c r="H27" s="286">
        <f t="shared" si="0"/>
        <v>0</v>
      </c>
      <c r="I27" s="279">
        <f t="shared" si="1"/>
        <v>0</v>
      </c>
    </row>
    <row r="28" spans="2:9" x14ac:dyDescent="0.2">
      <c r="B28" s="250"/>
      <c r="C28" s="246"/>
      <c r="D28" s="285"/>
      <c r="E28" s="285"/>
      <c r="F28" s="280"/>
      <c r="G28" s="286">
        <f t="shared" si="2"/>
        <v>0</v>
      </c>
      <c r="H28" s="286">
        <f t="shared" si="0"/>
        <v>0</v>
      </c>
      <c r="I28" s="279">
        <f t="shared" si="1"/>
        <v>0</v>
      </c>
    </row>
    <row r="29" spans="2:9" x14ac:dyDescent="0.2">
      <c r="B29" s="250"/>
      <c r="C29" s="246"/>
      <c r="D29" s="285"/>
      <c r="E29" s="285"/>
      <c r="F29" s="280"/>
      <c r="G29" s="286">
        <f t="shared" si="2"/>
        <v>0</v>
      </c>
      <c r="H29" s="286">
        <f t="shared" si="0"/>
        <v>0</v>
      </c>
      <c r="I29" s="279">
        <f t="shared" si="1"/>
        <v>0</v>
      </c>
    </row>
    <row r="30" spans="2:9" x14ac:dyDescent="0.2">
      <c r="B30" s="250"/>
      <c r="C30" s="246"/>
      <c r="D30" s="285"/>
      <c r="E30" s="285"/>
      <c r="F30" s="280"/>
      <c r="G30" s="286">
        <f t="shared" si="2"/>
        <v>0</v>
      </c>
      <c r="H30" s="286">
        <f t="shared" si="0"/>
        <v>0</v>
      </c>
      <c r="I30" s="279">
        <f t="shared" si="1"/>
        <v>0</v>
      </c>
    </row>
    <row r="31" spans="2:9" x14ac:dyDescent="0.2">
      <c r="B31" s="250"/>
      <c r="C31" s="246"/>
      <c r="D31" s="285"/>
      <c r="E31" s="285"/>
      <c r="F31" s="280"/>
      <c r="G31" s="286">
        <f t="shared" si="2"/>
        <v>0</v>
      </c>
      <c r="H31" s="286">
        <f t="shared" si="0"/>
        <v>0</v>
      </c>
      <c r="I31" s="279">
        <f t="shared" si="1"/>
        <v>0</v>
      </c>
    </row>
    <row r="32" spans="2:9" x14ac:dyDescent="0.2">
      <c r="B32" s="250"/>
      <c r="C32" s="246"/>
      <c r="D32" s="285"/>
      <c r="E32" s="285"/>
      <c r="F32" s="280"/>
      <c r="G32" s="286">
        <f t="shared" si="2"/>
        <v>0</v>
      </c>
      <c r="H32" s="286">
        <f t="shared" si="0"/>
        <v>0</v>
      </c>
      <c r="I32" s="279">
        <f t="shared" si="1"/>
        <v>0</v>
      </c>
    </row>
    <row r="33" spans="2:9" x14ac:dyDescent="0.2">
      <c r="B33" s="250"/>
      <c r="C33" s="246"/>
      <c r="D33" s="285"/>
      <c r="E33" s="285"/>
      <c r="F33" s="280"/>
      <c r="G33" s="286">
        <f t="shared" si="2"/>
        <v>0</v>
      </c>
      <c r="H33" s="286">
        <f t="shared" si="0"/>
        <v>0</v>
      </c>
      <c r="I33" s="279">
        <f t="shared" si="1"/>
        <v>0</v>
      </c>
    </row>
    <row r="34" spans="2:9" x14ac:dyDescent="0.2">
      <c r="B34" s="250"/>
      <c r="C34" s="246"/>
      <c r="D34" s="285"/>
      <c r="E34" s="285"/>
      <c r="F34" s="280"/>
      <c r="G34" s="286">
        <f t="shared" si="2"/>
        <v>0</v>
      </c>
      <c r="H34" s="286">
        <f t="shared" si="0"/>
        <v>0</v>
      </c>
      <c r="I34" s="279">
        <f t="shared" si="1"/>
        <v>0</v>
      </c>
    </row>
    <row r="35" spans="2:9" x14ac:dyDescent="0.2">
      <c r="B35" s="250"/>
      <c r="C35" s="246"/>
      <c r="D35" s="285"/>
      <c r="E35" s="285"/>
      <c r="F35" s="280"/>
      <c r="G35" s="286">
        <f t="shared" si="2"/>
        <v>0</v>
      </c>
      <c r="H35" s="286">
        <f t="shared" si="0"/>
        <v>0</v>
      </c>
      <c r="I35" s="279">
        <f t="shared" si="1"/>
        <v>0</v>
      </c>
    </row>
    <row r="36" spans="2:9" x14ac:dyDescent="0.2">
      <c r="B36" s="250"/>
      <c r="C36" s="246"/>
      <c r="D36" s="285"/>
      <c r="E36" s="285"/>
      <c r="F36" s="280"/>
      <c r="G36" s="286">
        <f t="shared" si="2"/>
        <v>0</v>
      </c>
      <c r="H36" s="286">
        <f t="shared" si="0"/>
        <v>0</v>
      </c>
      <c r="I36" s="279">
        <f t="shared" si="1"/>
        <v>0</v>
      </c>
    </row>
    <row r="37" spans="2:9" x14ac:dyDescent="0.2">
      <c r="B37" s="250"/>
      <c r="C37" s="246"/>
      <c r="D37" s="285"/>
      <c r="E37" s="285"/>
      <c r="F37" s="280"/>
      <c r="G37" s="286">
        <f t="shared" si="2"/>
        <v>0</v>
      </c>
      <c r="H37" s="286">
        <f t="shared" si="0"/>
        <v>0</v>
      </c>
      <c r="I37" s="279">
        <f t="shared" si="1"/>
        <v>0</v>
      </c>
    </row>
    <row r="38" spans="2:9" x14ac:dyDescent="0.2">
      <c r="B38" s="250"/>
      <c r="C38" s="246"/>
      <c r="D38" s="285"/>
      <c r="E38" s="285"/>
      <c r="F38" s="280"/>
      <c r="G38" s="286">
        <f t="shared" si="2"/>
        <v>0</v>
      </c>
      <c r="H38" s="286">
        <f t="shared" si="0"/>
        <v>0</v>
      </c>
      <c r="I38" s="279">
        <f t="shared" si="1"/>
        <v>0</v>
      </c>
    </row>
    <row r="39" spans="2:9" x14ac:dyDescent="0.2">
      <c r="B39" s="250"/>
      <c r="C39" s="246"/>
      <c r="D39" s="285"/>
      <c r="E39" s="285"/>
      <c r="F39" s="280"/>
      <c r="G39" s="286">
        <f t="shared" si="2"/>
        <v>0</v>
      </c>
      <c r="H39" s="286">
        <f t="shared" si="0"/>
        <v>0</v>
      </c>
      <c r="I39" s="279">
        <f t="shared" si="1"/>
        <v>0</v>
      </c>
    </row>
    <row r="40" spans="2:9" x14ac:dyDescent="0.2">
      <c r="B40" s="250"/>
      <c r="C40" s="246"/>
      <c r="D40" s="285"/>
      <c r="E40" s="285"/>
      <c r="F40" s="280"/>
      <c r="G40" s="286">
        <f t="shared" si="2"/>
        <v>0</v>
      </c>
      <c r="H40" s="286">
        <f t="shared" si="0"/>
        <v>0</v>
      </c>
      <c r="I40" s="279">
        <f t="shared" si="1"/>
        <v>0</v>
      </c>
    </row>
    <row r="41" spans="2:9" x14ac:dyDescent="0.2">
      <c r="B41" s="250"/>
      <c r="C41" s="246"/>
      <c r="D41" s="285"/>
      <c r="E41" s="285"/>
      <c r="F41" s="280"/>
      <c r="G41" s="286">
        <f t="shared" si="2"/>
        <v>0</v>
      </c>
      <c r="H41" s="286">
        <f t="shared" si="0"/>
        <v>0</v>
      </c>
      <c r="I41" s="279">
        <f t="shared" si="1"/>
        <v>0</v>
      </c>
    </row>
    <row r="42" spans="2:9" x14ac:dyDescent="0.2">
      <c r="B42" s="232"/>
      <c r="C42" s="100" t="s">
        <v>69</v>
      </c>
      <c r="D42" s="286">
        <f>SUM(D15:D41)</f>
        <v>0</v>
      </c>
      <c r="E42" s="286">
        <f>SUM(E15:E41)</f>
        <v>0</v>
      </c>
      <c r="F42" s="16"/>
      <c r="G42" s="286">
        <f>SUM(G15:G41)</f>
        <v>0</v>
      </c>
      <c r="H42" s="286">
        <f>SUM(H15:H41)</f>
        <v>0</v>
      </c>
      <c r="I42" s="279">
        <f>SUM(I15:I41)</f>
        <v>0</v>
      </c>
    </row>
  </sheetData>
  <sheetProtection sheet="1" insertRows="0"/>
  <mergeCells count="1">
    <mergeCell ref="B6:D8"/>
  </mergeCells>
  <conditionalFormatting sqref="F15:F41">
    <cfRule type="cellIs" dxfId="58" priority="1" stopIfTrue="1" operator="greaterThan">
      <formula>1</formula>
    </cfRule>
  </conditionalFormatting>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9D302-88B4-4C05-85ED-67A8AA8104D3}">
  <sheetPr codeName="Sheet11">
    <tabColor rgb="FF17415D"/>
  </sheetPr>
  <dimension ref="B1:J36"/>
  <sheetViews>
    <sheetView zoomScaleNormal="100" workbookViewId="0">
      <pane xSplit="1" ySplit="8" topLeftCell="B9" activePane="bottomRight" state="frozen"/>
      <selection pane="topRight" activeCell="B1" sqref="B1"/>
      <selection pane="bottomLeft" activeCell="A9" sqref="A9"/>
      <selection pane="bottomRight"/>
    </sheetView>
  </sheetViews>
  <sheetFormatPr defaultColWidth="9.140625" defaultRowHeight="12.75" x14ac:dyDescent="0.2"/>
  <cols>
    <col min="1" max="1" width="11.28515625" style="169" customWidth="1"/>
    <col min="2" max="2" width="21" style="169" customWidth="1"/>
    <col min="3" max="3" width="36.140625" style="169" customWidth="1"/>
    <col min="4" max="4" width="26.7109375" style="169" customWidth="1"/>
    <col min="5" max="5" width="23.5703125" style="169" customWidth="1"/>
    <col min="6" max="6" width="22.5703125" style="169" customWidth="1"/>
    <col min="7" max="7" width="20.5703125" style="169" customWidth="1"/>
    <col min="8" max="9" width="22.5703125" style="169" customWidth="1"/>
    <col min="10" max="10" width="35.28515625" style="169" customWidth="1"/>
    <col min="11" max="11" width="25.140625" style="169" customWidth="1"/>
    <col min="12" max="16384" width="9.140625" style="169"/>
  </cols>
  <sheetData>
    <row r="1" spans="2:10" ht="20.25" customHeight="1" x14ac:dyDescent="0.3">
      <c r="B1" s="103" t="s">
        <v>66</v>
      </c>
      <c r="C1" s="103"/>
      <c r="D1" s="168"/>
      <c r="E1" s="168"/>
      <c r="F1" s="168"/>
      <c r="G1" s="168"/>
      <c r="H1" s="168"/>
      <c r="I1" s="168"/>
    </row>
    <row r="2" spans="2:10" ht="20.25" customHeight="1" x14ac:dyDescent="0.3">
      <c r="B2" s="103" t="str">
        <f>IF(Tradingname=0," ",Tradingname)</f>
        <v>APT PIPELINES (NT) PTY LIMITED</v>
      </c>
      <c r="C2" s="103"/>
      <c r="H2" s="170"/>
      <c r="I2" s="170"/>
    </row>
    <row r="3" spans="2:10" ht="20.25" customHeight="1" x14ac:dyDescent="0.3">
      <c r="B3" s="103" t="s">
        <v>44</v>
      </c>
      <c r="C3" s="80">
        <f>IF(Yearending=0, "01/01/2000", Yearending)</f>
        <v>45838</v>
      </c>
    </row>
    <row r="4" spans="2:10" ht="20.25" x14ac:dyDescent="0.2">
      <c r="B4" s="72" t="s">
        <v>210</v>
      </c>
      <c r="C4" s="72"/>
    </row>
    <row r="6" spans="2:10" x14ac:dyDescent="0.2">
      <c r="B6" s="401" t="s">
        <v>200</v>
      </c>
      <c r="C6" s="401"/>
      <c r="D6" s="401"/>
    </row>
    <row r="7" spans="2:10" ht="15.75" customHeight="1" x14ac:dyDescent="0.2">
      <c r="B7" s="401"/>
      <c r="C7" s="401"/>
      <c r="D7" s="401"/>
    </row>
    <row r="8" spans="2:10" ht="24" customHeight="1" x14ac:dyDescent="0.2">
      <c r="B8" s="401"/>
      <c r="C8" s="401"/>
      <c r="D8" s="401"/>
    </row>
    <row r="11" spans="2:10" ht="15.75" x14ac:dyDescent="0.25">
      <c r="B11" s="171" t="s">
        <v>211</v>
      </c>
      <c r="C11" s="263"/>
      <c r="D11" s="263"/>
      <c r="E11" s="263"/>
      <c r="F11" s="263"/>
      <c r="G11" s="284"/>
      <c r="H11" s="263"/>
      <c r="I11" s="263"/>
    </row>
    <row r="12" spans="2:10" ht="15.75" x14ac:dyDescent="0.25">
      <c r="B12" s="171"/>
      <c r="C12" s="263"/>
      <c r="D12" s="263"/>
      <c r="E12" s="263"/>
      <c r="F12" s="263"/>
      <c r="G12" s="284"/>
      <c r="H12" s="263"/>
      <c r="I12" s="263"/>
    </row>
    <row r="13" spans="2:10" ht="38.25" x14ac:dyDescent="0.2">
      <c r="B13" s="39" t="s">
        <v>128</v>
      </c>
      <c r="C13" s="39" t="s">
        <v>129</v>
      </c>
      <c r="D13" s="43" t="s">
        <v>212</v>
      </c>
      <c r="E13" s="40" t="s">
        <v>213</v>
      </c>
      <c r="F13" s="40" t="s">
        <v>214</v>
      </c>
      <c r="G13" s="40" t="s">
        <v>205</v>
      </c>
      <c r="H13" s="40" t="s">
        <v>206</v>
      </c>
      <c r="I13" s="40" t="s">
        <v>207</v>
      </c>
      <c r="J13" s="40" t="s">
        <v>208</v>
      </c>
    </row>
    <row r="14" spans="2:10" x14ac:dyDescent="0.2">
      <c r="B14" s="41"/>
      <c r="C14" s="41" t="s">
        <v>215</v>
      </c>
      <c r="D14" s="44"/>
      <c r="E14" s="42" t="s">
        <v>131</v>
      </c>
      <c r="F14" s="42" t="s">
        <v>131</v>
      </c>
      <c r="G14" s="42"/>
      <c r="H14" s="42" t="s">
        <v>131</v>
      </c>
      <c r="I14" s="42" t="s">
        <v>131</v>
      </c>
      <c r="J14" s="42" t="s">
        <v>131</v>
      </c>
    </row>
    <row r="15" spans="2:10" x14ac:dyDescent="0.2">
      <c r="B15" s="250"/>
      <c r="C15" s="36" t="s">
        <v>165</v>
      </c>
      <c r="D15" s="287"/>
      <c r="E15" s="285"/>
      <c r="F15" s="285"/>
      <c r="G15" s="280"/>
      <c r="H15" s="286">
        <f t="shared" ref="H15:H22" si="0">E15*G15</f>
        <v>0</v>
      </c>
      <c r="I15" s="286">
        <f t="shared" ref="I15:I22" si="1">F15*G15</f>
        <v>0</v>
      </c>
      <c r="J15" s="279">
        <f t="shared" ref="J15:J35" si="2">H15+I15</f>
        <v>0</v>
      </c>
    </row>
    <row r="16" spans="2:10" ht="25.5" x14ac:dyDescent="0.2">
      <c r="B16" s="250"/>
      <c r="C16" s="36" t="s">
        <v>166</v>
      </c>
      <c r="D16" s="287"/>
      <c r="E16" s="285"/>
      <c r="F16" s="285"/>
      <c r="G16" s="280"/>
      <c r="H16" s="286">
        <f t="shared" si="0"/>
        <v>0</v>
      </c>
      <c r="I16" s="286">
        <f t="shared" si="1"/>
        <v>0</v>
      </c>
      <c r="J16" s="279">
        <f t="shared" si="2"/>
        <v>0</v>
      </c>
    </row>
    <row r="17" spans="2:10" x14ac:dyDescent="0.2">
      <c r="B17" s="250"/>
      <c r="C17" s="45" t="s">
        <v>167</v>
      </c>
      <c r="D17" s="287"/>
      <c r="E17" s="285"/>
      <c r="F17" s="285"/>
      <c r="G17" s="280"/>
      <c r="H17" s="286">
        <f t="shared" si="0"/>
        <v>0</v>
      </c>
      <c r="I17" s="286">
        <f t="shared" si="1"/>
        <v>0</v>
      </c>
      <c r="J17" s="279">
        <f t="shared" si="2"/>
        <v>0</v>
      </c>
    </row>
    <row r="18" spans="2:10" x14ac:dyDescent="0.2">
      <c r="B18" s="250" t="s">
        <v>216</v>
      </c>
      <c r="C18" s="36" t="s">
        <v>168</v>
      </c>
      <c r="D18" s="287"/>
      <c r="E18" s="285">
        <v>28726936.852264993</v>
      </c>
      <c r="F18" s="285"/>
      <c r="G18" s="280">
        <v>1.2638867236249334E-2</v>
      </c>
      <c r="H18" s="286">
        <f t="shared" si="0"/>
        <v>363075.94097989559</v>
      </c>
      <c r="I18" s="286">
        <f t="shared" si="1"/>
        <v>0</v>
      </c>
      <c r="J18" s="279">
        <f t="shared" si="2"/>
        <v>363075.94097989559</v>
      </c>
    </row>
    <row r="19" spans="2:10" x14ac:dyDescent="0.2">
      <c r="B19" s="250"/>
      <c r="C19" s="36" t="s">
        <v>169</v>
      </c>
      <c r="D19" s="287"/>
      <c r="E19" s="285"/>
      <c r="F19" s="285"/>
      <c r="G19" s="280"/>
      <c r="H19" s="286">
        <f t="shared" si="0"/>
        <v>0</v>
      </c>
      <c r="I19" s="286">
        <f t="shared" si="1"/>
        <v>0</v>
      </c>
      <c r="J19" s="279">
        <f t="shared" si="2"/>
        <v>0</v>
      </c>
    </row>
    <row r="20" spans="2:10" x14ac:dyDescent="0.2">
      <c r="B20" s="250"/>
      <c r="C20" s="45" t="s">
        <v>170</v>
      </c>
      <c r="D20" s="287"/>
      <c r="E20" s="285"/>
      <c r="F20" s="285"/>
      <c r="G20" s="280"/>
      <c r="H20" s="286">
        <f t="shared" si="0"/>
        <v>0</v>
      </c>
      <c r="I20" s="286">
        <f t="shared" si="1"/>
        <v>0</v>
      </c>
      <c r="J20" s="279">
        <f t="shared" si="2"/>
        <v>0</v>
      </c>
    </row>
    <row r="21" spans="2:10" x14ac:dyDescent="0.2">
      <c r="B21" s="250"/>
      <c r="C21" s="45" t="s">
        <v>171</v>
      </c>
      <c r="D21" s="287"/>
      <c r="E21" s="285"/>
      <c r="F21" s="285"/>
      <c r="G21" s="280"/>
      <c r="H21" s="286">
        <f t="shared" si="0"/>
        <v>0</v>
      </c>
      <c r="I21" s="286">
        <f t="shared" si="1"/>
        <v>0</v>
      </c>
      <c r="J21" s="279">
        <f t="shared" si="2"/>
        <v>0</v>
      </c>
    </row>
    <row r="22" spans="2:10" ht="25.5" x14ac:dyDescent="0.2">
      <c r="B22" s="250"/>
      <c r="C22" s="45" t="s">
        <v>172</v>
      </c>
      <c r="D22" s="287"/>
      <c r="E22" s="285"/>
      <c r="F22" s="285"/>
      <c r="G22" s="280"/>
      <c r="H22" s="286">
        <f t="shared" si="0"/>
        <v>0</v>
      </c>
      <c r="I22" s="286">
        <f t="shared" si="1"/>
        <v>0</v>
      </c>
      <c r="J22" s="279">
        <f t="shared" si="2"/>
        <v>0</v>
      </c>
    </row>
    <row r="23" spans="2:10" x14ac:dyDescent="0.2">
      <c r="B23" s="250"/>
      <c r="C23" s="36" t="s">
        <v>173</v>
      </c>
      <c r="D23" s="287"/>
      <c r="E23" s="288">
        <f>SUM(E24:E35)</f>
        <v>181802087.30999884</v>
      </c>
      <c r="F23" s="288">
        <f>SUM(F24:F35)</f>
        <v>0</v>
      </c>
      <c r="G23" s="289"/>
      <c r="H23" s="288">
        <f>SUM(H24:H35)</f>
        <v>2297772.4447840853</v>
      </c>
      <c r="I23" s="288">
        <f>SUM(I24:I35)</f>
        <v>0</v>
      </c>
      <c r="J23" s="279">
        <f t="shared" si="2"/>
        <v>2297772.4447840853</v>
      </c>
    </row>
    <row r="24" spans="2:10" x14ac:dyDescent="0.2">
      <c r="B24" s="250" t="s">
        <v>216</v>
      </c>
      <c r="C24" s="246" t="s">
        <v>217</v>
      </c>
      <c r="D24" s="287"/>
      <c r="E24" s="285">
        <v>181802087.30999884</v>
      </c>
      <c r="F24" s="285"/>
      <c r="G24" s="280">
        <v>1.2638867236249334E-2</v>
      </c>
      <c r="H24" s="286">
        <f t="shared" ref="H24:H35" si="3">E24*G24</f>
        <v>2297772.4447840853</v>
      </c>
      <c r="I24" s="286">
        <f t="shared" ref="I24:I35" si="4">F24*G24</f>
        <v>0</v>
      </c>
      <c r="J24" s="279">
        <f t="shared" si="2"/>
        <v>2297772.4447840853</v>
      </c>
    </row>
    <row r="25" spans="2:10" x14ac:dyDescent="0.2">
      <c r="B25" s="250"/>
      <c r="C25" s="246"/>
      <c r="D25" s="287"/>
      <c r="E25" s="285"/>
      <c r="F25" s="285"/>
      <c r="G25" s="280"/>
      <c r="H25" s="286">
        <f t="shared" si="3"/>
        <v>0</v>
      </c>
      <c r="I25" s="286">
        <f t="shared" si="4"/>
        <v>0</v>
      </c>
      <c r="J25" s="279">
        <f t="shared" si="2"/>
        <v>0</v>
      </c>
    </row>
    <row r="26" spans="2:10" x14ac:dyDescent="0.2">
      <c r="B26" s="250"/>
      <c r="C26" s="246"/>
      <c r="D26" s="287"/>
      <c r="E26" s="285"/>
      <c r="F26" s="285"/>
      <c r="G26" s="280"/>
      <c r="H26" s="286">
        <f t="shared" si="3"/>
        <v>0</v>
      </c>
      <c r="I26" s="286">
        <f t="shared" si="4"/>
        <v>0</v>
      </c>
      <c r="J26" s="279">
        <f t="shared" si="2"/>
        <v>0</v>
      </c>
    </row>
    <row r="27" spans="2:10" x14ac:dyDescent="0.2">
      <c r="B27" s="250"/>
      <c r="C27" s="246"/>
      <c r="D27" s="287"/>
      <c r="E27" s="285"/>
      <c r="F27" s="285"/>
      <c r="G27" s="280"/>
      <c r="H27" s="286">
        <f t="shared" si="3"/>
        <v>0</v>
      </c>
      <c r="I27" s="286">
        <f t="shared" si="4"/>
        <v>0</v>
      </c>
      <c r="J27" s="279">
        <f t="shared" si="2"/>
        <v>0</v>
      </c>
    </row>
    <row r="28" spans="2:10" x14ac:dyDescent="0.2">
      <c r="B28" s="250"/>
      <c r="C28" s="246"/>
      <c r="D28" s="287"/>
      <c r="E28" s="285"/>
      <c r="F28" s="285"/>
      <c r="G28" s="280"/>
      <c r="H28" s="286">
        <f t="shared" si="3"/>
        <v>0</v>
      </c>
      <c r="I28" s="286">
        <f t="shared" si="4"/>
        <v>0</v>
      </c>
      <c r="J28" s="279">
        <f t="shared" si="2"/>
        <v>0</v>
      </c>
    </row>
    <row r="29" spans="2:10" x14ac:dyDescent="0.2">
      <c r="B29" s="250"/>
      <c r="C29" s="246"/>
      <c r="D29" s="287"/>
      <c r="E29" s="285"/>
      <c r="F29" s="285"/>
      <c r="G29" s="280"/>
      <c r="H29" s="286">
        <f t="shared" si="3"/>
        <v>0</v>
      </c>
      <c r="I29" s="286">
        <f t="shared" si="4"/>
        <v>0</v>
      </c>
      <c r="J29" s="279">
        <f t="shared" si="2"/>
        <v>0</v>
      </c>
    </row>
    <row r="30" spans="2:10" x14ac:dyDescent="0.2">
      <c r="B30" s="250"/>
      <c r="C30" s="246"/>
      <c r="D30" s="287"/>
      <c r="E30" s="285"/>
      <c r="F30" s="285"/>
      <c r="G30" s="280"/>
      <c r="H30" s="286">
        <f t="shared" si="3"/>
        <v>0</v>
      </c>
      <c r="I30" s="286">
        <f t="shared" si="4"/>
        <v>0</v>
      </c>
      <c r="J30" s="279">
        <f t="shared" si="2"/>
        <v>0</v>
      </c>
    </row>
    <row r="31" spans="2:10" x14ac:dyDescent="0.2">
      <c r="B31" s="250"/>
      <c r="C31" s="246"/>
      <c r="D31" s="287"/>
      <c r="E31" s="285"/>
      <c r="F31" s="285"/>
      <c r="G31" s="280"/>
      <c r="H31" s="286">
        <f t="shared" si="3"/>
        <v>0</v>
      </c>
      <c r="I31" s="286">
        <f t="shared" si="4"/>
        <v>0</v>
      </c>
      <c r="J31" s="279">
        <f t="shared" si="2"/>
        <v>0</v>
      </c>
    </row>
    <row r="32" spans="2:10" x14ac:dyDescent="0.2">
      <c r="B32" s="250"/>
      <c r="C32" s="246"/>
      <c r="D32" s="287"/>
      <c r="E32" s="285"/>
      <c r="F32" s="285"/>
      <c r="G32" s="280"/>
      <c r="H32" s="286">
        <f t="shared" si="3"/>
        <v>0</v>
      </c>
      <c r="I32" s="286">
        <f t="shared" si="4"/>
        <v>0</v>
      </c>
      <c r="J32" s="279">
        <f t="shared" si="2"/>
        <v>0</v>
      </c>
    </row>
    <row r="33" spans="2:10" x14ac:dyDescent="0.2">
      <c r="B33" s="250"/>
      <c r="C33" s="246"/>
      <c r="D33" s="287"/>
      <c r="E33" s="285"/>
      <c r="F33" s="285"/>
      <c r="G33" s="280"/>
      <c r="H33" s="286">
        <f t="shared" si="3"/>
        <v>0</v>
      </c>
      <c r="I33" s="286">
        <f t="shared" si="4"/>
        <v>0</v>
      </c>
      <c r="J33" s="279">
        <f t="shared" si="2"/>
        <v>0</v>
      </c>
    </row>
    <row r="34" spans="2:10" x14ac:dyDescent="0.2">
      <c r="B34" s="250"/>
      <c r="C34" s="246"/>
      <c r="D34" s="287"/>
      <c r="E34" s="285"/>
      <c r="F34" s="285"/>
      <c r="G34" s="280"/>
      <c r="H34" s="286">
        <f t="shared" si="3"/>
        <v>0</v>
      </c>
      <c r="I34" s="286">
        <f t="shared" si="4"/>
        <v>0</v>
      </c>
      <c r="J34" s="279">
        <f t="shared" si="2"/>
        <v>0</v>
      </c>
    </row>
    <row r="35" spans="2:10" x14ac:dyDescent="0.2">
      <c r="B35" s="250"/>
      <c r="C35" s="246"/>
      <c r="D35" s="287"/>
      <c r="E35" s="285"/>
      <c r="F35" s="285"/>
      <c r="G35" s="280"/>
      <c r="H35" s="286">
        <f t="shared" si="3"/>
        <v>0</v>
      </c>
      <c r="I35" s="286">
        <f t="shared" si="4"/>
        <v>0</v>
      </c>
      <c r="J35" s="279">
        <f t="shared" si="2"/>
        <v>0</v>
      </c>
    </row>
    <row r="36" spans="2:10" x14ac:dyDescent="0.2">
      <c r="B36" s="232"/>
      <c r="C36" s="402" t="s">
        <v>198</v>
      </c>
      <c r="D36" s="403"/>
      <c r="E36" s="286">
        <f>SUM(E15:E23)</f>
        <v>210529024.16226384</v>
      </c>
      <c r="F36" s="286">
        <f>SUM(F15:F23)</f>
        <v>0</v>
      </c>
      <c r="G36" s="290"/>
      <c r="H36" s="286">
        <f>SUM(H15:H23)</f>
        <v>2660848.3857639809</v>
      </c>
      <c r="I36" s="286">
        <f>SUM(I15:I23)</f>
        <v>0</v>
      </c>
      <c r="J36" s="279">
        <f>SUM(J15:J23)</f>
        <v>2660848.3857639809</v>
      </c>
    </row>
  </sheetData>
  <sheetProtection sheet="1"/>
  <mergeCells count="2">
    <mergeCell ref="B6:D8"/>
    <mergeCell ref="C36:D36"/>
  </mergeCells>
  <phoneticPr fontId="29" type="noConversion"/>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232F3-EEF9-401C-8AEB-0FB505FAE20E}">
  <sheetPr codeName="Sheet3">
    <tabColor rgb="FF17415D"/>
    <pageSetUpPr fitToPage="1"/>
  </sheetPr>
  <dimension ref="B1:H132"/>
  <sheetViews>
    <sheetView zoomScale="96" zoomScaleNormal="130" workbookViewId="0">
      <pane xSplit="1" ySplit="10" topLeftCell="B11" activePane="bottomRight" state="frozen"/>
      <selection pane="topRight" activeCell="B1" sqref="B1"/>
      <selection pane="bottomLeft" activeCell="A11" sqref="A11"/>
      <selection pane="bottomRight"/>
    </sheetView>
  </sheetViews>
  <sheetFormatPr defaultColWidth="9.140625" defaultRowHeight="12.75" x14ac:dyDescent="0.2"/>
  <cols>
    <col min="1" max="1" width="12" style="4" customWidth="1"/>
    <col min="2" max="2" width="18.85546875" style="4" customWidth="1"/>
    <col min="3" max="3" width="67.140625" style="4" customWidth="1"/>
    <col min="4" max="5" width="20.7109375" style="4" customWidth="1"/>
    <col min="6" max="6" width="9.140625" style="4"/>
    <col min="7" max="7" width="13.42578125" style="4" customWidth="1"/>
    <col min="8" max="8" width="15.42578125" style="4" customWidth="1"/>
    <col min="9" max="16384" width="9.140625" style="4"/>
  </cols>
  <sheetData>
    <row r="1" spans="2:6" ht="20.25" x14ac:dyDescent="0.2">
      <c r="B1" s="103" t="s">
        <v>66</v>
      </c>
      <c r="C1" s="103"/>
    </row>
    <row r="2" spans="2:6" ht="20.25" x14ac:dyDescent="0.2">
      <c r="B2" s="103" t="str">
        <f>IF(Tradingname=0," ",Tradingname)</f>
        <v>APT PIPELINES (NT) PTY LIMITED</v>
      </c>
      <c r="C2" s="103"/>
      <c r="E2" s="218"/>
    </row>
    <row r="3" spans="2:6" ht="20.25" x14ac:dyDescent="0.3">
      <c r="B3" s="103" t="s">
        <v>44</v>
      </c>
      <c r="C3" s="80">
        <f>IF(Yearending=0, "01/01/2000", Yearending)</f>
        <v>45838</v>
      </c>
    </row>
    <row r="4" spans="2:6" ht="45" customHeight="1" x14ac:dyDescent="0.2">
      <c r="B4" s="405" t="s">
        <v>218</v>
      </c>
      <c r="C4" s="405"/>
      <c r="D4" s="276"/>
    </row>
    <row r="5" spans="2:6" x14ac:dyDescent="0.2">
      <c r="D5" s="291"/>
    </row>
    <row r="6" spans="2:6" ht="12.75" customHeight="1" x14ac:dyDescent="0.2">
      <c r="B6" s="401" t="s">
        <v>219</v>
      </c>
      <c r="C6" s="401"/>
      <c r="D6" s="401"/>
      <c r="E6" s="401"/>
      <c r="F6" s="401"/>
    </row>
    <row r="7" spans="2:6" ht="12.75" customHeight="1" x14ac:dyDescent="0.2">
      <c r="B7" s="401"/>
      <c r="C7" s="401"/>
      <c r="D7" s="401"/>
      <c r="E7" s="401"/>
      <c r="F7" s="401"/>
    </row>
    <row r="8" spans="2:6" ht="12.75" customHeight="1" x14ac:dyDescent="0.2">
      <c r="B8" s="401"/>
      <c r="C8" s="401"/>
      <c r="D8" s="401"/>
      <c r="E8" s="401"/>
      <c r="F8" s="401"/>
    </row>
    <row r="9" spans="2:6" ht="12.75" customHeight="1" x14ac:dyDescent="0.2">
      <c r="B9" s="401"/>
      <c r="C9" s="401"/>
      <c r="D9" s="401"/>
      <c r="E9" s="401"/>
      <c r="F9" s="401"/>
    </row>
    <row r="10" spans="2:6" ht="12.75" customHeight="1" x14ac:dyDescent="0.2">
      <c r="B10" s="401"/>
      <c r="C10" s="401"/>
      <c r="D10" s="401"/>
      <c r="E10" s="401"/>
      <c r="F10" s="401"/>
    </row>
    <row r="11" spans="2:6" x14ac:dyDescent="0.2">
      <c r="D11" s="291"/>
    </row>
    <row r="12" spans="2:6" x14ac:dyDescent="0.2">
      <c r="D12" s="291"/>
    </row>
    <row r="13" spans="2:6" ht="15.75" x14ac:dyDescent="0.2">
      <c r="B13" s="404" t="s">
        <v>220</v>
      </c>
      <c r="C13" s="404"/>
      <c r="D13" s="291"/>
    </row>
    <row r="15" spans="2:6" ht="25.5" x14ac:dyDescent="0.2">
      <c r="B15" s="46" t="s">
        <v>128</v>
      </c>
      <c r="C15" s="47" t="s">
        <v>129</v>
      </c>
      <c r="D15" s="47" t="s">
        <v>178</v>
      </c>
      <c r="E15" s="179" t="s">
        <v>139</v>
      </c>
    </row>
    <row r="16" spans="2:6" x14ac:dyDescent="0.2">
      <c r="B16" s="46"/>
      <c r="C16" s="48" t="s">
        <v>221</v>
      </c>
      <c r="D16" s="179"/>
      <c r="E16" s="179"/>
    </row>
    <row r="17" spans="2:7" x14ac:dyDescent="0.2">
      <c r="B17" s="233"/>
      <c r="C17" s="50" t="s">
        <v>222</v>
      </c>
      <c r="D17" s="47"/>
      <c r="E17" s="179"/>
    </row>
    <row r="18" spans="2:7" x14ac:dyDescent="0.2">
      <c r="B18" s="254" t="s">
        <v>223</v>
      </c>
      <c r="C18" s="49" t="s">
        <v>224</v>
      </c>
      <c r="D18" s="101" t="str">
        <f>IF(Cover!C23="Scheme pipeline","-",SUMIF('3.5 Depreciation amortisation'!$D$15:$D$58,'3.1 Depreciated Book Value'!C17,'3.5 Depreciation amortisation'!$H$15:$H$58))</f>
        <v>-</v>
      </c>
      <c r="E18" s="261"/>
    </row>
    <row r="19" spans="2:7" x14ac:dyDescent="0.2">
      <c r="B19" s="254" t="s">
        <v>223</v>
      </c>
      <c r="C19" s="49" t="s">
        <v>225</v>
      </c>
      <c r="D19" s="101" t="str">
        <f>IF(Cover!C23="Scheme pipeline","-",SUMIF('3.5 Depreciation amortisation'!$D$15:$D$58,'3.1 Depreciated Book Value'!C17,'3.5 Depreciation amortisation'!$I$15:$I$58))</f>
        <v>-</v>
      </c>
      <c r="E19" s="261"/>
    </row>
    <row r="20" spans="2:7" x14ac:dyDescent="0.2">
      <c r="B20" s="254" t="s">
        <v>223</v>
      </c>
      <c r="C20" s="49" t="s">
        <v>226</v>
      </c>
      <c r="D20" s="101" t="str">
        <f>IF(Cover!C23="Scheme pipeline","-",SUMIF('3.5 Depreciation amortisation'!$D$15:$D$58,'3.1 Depreciated Book Value'!C17,'3.5 Depreciation amortisation'!$J$15:$J$58))</f>
        <v>-</v>
      </c>
      <c r="E20" s="261"/>
    </row>
    <row r="21" spans="2:7" x14ac:dyDescent="0.2">
      <c r="B21" s="256"/>
      <c r="C21" s="66" t="s">
        <v>227</v>
      </c>
      <c r="D21" s="101" t="str">
        <f>IF(Cover!C23="Scheme pipeline","-",SUM(D18:D20))</f>
        <v>-</v>
      </c>
      <c r="E21" s="101">
        <f>SUM(E18:E20)</f>
        <v>0</v>
      </c>
    </row>
    <row r="22" spans="2:7" x14ac:dyDescent="0.2">
      <c r="B22" s="254" t="s">
        <v>223</v>
      </c>
      <c r="C22" s="49" t="s">
        <v>228</v>
      </c>
      <c r="D22" s="101" t="str">
        <f>IF(Cover!C23="Scheme pipeline","-",-ABS(SUMIF('3.5 Depreciation amortisation'!$D$15:$D$58,'3.1 Depreciated Book Value'!C17,'3.5 Depreciation amortisation'!$O$15:$O$58)+SUMIF('3.5 Depreciation amortisation'!$D$15:$D$58,'3.1 Depreciated Book Value'!C17,'3.5 Depreciation amortisation'!$P$15:$P$58))-D23)</f>
        <v>-</v>
      </c>
      <c r="E22" s="261"/>
    </row>
    <row r="23" spans="2:7" x14ac:dyDescent="0.2">
      <c r="B23" s="254" t="s">
        <v>223</v>
      </c>
      <c r="C23" s="49" t="s">
        <v>229</v>
      </c>
      <c r="D23" s="101" t="str">
        <f>IF(Cover!C23="Scheme pipeline","-",-ABS(SUMIF('3.4 Asset impairment'!$C$10:$C$24,'3.1 Depreciated Book Value'!C17,'3.4 Asset impairment'!$D$10:$D$24))+SUMIF('3.4 Asset impairment'!$C$30:$C$56,'3.1 Depreciated Book Value'!C17,'3.4 Asset impairment'!$G$30:$G$56))</f>
        <v>-</v>
      </c>
      <c r="E23" s="261"/>
    </row>
    <row r="24" spans="2:7" x14ac:dyDescent="0.2">
      <c r="B24" s="254" t="s">
        <v>223</v>
      </c>
      <c r="C24" s="49" t="s">
        <v>230</v>
      </c>
      <c r="D24" s="101" t="str">
        <f>IF(Cover!C23="Scheme pipeline","-",SUMIF('3.5 Depreciation amortisation'!$D$15:$D$58,'3.1 Depreciated Book Value'!C17,'3.5 Depreciation amortisation'!$K$15:$K$58))</f>
        <v>-</v>
      </c>
      <c r="E24" s="261"/>
    </row>
    <row r="25" spans="2:7" x14ac:dyDescent="0.2">
      <c r="B25" s="256"/>
      <c r="C25" s="66" t="s">
        <v>231</v>
      </c>
      <c r="D25" s="101" t="str">
        <f>IF(Cover!C23="Scheme pipeline","-",SUM(D21:D24))</f>
        <v>-</v>
      </c>
      <c r="E25" s="101">
        <f>SUM(E21:E24)</f>
        <v>0</v>
      </c>
    </row>
    <row r="26" spans="2:7" x14ac:dyDescent="0.2">
      <c r="B26" s="256"/>
      <c r="C26" s="50" t="s">
        <v>232</v>
      </c>
      <c r="D26" s="292"/>
      <c r="E26" s="292"/>
      <c r="G26" s="126"/>
    </row>
    <row r="27" spans="2:7" x14ac:dyDescent="0.2">
      <c r="B27" s="254" t="s">
        <v>223</v>
      </c>
      <c r="C27" s="49" t="s">
        <v>224</v>
      </c>
      <c r="D27" s="101" t="str">
        <f>IF(Cover!C23="Scheme pipeline","-",SUMIF('3.5 Depreciation amortisation'!$D$15:$D$58,'3.1 Depreciated Book Value'!C26,'3.5 Depreciation amortisation'!$H$15:$H$58))</f>
        <v>-</v>
      </c>
      <c r="E27" s="261"/>
      <c r="G27" s="126"/>
    </row>
    <row r="28" spans="2:7" x14ac:dyDescent="0.2">
      <c r="B28" s="254" t="s">
        <v>223</v>
      </c>
      <c r="C28" s="49" t="s">
        <v>225</v>
      </c>
      <c r="D28" s="101" t="str">
        <f>IF(Cover!C23="Scheme pipeline","-",SUMIF('3.5 Depreciation amortisation'!$D$15:$D$58,'3.1 Depreciated Book Value'!C26,'3.5 Depreciation amortisation'!$I$15:$I$58))</f>
        <v>-</v>
      </c>
      <c r="E28" s="261"/>
      <c r="G28" s="126"/>
    </row>
    <row r="29" spans="2:7" x14ac:dyDescent="0.2">
      <c r="B29" s="254" t="s">
        <v>223</v>
      </c>
      <c r="C29" s="49" t="s">
        <v>226</v>
      </c>
      <c r="D29" s="101" t="str">
        <f>IF(Cover!C23="Scheme pipeline","-",SUMIF('3.5 Depreciation amortisation'!$D$15:$D$58,'3.1 Depreciated Book Value'!C26,'3.5 Depreciation amortisation'!$J$15:$J$58))</f>
        <v>-</v>
      </c>
      <c r="E29" s="261"/>
      <c r="G29" s="126"/>
    </row>
    <row r="30" spans="2:7" x14ac:dyDescent="0.2">
      <c r="B30" s="254" t="s">
        <v>223</v>
      </c>
      <c r="C30" s="49" t="s">
        <v>228</v>
      </c>
      <c r="D30" s="101" t="str">
        <f>IF(Cover!C23="Scheme pipeline","-",-ABS(SUMIF('3.5 Depreciation amortisation'!$D$15:$D$58,'3.1 Depreciated Book Value'!C26,'3.5 Depreciation amortisation'!$O$15:$O$58)+SUMIF('3.5 Depreciation amortisation'!$D$15:$D$58,'3.1 Depreciated Book Value'!C26,'3.5 Depreciation amortisation'!$P$15:$P$58))-D31)</f>
        <v>-</v>
      </c>
      <c r="E30" s="261"/>
      <c r="G30" s="126"/>
    </row>
    <row r="31" spans="2:7" x14ac:dyDescent="0.2">
      <c r="B31" s="254" t="s">
        <v>223</v>
      </c>
      <c r="C31" s="49" t="s">
        <v>229</v>
      </c>
      <c r="D31" s="101" t="str">
        <f>IF(Cover!C23="Scheme pipeline","-",-ABS(SUMIF('3.4 Asset impairment'!$C$10:$C$24,'3.1 Depreciated Book Value'!C26,'3.4 Asset impairment'!$D$10:$D$24))+SUMIF('3.4 Asset impairment'!$C$30:$C$56,C26,'3.4 Asset impairment'!$G$30:$G$56))</f>
        <v>-</v>
      </c>
      <c r="E31" s="261"/>
      <c r="G31" s="126"/>
    </row>
    <row r="32" spans="2:7" ht="11.25" customHeight="1" x14ac:dyDescent="0.2">
      <c r="B32" s="254" t="s">
        <v>223</v>
      </c>
      <c r="C32" s="49" t="s">
        <v>230</v>
      </c>
      <c r="D32" s="101" t="str">
        <f>IF(Cover!C23="Scheme pipeline","-",SUMIF('3.5 Depreciation amortisation'!$D$15:$D$58,'3.1 Depreciated Book Value'!C26,'3.5 Depreciation amortisation'!$K$15:$K$58))</f>
        <v>-</v>
      </c>
      <c r="E32" s="261"/>
      <c r="G32" s="126"/>
    </row>
    <row r="33" spans="2:7" x14ac:dyDescent="0.2">
      <c r="B33" s="256"/>
      <c r="C33" s="66" t="s">
        <v>233</v>
      </c>
      <c r="D33" s="101" t="str">
        <f>IF(Cover!C23="Scheme pipeline","-",SUM(D27:D32))</f>
        <v>-</v>
      </c>
      <c r="E33" s="101">
        <f>SUM(E27:E32)</f>
        <v>0</v>
      </c>
      <c r="G33" s="126"/>
    </row>
    <row r="34" spans="2:7" x14ac:dyDescent="0.2">
      <c r="B34" s="256"/>
      <c r="C34" s="50" t="s">
        <v>234</v>
      </c>
      <c r="D34" s="292"/>
      <c r="E34" s="292"/>
      <c r="G34" s="125"/>
    </row>
    <row r="35" spans="2:7" x14ac:dyDescent="0.2">
      <c r="B35" s="254" t="s">
        <v>223</v>
      </c>
      <c r="C35" s="49" t="s">
        <v>224</v>
      </c>
      <c r="D35" s="101" t="str">
        <f>IF(Cover!C23="Scheme pipeline","-",SUMIF('3.5 Depreciation amortisation'!$D$15:$D$58,'3.1 Depreciated Book Value'!C34,'3.5 Depreciation amortisation'!$H$15:$H$58))</f>
        <v>-</v>
      </c>
      <c r="E35" s="261"/>
    </row>
    <row r="36" spans="2:7" x14ac:dyDescent="0.2">
      <c r="B36" s="254" t="s">
        <v>223</v>
      </c>
      <c r="C36" s="49" t="s">
        <v>225</v>
      </c>
      <c r="D36" s="101" t="str">
        <f>IF(Cover!C23="Scheme pipeline","-",SUMIF('3.5 Depreciation amortisation'!$D$15:$D$58,'3.1 Depreciated Book Value'!C34,'3.5 Depreciation amortisation'!$I$15:$I$58))</f>
        <v>-</v>
      </c>
      <c r="E36" s="261"/>
    </row>
    <row r="37" spans="2:7" x14ac:dyDescent="0.2">
      <c r="B37" s="254" t="s">
        <v>223</v>
      </c>
      <c r="C37" s="49" t="s">
        <v>226</v>
      </c>
      <c r="D37" s="101" t="str">
        <f>IF(Cover!C23="Scheme pipeline","-",SUMIF('3.5 Depreciation amortisation'!$D$15:$D$58,'3.1 Depreciated Book Value'!C34,'3.5 Depreciation amortisation'!$J$15:$J$58))</f>
        <v>-</v>
      </c>
      <c r="E37" s="261"/>
    </row>
    <row r="38" spans="2:7" x14ac:dyDescent="0.2">
      <c r="B38" s="254" t="s">
        <v>223</v>
      </c>
      <c r="C38" s="49" t="s">
        <v>228</v>
      </c>
      <c r="D38" s="101" t="str">
        <f>IF(Cover!C23="Scheme pipeline","-",-ABS(SUMIF('3.5 Depreciation amortisation'!$D$15:$D$58,'3.1 Depreciated Book Value'!C34,'3.5 Depreciation amortisation'!$O$15:$O$58)+SUMIF('3.5 Depreciation amortisation'!$D$15:$D$58,'3.1 Depreciated Book Value'!C34,'3.5 Depreciation amortisation'!$P$15:$P$58))-D39)</f>
        <v>-</v>
      </c>
      <c r="E38" s="261"/>
    </row>
    <row r="39" spans="2:7" x14ac:dyDescent="0.2">
      <c r="B39" s="254" t="s">
        <v>223</v>
      </c>
      <c r="C39" s="49" t="s">
        <v>229</v>
      </c>
      <c r="D39" s="101" t="str">
        <f>IF(Cover!C23="Scheme pipeline","-",-ABS(SUMIF('3.4 Asset impairment'!$C$10:$C$24,'3.1 Depreciated Book Value'!C34,'3.4 Asset impairment'!$D$10:$D$24))+SUMIF('3.4 Asset impairment'!$C$30:$C$56,'3.1 Depreciated Book Value'!C34,'3.4 Asset impairment'!$G$30:$G$56))</f>
        <v>-</v>
      </c>
      <c r="E39" s="261"/>
    </row>
    <row r="40" spans="2:7" ht="11.25" customHeight="1" x14ac:dyDescent="0.2">
      <c r="B40" s="254" t="s">
        <v>223</v>
      </c>
      <c r="C40" s="49" t="s">
        <v>230</v>
      </c>
      <c r="D40" s="101" t="str">
        <f>IF(Cover!C23="Scheme pipeline","-",SUMIF('3.5 Depreciation amortisation'!$D$15:$D$58,'3.1 Depreciated Book Value'!C34,'3.5 Depreciation amortisation'!$K$15:$K$58))</f>
        <v>-</v>
      </c>
      <c r="E40" s="261"/>
    </row>
    <row r="41" spans="2:7" x14ac:dyDescent="0.2">
      <c r="B41" s="256"/>
      <c r="C41" s="66" t="s">
        <v>235</v>
      </c>
      <c r="D41" s="101">
        <f>SUM(D35:D40)</f>
        <v>0</v>
      </c>
      <c r="E41" s="101">
        <f>SUM(E35:E40)</f>
        <v>0</v>
      </c>
    </row>
    <row r="42" spans="2:7" x14ac:dyDescent="0.2">
      <c r="B42" s="256"/>
      <c r="C42" s="50" t="s">
        <v>236</v>
      </c>
      <c r="D42" s="292"/>
      <c r="E42" s="292"/>
    </row>
    <row r="43" spans="2:7" x14ac:dyDescent="0.2">
      <c r="B43" s="254" t="s">
        <v>223</v>
      </c>
      <c r="C43" s="49" t="s">
        <v>224</v>
      </c>
      <c r="D43" s="101" t="str">
        <f>IF(Cover!C23="Scheme pipeline","-",SUMIF('3.5 Depreciation amortisation'!$D$15:$D$58,'3.1 Depreciated Book Value'!C42,'3.5 Depreciation amortisation'!$H$15:$H$58))</f>
        <v>-</v>
      </c>
      <c r="E43" s="261"/>
    </row>
    <row r="44" spans="2:7" x14ac:dyDescent="0.2">
      <c r="B44" s="254" t="s">
        <v>223</v>
      </c>
      <c r="C44" s="49" t="s">
        <v>237</v>
      </c>
      <c r="D44" s="101" t="str">
        <f>IF(Cover!C23="Scheme pipeline","-",SUMIF('3.5 Depreciation amortisation'!$D$15:$D$58,'3.1 Depreciated Book Value'!C42,'3.5 Depreciation amortisation'!$I$15:$I$58))</f>
        <v>-</v>
      </c>
      <c r="E44" s="261"/>
    </row>
    <row r="45" spans="2:7" x14ac:dyDescent="0.2">
      <c r="B45" s="254" t="s">
        <v>223</v>
      </c>
      <c r="C45" s="49" t="s">
        <v>226</v>
      </c>
      <c r="D45" s="101" t="str">
        <f>IF(Cover!C23="Scheme pipeline","-",SUMIF('3.5 Depreciation amortisation'!$D$15:$D$58,'3.1 Depreciated Book Value'!C42,'3.5 Depreciation amortisation'!$J$15:$J$58))</f>
        <v>-</v>
      </c>
      <c r="E45" s="261"/>
    </row>
    <row r="46" spans="2:7" x14ac:dyDescent="0.2">
      <c r="B46" s="254" t="s">
        <v>223</v>
      </c>
      <c r="C46" s="49" t="s">
        <v>228</v>
      </c>
      <c r="D46" s="101" t="str">
        <f>IF(Cover!C23="Scheme pipeline","-",-ABS(SUMIF('3.5 Depreciation amortisation'!$D$15:$D$58,'3.1 Depreciated Book Value'!C42,'3.5 Depreciation amortisation'!$O$15:$O$58)+SUMIF('3.5 Depreciation amortisation'!$D$15:$D$58,'3.1 Depreciated Book Value'!C42,'3.5 Depreciation amortisation'!$P$15:$P$58))-D47)</f>
        <v>-</v>
      </c>
      <c r="E46" s="261"/>
    </row>
    <row r="47" spans="2:7" x14ac:dyDescent="0.2">
      <c r="B47" s="254" t="s">
        <v>223</v>
      </c>
      <c r="C47" s="49" t="s">
        <v>229</v>
      </c>
      <c r="D47" s="101" t="str">
        <f>IF(Cover!C23="Scheme pipeline","-",-ABS(SUMIF('3.4 Asset impairment'!$C$10:$C$24,'3.1 Depreciated Book Value'!C42,'3.4 Asset impairment'!$D$10:$D$24))+SUMIF('3.4 Asset impairment'!$C$30:$C$56,'3.1 Depreciated Book Value'!C42,'3.4 Asset impairment'!$G$30:$G$56))</f>
        <v>-</v>
      </c>
      <c r="E47" s="261"/>
    </row>
    <row r="48" spans="2:7" ht="11.25" customHeight="1" x14ac:dyDescent="0.2">
      <c r="B48" s="254" t="s">
        <v>223</v>
      </c>
      <c r="C48" s="49" t="s">
        <v>230</v>
      </c>
      <c r="D48" s="101" t="str">
        <f>IF(Cover!C23="Scheme pipeline","-",SUMIF('3.5 Depreciation amortisation'!$D$15:$D$58,'3.1 Depreciated Book Value'!C42,'3.5 Depreciation amortisation'!$K$15:$K$58))</f>
        <v>-</v>
      </c>
      <c r="E48" s="261"/>
    </row>
    <row r="49" spans="2:5" x14ac:dyDescent="0.2">
      <c r="B49" s="256"/>
      <c r="C49" s="66" t="s">
        <v>238</v>
      </c>
      <c r="D49" s="101">
        <f>SUM(D43:D48)</f>
        <v>0</v>
      </c>
      <c r="E49" s="101">
        <f>SUM(E43:E48)</f>
        <v>0</v>
      </c>
    </row>
    <row r="50" spans="2:5" x14ac:dyDescent="0.2">
      <c r="B50" s="256"/>
      <c r="C50" s="50" t="s">
        <v>239</v>
      </c>
      <c r="D50" s="292"/>
      <c r="E50" s="292"/>
    </row>
    <row r="51" spans="2:5" x14ac:dyDescent="0.2">
      <c r="B51" s="254" t="s">
        <v>223</v>
      </c>
      <c r="C51" s="49" t="s">
        <v>224</v>
      </c>
      <c r="D51" s="101" t="str">
        <f>IF(Cover!C23="Scheme pipeline","-",SUMIF('3.5 Depreciation amortisation'!$D$15:$D$58,'3.1 Depreciated Book Value'!C50,'3.5 Depreciation amortisation'!$H$15:$H$58))</f>
        <v>-</v>
      </c>
      <c r="E51" s="261"/>
    </row>
    <row r="52" spans="2:5" x14ac:dyDescent="0.2">
      <c r="B52" s="254" t="s">
        <v>223</v>
      </c>
      <c r="C52" s="49" t="s">
        <v>225</v>
      </c>
      <c r="D52" s="101" t="str">
        <f>IF(Cover!C23="Scheme pipeline","-",SUMIF('3.5 Depreciation amortisation'!$D$15:$D$58,'3.1 Depreciated Book Value'!C50,'3.5 Depreciation amortisation'!$I$15:$I$58))</f>
        <v>-</v>
      </c>
      <c r="E52" s="261"/>
    </row>
    <row r="53" spans="2:5" x14ac:dyDescent="0.2">
      <c r="B53" s="254" t="s">
        <v>223</v>
      </c>
      <c r="C53" s="49" t="s">
        <v>226</v>
      </c>
      <c r="D53" s="101" t="str">
        <f>IF(Cover!C23="Scheme pipeline","-",SUMIF('3.5 Depreciation amortisation'!$D$15:$D$58,'3.1 Depreciated Book Value'!C50,'3.5 Depreciation amortisation'!$J$15:$J$58))</f>
        <v>-</v>
      </c>
      <c r="E53" s="261"/>
    </row>
    <row r="54" spans="2:5" x14ac:dyDescent="0.2">
      <c r="B54" s="254" t="s">
        <v>223</v>
      </c>
      <c r="C54" s="49" t="s">
        <v>228</v>
      </c>
      <c r="D54" s="101" t="str">
        <f>IF(Cover!C23="Scheme pipeline","-",-ABS(SUMIF('3.5 Depreciation amortisation'!$D$15:$D$58,'3.1 Depreciated Book Value'!C50,'3.5 Depreciation amortisation'!$O$15:$O$58)+SUMIF('3.5 Depreciation amortisation'!$D$15:$D$58,'3.1 Depreciated Book Value'!C50,'3.5 Depreciation amortisation'!$P$15:$P$58))-D55)</f>
        <v>-</v>
      </c>
      <c r="E54" s="261"/>
    </row>
    <row r="55" spans="2:5" x14ac:dyDescent="0.2">
      <c r="B55" s="254" t="s">
        <v>223</v>
      </c>
      <c r="C55" s="49" t="s">
        <v>229</v>
      </c>
      <c r="D55" s="101" t="str">
        <f>IF(Cover!C23="Scheme pipeline","-",-ABS(SUMIF('3.4 Asset impairment'!$C$10:$C$24,'3.1 Depreciated Book Value'!C50,'3.4 Asset impairment'!$D$10:$D$24))+SUMIF('3.4 Asset impairment'!$C$30:$C$56,'3.1 Depreciated Book Value'!C50,'3.4 Asset impairment'!$G$30:$G$56))</f>
        <v>-</v>
      </c>
      <c r="E55" s="261"/>
    </row>
    <row r="56" spans="2:5" ht="11.25" customHeight="1" x14ac:dyDescent="0.2">
      <c r="B56" s="254" t="s">
        <v>223</v>
      </c>
      <c r="C56" s="49" t="s">
        <v>230</v>
      </c>
      <c r="D56" s="101" t="str">
        <f>IF(Cover!C23="Scheme pipeline","-",SUMIF('3.5 Depreciation amortisation'!$D$15:$D$58,'3.1 Depreciated Book Value'!C50,'3.5 Depreciation amortisation'!$K$15:$K$58))</f>
        <v>-</v>
      </c>
      <c r="E56" s="261"/>
    </row>
    <row r="57" spans="2:5" x14ac:dyDescent="0.2">
      <c r="B57" s="256"/>
      <c r="C57" s="66" t="s">
        <v>240</v>
      </c>
      <c r="D57" s="101">
        <f>SUM(D51:D56)</f>
        <v>0</v>
      </c>
      <c r="E57" s="101">
        <f>SUM(E51:E56)</f>
        <v>0</v>
      </c>
    </row>
    <row r="58" spans="2:5" x14ac:dyDescent="0.2">
      <c r="B58" s="256"/>
      <c r="C58" s="50" t="s">
        <v>241</v>
      </c>
      <c r="D58" s="292"/>
      <c r="E58" s="292"/>
    </row>
    <row r="59" spans="2:5" x14ac:dyDescent="0.2">
      <c r="B59" s="254" t="s">
        <v>223</v>
      </c>
      <c r="C59" s="49" t="s">
        <v>224</v>
      </c>
      <c r="D59" s="101" t="str">
        <f>IF(Cover!C23="Scheme pipeline","-",SUMIF('3.5 Depreciation amortisation'!$D$15:$D$58,'3.1 Depreciated Book Value'!C58,'3.5 Depreciation amortisation'!$H$15:$H$58))</f>
        <v>-</v>
      </c>
      <c r="E59" s="261"/>
    </row>
    <row r="60" spans="2:5" x14ac:dyDescent="0.2">
      <c r="B60" s="254" t="s">
        <v>223</v>
      </c>
      <c r="C60" s="49" t="s">
        <v>225</v>
      </c>
      <c r="D60" s="101" t="str">
        <f>IF(Cover!C23="Scheme pipeline","-",SUMIF('3.5 Depreciation amortisation'!$D$15:$D$58,'3.1 Depreciated Book Value'!C58,'3.5 Depreciation amortisation'!$I$15:$I$58))</f>
        <v>-</v>
      </c>
      <c r="E60" s="261"/>
    </row>
    <row r="61" spans="2:5" x14ac:dyDescent="0.2">
      <c r="B61" s="254" t="s">
        <v>223</v>
      </c>
      <c r="C61" s="49" t="s">
        <v>226</v>
      </c>
      <c r="D61" s="101" t="str">
        <f>IF(Cover!C23="Scheme pipeline","-",SUMIF('3.5 Depreciation amortisation'!$D$15:$D$58,'3.1 Depreciated Book Value'!C58,'3.5 Depreciation amortisation'!$J$15:$J$58))</f>
        <v>-</v>
      </c>
      <c r="E61" s="261"/>
    </row>
    <row r="62" spans="2:5" ht="11.25" customHeight="1" x14ac:dyDescent="0.2">
      <c r="B62" s="254" t="s">
        <v>223</v>
      </c>
      <c r="C62" s="49" t="s">
        <v>228</v>
      </c>
      <c r="D62" s="101" t="str">
        <f>IF(Cover!C23="Scheme pipeline","-",-ABS(SUMIF('3.5 Depreciation amortisation'!$D$15:$D$58,'3.1 Depreciated Book Value'!C58,'3.5 Depreciation amortisation'!$O$15:$O$58)+SUMIF('3.5 Depreciation amortisation'!$D$15:$D$58,'3.1 Depreciated Book Value'!C58,'3.5 Depreciation amortisation'!$P$15:$P$58))-D63)</f>
        <v>-</v>
      </c>
      <c r="E62" s="261"/>
    </row>
    <row r="63" spans="2:5" ht="11.25" customHeight="1" x14ac:dyDescent="0.2">
      <c r="B63" s="254" t="s">
        <v>223</v>
      </c>
      <c r="C63" s="49" t="s">
        <v>229</v>
      </c>
      <c r="D63" s="101" t="str">
        <f>IF(Cover!C23="Scheme pipeline","-",-ABS(SUMIF('3.4 Asset impairment'!$C$10:$C$24,'3.1 Depreciated Book Value'!C58,'3.4 Asset impairment'!$D$10:$D$24))+SUMIF('3.4 Asset impairment'!$C$30:$C$56,'3.1 Depreciated Book Value'!C58,'3.4 Asset impairment'!$G$30:$G$56))</f>
        <v>-</v>
      </c>
      <c r="E63" s="261"/>
    </row>
    <row r="64" spans="2:5" ht="11.25" customHeight="1" x14ac:dyDescent="0.2">
      <c r="B64" s="254" t="s">
        <v>223</v>
      </c>
      <c r="C64" s="49" t="s">
        <v>230</v>
      </c>
      <c r="D64" s="101" t="str">
        <f>IF(Cover!C23="Scheme pipeline","-",SUMIF('3.5 Depreciation amortisation'!$D$15:$D$58,'3.1 Depreciated Book Value'!C58,'3.5 Depreciation amortisation'!$K$15:$K$58))</f>
        <v>-</v>
      </c>
      <c r="E64" s="261"/>
    </row>
    <row r="65" spans="2:5" x14ac:dyDescent="0.2">
      <c r="B65" s="256"/>
      <c r="C65" s="66" t="s">
        <v>242</v>
      </c>
      <c r="D65" s="101">
        <f>SUM(D59:D64)</f>
        <v>0</v>
      </c>
      <c r="E65" s="101">
        <f>SUM(E59:E64)</f>
        <v>0</v>
      </c>
    </row>
    <row r="66" spans="2:5" x14ac:dyDescent="0.2">
      <c r="B66" s="256"/>
      <c r="C66" s="50" t="s">
        <v>243</v>
      </c>
      <c r="D66" s="292"/>
      <c r="E66" s="292"/>
    </row>
    <row r="67" spans="2:5" x14ac:dyDescent="0.2">
      <c r="B67" s="254" t="s">
        <v>223</v>
      </c>
      <c r="C67" s="49" t="s">
        <v>224</v>
      </c>
      <c r="D67" s="101" t="str">
        <f>IF(Cover!C23="Scheme pipeline","-",SUMIF('3.5 Depreciation amortisation'!$D$15:$D$58,'3.1 Depreciated Book Value'!C66,'3.5 Depreciation amortisation'!$H$15:$H$58))</f>
        <v>-</v>
      </c>
      <c r="E67" s="261"/>
    </row>
    <row r="68" spans="2:5" x14ac:dyDescent="0.2">
      <c r="B68" s="254" t="s">
        <v>223</v>
      </c>
      <c r="C68" s="49" t="s">
        <v>225</v>
      </c>
      <c r="D68" s="101" t="str">
        <f>IF(Cover!C23="Scheme pipeline","-",SUMIF('3.5 Depreciation amortisation'!$D$15:$D$58,'3.1 Depreciated Book Value'!C66,'3.5 Depreciation amortisation'!$I$15:$I$58))</f>
        <v>-</v>
      </c>
      <c r="E68" s="261"/>
    </row>
    <row r="69" spans="2:5" x14ac:dyDescent="0.2">
      <c r="B69" s="254" t="s">
        <v>223</v>
      </c>
      <c r="C69" s="49" t="s">
        <v>226</v>
      </c>
      <c r="D69" s="101" t="str">
        <f>IF(Cover!C23="Scheme pipeline","-",SUMIF('3.5 Depreciation amortisation'!$D$15:$D$58,'3.1 Depreciated Book Value'!C66,'3.5 Depreciation amortisation'!$J$15:$J$58))</f>
        <v>-</v>
      </c>
      <c r="E69" s="261"/>
    </row>
    <row r="70" spans="2:5" x14ac:dyDescent="0.2">
      <c r="B70" s="254" t="s">
        <v>223</v>
      </c>
      <c r="C70" s="49" t="s">
        <v>228</v>
      </c>
      <c r="D70" s="101" t="str">
        <f>IF(Cover!C23="Scheme pipeline","-",-ABS(SUMIF('3.5 Depreciation amortisation'!$D$15:$D$58,'3.1 Depreciated Book Value'!C66,'3.5 Depreciation amortisation'!$O$15:$O$58)+SUMIF('3.5 Depreciation amortisation'!$D$15:$D$58,'3.1 Depreciated Book Value'!C66,'3.5 Depreciation amortisation'!$P$15:$P$58))-D71)</f>
        <v>-</v>
      </c>
      <c r="E70" s="261"/>
    </row>
    <row r="71" spans="2:5" x14ac:dyDescent="0.2">
      <c r="B71" s="254" t="s">
        <v>223</v>
      </c>
      <c r="C71" s="49" t="s">
        <v>229</v>
      </c>
      <c r="D71" s="101" t="str">
        <f>IF(Cover!C23="Scheme pipeline","-",-ABS(SUMIF('3.4 Asset impairment'!$C$10:$C$24,'3.1 Depreciated Book Value'!C66,'3.4 Asset impairment'!$D$10:$D$24))+SUMIF('3.4 Asset impairment'!$C$30:$C$56,'3.1 Depreciated Book Value'!C66,'3.4 Asset impairment'!$G$30:$G$56))</f>
        <v>-</v>
      </c>
      <c r="E71" s="261"/>
    </row>
    <row r="72" spans="2:5" ht="11.25" customHeight="1" x14ac:dyDescent="0.2">
      <c r="B72" s="254" t="s">
        <v>223</v>
      </c>
      <c r="C72" s="49" t="s">
        <v>230</v>
      </c>
      <c r="D72" s="101" t="str">
        <f>IF(Cover!C23="Scheme pipeline","-",SUMIF('3.5 Depreciation amortisation'!$D$15:$D$58,'3.1 Depreciated Book Value'!C66,'3.5 Depreciation amortisation'!$K$15:$K$58))</f>
        <v>-</v>
      </c>
      <c r="E72" s="261"/>
    </row>
    <row r="73" spans="2:5" x14ac:dyDescent="0.2">
      <c r="B73" s="256"/>
      <c r="C73" s="66" t="s">
        <v>244</v>
      </c>
      <c r="D73" s="101">
        <f>SUM(D67:D72)</f>
        <v>0</v>
      </c>
      <c r="E73" s="101">
        <f>SUM(E67:E72)</f>
        <v>0</v>
      </c>
    </row>
    <row r="74" spans="2:5" x14ac:dyDescent="0.2">
      <c r="B74" s="256"/>
      <c r="C74" s="50" t="s">
        <v>245</v>
      </c>
      <c r="D74" s="292"/>
      <c r="E74" s="292"/>
    </row>
    <row r="75" spans="2:5" x14ac:dyDescent="0.2">
      <c r="B75" s="254" t="s">
        <v>223</v>
      </c>
      <c r="C75" s="49" t="s">
        <v>224</v>
      </c>
      <c r="D75" s="101" t="str">
        <f>IF(Cover!C23="Scheme pipeline","-",SUMIF('3.5 Depreciation amortisation'!$D$15:$D$58,'3.1 Depreciated Book Value'!C74,'3.5 Depreciation amortisation'!$H$15:$H$58))</f>
        <v>-</v>
      </c>
      <c r="E75" s="261"/>
    </row>
    <row r="76" spans="2:5" x14ac:dyDescent="0.2">
      <c r="B76" s="254" t="s">
        <v>223</v>
      </c>
      <c r="C76" s="49" t="s">
        <v>225</v>
      </c>
      <c r="D76" s="101" t="str">
        <f>IF(Cover!C23="Scheme pipeline","-",SUMIF('3.5 Depreciation amortisation'!$D$15:$D$58,'3.1 Depreciated Book Value'!C74,'3.5 Depreciation amortisation'!$I$15:$I$58))</f>
        <v>-</v>
      </c>
      <c r="E76" s="261"/>
    </row>
    <row r="77" spans="2:5" x14ac:dyDescent="0.2">
      <c r="B77" s="254" t="s">
        <v>223</v>
      </c>
      <c r="C77" s="49" t="s">
        <v>226</v>
      </c>
      <c r="D77" s="101" t="str">
        <f>IF(Cover!C23="Scheme pipeline","-",SUMIF('3.5 Depreciation amortisation'!$D$15:$D$58,'3.1 Depreciated Book Value'!C74,'3.5 Depreciation amortisation'!$J$15:$J$58))</f>
        <v>-</v>
      </c>
      <c r="E77" s="261"/>
    </row>
    <row r="78" spans="2:5" x14ac:dyDescent="0.2">
      <c r="B78" s="254" t="s">
        <v>223</v>
      </c>
      <c r="C78" s="49" t="s">
        <v>229</v>
      </c>
      <c r="D78" s="101" t="str">
        <f>IF(Cover!C23="Scheme pipeline","-",-ABS(SUMIF('3.4 Asset impairment'!$C$10:$C$24,'3.1 Depreciated Book Value'!C74,'3.4 Asset impairment'!$D$10:$D$24))+SUMIF('3.4 Asset impairment'!$C$30:$C$56,'3.1 Depreciated Book Value'!C74,'3.4 Asset impairment'!$G$30:$G$56))</f>
        <v>-</v>
      </c>
      <c r="E78" s="261"/>
    </row>
    <row r="79" spans="2:5" ht="11.25" customHeight="1" x14ac:dyDescent="0.2">
      <c r="B79" s="254" t="s">
        <v>223</v>
      </c>
      <c r="C79" s="49" t="s">
        <v>230</v>
      </c>
      <c r="D79" s="101" t="str">
        <f>IF(Cover!C23="Scheme pipeline","-",SUMIF('3.5 Depreciation amortisation'!$D$15:$D$58,'3.1 Depreciated Book Value'!C74,'3.5 Depreciation amortisation'!$K$15:$K$58))</f>
        <v>-</v>
      </c>
      <c r="E79" s="261"/>
    </row>
    <row r="80" spans="2:5" x14ac:dyDescent="0.2">
      <c r="B80" s="256"/>
      <c r="C80" s="66" t="s">
        <v>246</v>
      </c>
      <c r="D80" s="101">
        <f>SUM(D75:D79)</f>
        <v>0</v>
      </c>
      <c r="E80" s="101">
        <f>SUM(E75:E79)</f>
        <v>0</v>
      </c>
    </row>
    <row r="81" spans="2:8" x14ac:dyDescent="0.2">
      <c r="B81" s="256"/>
      <c r="C81" s="50" t="s">
        <v>247</v>
      </c>
      <c r="D81" s="292"/>
      <c r="E81" s="292"/>
      <c r="G81" s="219"/>
      <c r="H81" s="219"/>
    </row>
    <row r="82" spans="2:8" s="219" customFormat="1" x14ac:dyDescent="0.2">
      <c r="B82" s="254" t="s">
        <v>223</v>
      </c>
      <c r="C82" s="49" t="s">
        <v>224</v>
      </c>
      <c r="D82" s="101" t="str">
        <f>IF(Cover!C23="Scheme pipeline","-",SUMIF('3.5 Depreciation amortisation'!$D$15:$D$58,'3.1 Depreciated Book Value'!C81,'3.5 Depreciation amortisation'!$H$15:$H$58))</f>
        <v>-</v>
      </c>
      <c r="E82" s="293"/>
    </row>
    <row r="83" spans="2:8" s="219" customFormat="1" x14ac:dyDescent="0.2">
      <c r="B83" s="254" t="s">
        <v>223</v>
      </c>
      <c r="C83" s="49" t="s">
        <v>225</v>
      </c>
      <c r="D83" s="101" t="str">
        <f>IF(Cover!C23="Scheme pipeline","-",SUMIF('3.5 Depreciation amortisation'!$D$15:$D$58,'3.1 Depreciated Book Value'!C81,'3.5 Depreciation amortisation'!$I$15:$I$58))</f>
        <v>-</v>
      </c>
      <c r="E83" s="293"/>
    </row>
    <row r="84" spans="2:8" s="219" customFormat="1" x14ac:dyDescent="0.2">
      <c r="B84" s="254" t="s">
        <v>223</v>
      </c>
      <c r="C84" s="49" t="s">
        <v>226</v>
      </c>
      <c r="D84" s="101" t="str">
        <f>IF(Cover!C23="Scheme pipeline","-",SUMIF('3.5 Depreciation amortisation'!$D$15:$D$58,'3.1 Depreciated Book Value'!C81,'3.5 Depreciation amortisation'!$J$15:$J$58))</f>
        <v>-</v>
      </c>
      <c r="E84" s="293"/>
    </row>
    <row r="85" spans="2:8" s="219" customFormat="1" x14ac:dyDescent="0.2">
      <c r="B85" s="254" t="s">
        <v>223</v>
      </c>
      <c r="C85" s="49" t="s">
        <v>228</v>
      </c>
      <c r="D85" s="101" t="str">
        <f>IF(Cover!C23="Scheme pipeline","-",-ABS(SUMIF('3.5 Depreciation amortisation'!$D$15:$D$58,'3.1 Depreciated Book Value'!C81,'3.5 Depreciation amortisation'!$O$15:$O$58)+SUMIF('3.5 Depreciation amortisation'!$D$15:$D$58,'3.1 Depreciated Book Value'!C81,'3.5 Depreciation amortisation'!$P$15:$P$58))-D86)</f>
        <v>-</v>
      </c>
      <c r="E85" s="293"/>
    </row>
    <row r="86" spans="2:8" s="219" customFormat="1" x14ac:dyDescent="0.2">
      <c r="B86" s="254" t="s">
        <v>223</v>
      </c>
      <c r="C86" s="49" t="s">
        <v>229</v>
      </c>
      <c r="D86" s="101" t="str">
        <f>IF(Cover!C23="Scheme pipeline","-",-ABS(SUMIF('3.4 Asset impairment'!$C$10:$C$24,'3.1 Depreciated Book Value'!C81,'3.4 Asset impairment'!$D$10:$D$24))+SUMIF('3.4 Asset impairment'!$C$30:$C$56,'3.1 Depreciated Book Value'!C81,'3.4 Asset impairment'!$G$30:$G$56))</f>
        <v>-</v>
      </c>
      <c r="E86" s="293"/>
    </row>
    <row r="87" spans="2:8" s="219" customFormat="1" x14ac:dyDescent="0.2">
      <c r="B87" s="254" t="s">
        <v>223</v>
      </c>
      <c r="C87" s="49" t="s">
        <v>230</v>
      </c>
      <c r="D87" s="101" t="str">
        <f>IF(Cover!C23="Scheme pipeline","-",SUMIF('3.5 Depreciation amortisation'!$D$15:$D$58,'3.1 Depreciated Book Value'!C81,'3.5 Depreciation amortisation'!$K$15:$K$58))</f>
        <v>-</v>
      </c>
      <c r="E87" s="293"/>
      <c r="G87" s="4"/>
      <c r="H87" s="4"/>
    </row>
    <row r="88" spans="2:8" x14ac:dyDescent="0.2">
      <c r="B88" s="256"/>
      <c r="C88" s="66" t="s">
        <v>248</v>
      </c>
      <c r="D88" s="101">
        <f>SUM(D82:D87)</f>
        <v>0</v>
      </c>
      <c r="E88" s="101">
        <f>SUM(E82:E87)</f>
        <v>0</v>
      </c>
    </row>
    <row r="89" spans="2:8" x14ac:dyDescent="0.2">
      <c r="B89" s="256"/>
      <c r="C89" s="50" t="s">
        <v>249</v>
      </c>
      <c r="D89" s="292"/>
      <c r="E89" s="292"/>
      <c r="F89" s="81"/>
    </row>
    <row r="90" spans="2:8" x14ac:dyDescent="0.2">
      <c r="B90" s="254" t="s">
        <v>223</v>
      </c>
      <c r="C90" s="49" t="s">
        <v>224</v>
      </c>
      <c r="D90" s="101" t="str">
        <f>IF(Cover!C23="Scheme pipeline","-",SUMIF('3.5 Depreciation amortisation'!$D$15:$D$58,'3.1 Depreciated Book Value'!C89,'3.5 Depreciation amortisation'!$H$15:$H$58))</f>
        <v>-</v>
      </c>
      <c r="E90" s="261"/>
      <c r="F90" s="81"/>
    </row>
    <row r="91" spans="2:8" x14ac:dyDescent="0.2">
      <c r="B91" s="254" t="s">
        <v>223</v>
      </c>
      <c r="C91" s="49" t="s">
        <v>225</v>
      </c>
      <c r="D91" s="101" t="str">
        <f>IF(Cover!C23="Scheme pipeline","-",SUMIF('3.5 Depreciation amortisation'!$D$15:$D$58,'3.1 Depreciated Book Value'!C89,'3.5 Depreciation amortisation'!$I$15:$I$58))</f>
        <v>-</v>
      </c>
      <c r="E91" s="261"/>
      <c r="F91" s="81"/>
    </row>
    <row r="92" spans="2:8" x14ac:dyDescent="0.2">
      <c r="B92" s="254" t="s">
        <v>223</v>
      </c>
      <c r="C92" s="49" t="s">
        <v>226</v>
      </c>
      <c r="D92" s="101" t="str">
        <f>IF(Cover!C23="Scheme pipeline","-",SUMIF('3.5 Depreciation amortisation'!$D$15:$D$58,'3.1 Depreciated Book Value'!C89,'3.5 Depreciation amortisation'!$J$15:$J$58))</f>
        <v>-</v>
      </c>
      <c r="E92" s="261"/>
      <c r="F92" s="81"/>
    </row>
    <row r="93" spans="2:8" x14ac:dyDescent="0.2">
      <c r="B93" s="254" t="s">
        <v>223</v>
      </c>
      <c r="C93" s="49" t="s">
        <v>250</v>
      </c>
      <c r="D93" s="101" t="str">
        <f>IF(Cover!C23="Scheme pipeline","-",-ABS(SUMIF('3.5 Depreciation amortisation'!$D$15:$D$58,'3.1 Depreciated Book Value'!C89,'3.5 Depreciation amortisation'!$O$15:$O$58)+SUMIF('3.5 Depreciation amortisation'!$D$15:$D$58,'3.1 Depreciated Book Value'!C89,'3.5 Depreciation amortisation'!$P$15:$P$58))-D94)</f>
        <v>-</v>
      </c>
      <c r="E93" s="261"/>
      <c r="F93" s="81"/>
      <c r="G93" s="81"/>
    </row>
    <row r="94" spans="2:8" x14ac:dyDescent="0.2">
      <c r="B94" s="254" t="s">
        <v>223</v>
      </c>
      <c r="C94" s="49" t="s">
        <v>229</v>
      </c>
      <c r="D94" s="101" t="str">
        <f>IF(Cover!C23="Scheme pipeline","-",-ABS(SUMIF('3.4 Asset impairment'!$C$10:$C$24,'3.1 Depreciated Book Value'!C89,'3.4 Asset impairment'!$D$10:$D$24))+SUMIF('3.4 Asset impairment'!$C$30:$C$56,'3.1 Depreciated Book Value'!C89,'3.4 Asset impairment'!$G$30:$G$56))</f>
        <v>-</v>
      </c>
      <c r="E94" s="261"/>
      <c r="F94" s="81"/>
      <c r="G94" s="81"/>
    </row>
    <row r="95" spans="2:8" ht="11.25" customHeight="1" x14ac:dyDescent="0.2">
      <c r="B95" s="254" t="s">
        <v>223</v>
      </c>
      <c r="C95" s="49" t="s">
        <v>230</v>
      </c>
      <c r="D95" s="101" t="str">
        <f>IF(Cover!C23="Scheme pipeline","-",SUMIF('3.5 Depreciation amortisation'!$D$15:$D$58,'3.1 Depreciated Book Value'!C89,'3.5 Depreciation amortisation'!$K$15:$K$58))</f>
        <v>-</v>
      </c>
      <c r="E95" s="261"/>
      <c r="F95" s="81"/>
    </row>
    <row r="96" spans="2:8" x14ac:dyDescent="0.2">
      <c r="B96" s="256"/>
      <c r="C96" s="66" t="s">
        <v>251</v>
      </c>
      <c r="D96" s="101">
        <f>SUM(D90:D95)</f>
        <v>0</v>
      </c>
      <c r="E96" s="101">
        <f>SUM(E90:E95)</f>
        <v>0</v>
      </c>
      <c r="F96" s="81"/>
    </row>
    <row r="97" spans="2:7" x14ac:dyDescent="0.2">
      <c r="B97" s="254" t="s">
        <v>223</v>
      </c>
      <c r="C97" s="50" t="s">
        <v>252</v>
      </c>
      <c r="D97" s="292"/>
      <c r="E97" s="292"/>
    </row>
    <row r="98" spans="2:7" x14ac:dyDescent="0.2">
      <c r="B98" s="254" t="s">
        <v>223</v>
      </c>
      <c r="C98" s="49" t="s">
        <v>224</v>
      </c>
      <c r="D98" s="261"/>
      <c r="E98" s="261"/>
      <c r="F98" s="81"/>
    </row>
    <row r="99" spans="2:7" x14ac:dyDescent="0.2">
      <c r="B99" s="254" t="s">
        <v>223</v>
      </c>
      <c r="C99" s="49" t="s">
        <v>225</v>
      </c>
      <c r="D99" s="261"/>
      <c r="E99" s="261"/>
      <c r="F99" s="81"/>
    </row>
    <row r="100" spans="2:7" x14ac:dyDescent="0.2">
      <c r="B100" s="254" t="s">
        <v>223</v>
      </c>
      <c r="C100" s="49" t="s">
        <v>226</v>
      </c>
      <c r="D100" s="261"/>
      <c r="E100" s="261"/>
      <c r="F100" s="81"/>
    </row>
    <row r="101" spans="2:7" x14ac:dyDescent="0.2">
      <c r="B101" s="254" t="s">
        <v>223</v>
      </c>
      <c r="C101" s="49" t="s">
        <v>230</v>
      </c>
      <c r="D101" s="261"/>
      <c r="E101" s="261"/>
      <c r="F101" s="81"/>
      <c r="G101" s="81"/>
    </row>
    <row r="102" spans="2:7" x14ac:dyDescent="0.2">
      <c r="B102" s="256"/>
      <c r="C102" s="66" t="s">
        <v>253</v>
      </c>
      <c r="D102" s="101">
        <f>SUM(D98:D101)</f>
        <v>0</v>
      </c>
      <c r="E102" s="101">
        <f>SUM(E98:E101)</f>
        <v>0</v>
      </c>
      <c r="F102" s="81"/>
    </row>
    <row r="103" spans="2:7" x14ac:dyDescent="0.2">
      <c r="B103" s="256"/>
      <c r="C103" s="67" t="s">
        <v>254</v>
      </c>
      <c r="D103" s="101">
        <f>SUM(D25,D33,D41,D49,D57,D65,D73,D80,D88,D102,D96)</f>
        <v>0</v>
      </c>
      <c r="E103" s="101">
        <f>SUM(E25,E33,E41,E49,E57,E65,E73,E80,E88,E102,E96)</f>
        <v>0</v>
      </c>
      <c r="F103" s="81"/>
    </row>
    <row r="104" spans="2:7" x14ac:dyDescent="0.2">
      <c r="B104" s="256"/>
      <c r="C104" s="48" t="s">
        <v>255</v>
      </c>
      <c r="D104" s="292"/>
      <c r="E104" s="292"/>
    </row>
    <row r="105" spans="2:7" x14ac:dyDescent="0.2">
      <c r="B105" s="256"/>
      <c r="C105" s="50" t="s">
        <v>256</v>
      </c>
      <c r="D105" s="292"/>
      <c r="E105" s="292"/>
    </row>
    <row r="106" spans="2:7" x14ac:dyDescent="0.2">
      <c r="B106" s="254" t="s">
        <v>223</v>
      </c>
      <c r="C106" s="49" t="s">
        <v>224</v>
      </c>
      <c r="D106" s="101" t="str">
        <f>IF(Cover!C23="Scheme pipeline","-",SUMIF('3.5 Depreciation amortisation'!$D$66:$D$83,$C$105,'3.5 Depreciation amortisation'!$G$66:$G$83))</f>
        <v>-</v>
      </c>
      <c r="E106" s="261"/>
      <c r="F106" s="81"/>
    </row>
    <row r="107" spans="2:7" x14ac:dyDescent="0.2">
      <c r="B107" s="254" t="s">
        <v>223</v>
      </c>
      <c r="C107" s="49" t="s">
        <v>225</v>
      </c>
      <c r="D107" s="101" t="str">
        <f>IF(Cover!C23="Scheme pipeline","-",SUMIF('3.5 Depreciation amortisation'!$D$66:$D$83,$C$105,'3.5 Depreciation amortisation'!$H$66:$H$83))</f>
        <v>-</v>
      </c>
      <c r="E107" s="261"/>
      <c r="F107" s="81"/>
    </row>
    <row r="108" spans="2:7" x14ac:dyDescent="0.2">
      <c r="B108" s="254" t="s">
        <v>223</v>
      </c>
      <c r="C108" s="49" t="s">
        <v>226</v>
      </c>
      <c r="D108" s="101" t="str">
        <f>IF(Cover!C23="Scheme pipeline","-",SUMIF('3.5 Depreciation amortisation'!$D$66:$D$83,$C$105,'3.5 Depreciation amortisation'!$I$66:$I$83))</f>
        <v>-</v>
      </c>
      <c r="E108" s="261"/>
    </row>
    <row r="109" spans="2:7" x14ac:dyDescent="0.2">
      <c r="B109" s="254" t="s">
        <v>223</v>
      </c>
      <c r="C109" s="49" t="s">
        <v>228</v>
      </c>
      <c r="D109" s="101" t="str">
        <f>IF(Cover!C23="Scheme pipeline","-",-ABS(SUMIF('3.5 Depreciation amortisation'!$D$66:$D$83,$C$105,'3.5 Depreciation amortisation'!$N$66:$N$83)+SUMIF('3.5 Depreciation amortisation'!$D$66:$D$83,$C$105,'3.5 Depreciation amortisation'!$O$66:$O$83))-D110)</f>
        <v>-</v>
      </c>
      <c r="E109" s="261"/>
      <c r="F109" s="81"/>
    </row>
    <row r="110" spans="2:7" x14ac:dyDescent="0.2">
      <c r="B110" s="254" t="s">
        <v>223</v>
      </c>
      <c r="C110" s="49" t="s">
        <v>229</v>
      </c>
      <c r="D110" s="101" t="str">
        <f>IF(Cover!C23="Scheme pipeline","-",-ABS(SUMIF('3.4 Asset impairment'!$C$10:$C$24,'3.1 Depreciated Book Value'!C105,'3.4 Asset impairment'!$D$10:$D$24))+SUMIF('3.4 Asset impairment'!$C$30:$C$56,'3.1 Depreciated Book Value'!C105,'3.4 Asset impairment'!$G$30:$G$56))</f>
        <v>-</v>
      </c>
      <c r="E110" s="261"/>
      <c r="F110" s="81"/>
    </row>
    <row r="111" spans="2:7" x14ac:dyDescent="0.2">
      <c r="B111" s="254" t="s">
        <v>223</v>
      </c>
      <c r="C111" s="49" t="s">
        <v>230</v>
      </c>
      <c r="D111" s="101" t="str">
        <f>IF(Cover!C23="Scheme pipeline","-",SUMIF('3.5 Depreciation amortisation'!$D$66:$D$83,$C$105,'3.5 Depreciation amortisation'!$J$66:$J$83))</f>
        <v>-</v>
      </c>
      <c r="E111" s="261"/>
      <c r="F111" s="81"/>
    </row>
    <row r="112" spans="2:7" x14ac:dyDescent="0.2">
      <c r="B112" s="256"/>
      <c r="C112" s="66" t="s">
        <v>257</v>
      </c>
      <c r="D112" s="101">
        <f>SUM(D106:D111)</f>
        <v>0</v>
      </c>
      <c r="E112" s="101">
        <f>SUM(E106:E111)</f>
        <v>0</v>
      </c>
    </row>
    <row r="113" spans="2:7" x14ac:dyDescent="0.2">
      <c r="B113" s="256"/>
      <c r="C113" s="50" t="s">
        <v>258</v>
      </c>
      <c r="D113" s="292"/>
      <c r="E113" s="292"/>
      <c r="F113" s="81"/>
    </row>
    <row r="114" spans="2:7" x14ac:dyDescent="0.2">
      <c r="B114" s="254" t="s">
        <v>223</v>
      </c>
      <c r="C114" s="49" t="s">
        <v>224</v>
      </c>
      <c r="D114" s="101" t="str">
        <f>IF(Cover!C23="Scheme pipeline","-",SUMIF('3.5 Depreciation amortisation'!$D$66:$D$83,$C$113,'3.5 Depreciation amortisation'!$G$66:$G$83))</f>
        <v>-</v>
      </c>
      <c r="E114" s="261"/>
      <c r="F114" s="81"/>
    </row>
    <row r="115" spans="2:7" x14ac:dyDescent="0.2">
      <c r="B115" s="254" t="s">
        <v>223</v>
      </c>
      <c r="C115" s="49" t="s">
        <v>225</v>
      </c>
      <c r="D115" s="101" t="str">
        <f>IF(Cover!C23="Scheme pipeline","-",SUMIF('3.5 Depreciation amortisation'!$D$66:$D$83,$C$113,'3.5 Depreciation amortisation'!$H$66:$H$83))</f>
        <v>-</v>
      </c>
      <c r="E115" s="261"/>
      <c r="F115" s="81"/>
    </row>
    <row r="116" spans="2:7" x14ac:dyDescent="0.2">
      <c r="B116" s="254" t="s">
        <v>223</v>
      </c>
      <c r="C116" s="49" t="s">
        <v>226</v>
      </c>
      <c r="D116" s="101" t="str">
        <f>IF(Cover!C23="Scheme pipeline","-",SUMIF('3.5 Depreciation amortisation'!$D$66:$D$83,$C$113,'3.5 Depreciation amortisation'!$I$66:$I$83))</f>
        <v>-</v>
      </c>
      <c r="E116" s="261"/>
      <c r="F116" s="81"/>
    </row>
    <row r="117" spans="2:7" x14ac:dyDescent="0.2">
      <c r="B117" s="254" t="s">
        <v>223</v>
      </c>
      <c r="C117" s="49" t="s">
        <v>250</v>
      </c>
      <c r="D117" s="101" t="str">
        <f>IF(Cover!C23="Scheme pipeline","-",-ABS(SUMIF('3.5 Depreciation amortisation'!$D$66:$D$83,$C$113,'3.5 Depreciation amortisation'!$N$66:$N$83)+SUMIF('3.5 Depreciation amortisation'!$D$66:$D$83,$C$113,'3.5 Depreciation amortisation'!$O$66:$O$83))-D118)</f>
        <v>-</v>
      </c>
      <c r="E117" s="261"/>
      <c r="F117" s="81"/>
      <c r="G117" s="81"/>
    </row>
    <row r="118" spans="2:7" x14ac:dyDescent="0.2">
      <c r="B118" s="254" t="s">
        <v>223</v>
      </c>
      <c r="C118" s="49" t="s">
        <v>229</v>
      </c>
      <c r="D118" s="101" t="str">
        <f>IF(Cover!C23="Scheme pipeline","-",-ABS(SUMIF('3.4 Asset impairment'!$C$10:$C$24,'3.1 Depreciated Book Value'!C113,'3.4 Asset impairment'!$D$10:$D$24))+SUMIF('3.4 Asset impairment'!$C$30:$C$56,'3.1 Depreciated Book Value'!C113,'3.4 Asset impairment'!$G$30:$G$56))</f>
        <v>-</v>
      </c>
      <c r="E118" s="261"/>
      <c r="F118" s="81"/>
      <c r="G118" s="81"/>
    </row>
    <row r="119" spans="2:7" ht="11.25" customHeight="1" x14ac:dyDescent="0.2">
      <c r="B119" s="254" t="s">
        <v>223</v>
      </c>
      <c r="C119" s="49" t="s">
        <v>230</v>
      </c>
      <c r="D119" s="101" t="str">
        <f>IF(Cover!C23="Scheme pipeline","-",SUMIF('3.5 Depreciation amortisation'!$D$66:$D$83,$C$113,'3.5 Depreciation amortisation'!$J$66:$J$83))</f>
        <v>-</v>
      </c>
      <c r="E119" s="261"/>
      <c r="F119" s="81"/>
    </row>
    <row r="120" spans="2:7" x14ac:dyDescent="0.2">
      <c r="B120" s="256"/>
      <c r="C120" s="66" t="s">
        <v>259</v>
      </c>
      <c r="D120" s="101">
        <f>SUM(D114:D119)</f>
        <v>0</v>
      </c>
      <c r="E120" s="101">
        <f>SUM(E114:E119)</f>
        <v>0</v>
      </c>
      <c r="F120" s="81"/>
    </row>
    <row r="121" spans="2:7" x14ac:dyDescent="0.2">
      <c r="B121" s="254" t="s">
        <v>223</v>
      </c>
      <c r="C121" s="50" t="s">
        <v>260</v>
      </c>
      <c r="D121" s="261"/>
      <c r="E121" s="261"/>
      <c r="F121" s="81"/>
    </row>
    <row r="122" spans="2:7" x14ac:dyDescent="0.2">
      <c r="B122" s="254" t="s">
        <v>223</v>
      </c>
      <c r="C122" s="50" t="s">
        <v>261</v>
      </c>
      <c r="D122" s="261"/>
      <c r="E122" s="261"/>
    </row>
    <row r="123" spans="2:7" x14ac:dyDescent="0.2">
      <c r="B123" s="254" t="s">
        <v>223</v>
      </c>
      <c r="C123" s="50" t="s">
        <v>262</v>
      </c>
      <c r="D123" s="261"/>
      <c r="E123" s="261"/>
    </row>
    <row r="124" spans="2:7" x14ac:dyDescent="0.2">
      <c r="B124" s="231"/>
      <c r="C124" s="68" t="s">
        <v>263</v>
      </c>
      <c r="D124" s="101">
        <f>SUM(D112,D120:D123)</f>
        <v>0</v>
      </c>
      <c r="E124" s="101">
        <f>SUM(E112,E120:E123)</f>
        <v>0</v>
      </c>
      <c r="F124" s="81"/>
    </row>
    <row r="125" spans="2:7" ht="12.75" customHeight="1" x14ac:dyDescent="0.2">
      <c r="B125" s="231"/>
      <c r="C125" s="68" t="s">
        <v>264</v>
      </c>
      <c r="D125" s="102">
        <f>SUM(D103,D124)</f>
        <v>0</v>
      </c>
      <c r="E125" s="102">
        <f>SUM(E103,E124)</f>
        <v>0</v>
      </c>
    </row>
    <row r="128" spans="2:7" ht="15.75" x14ac:dyDescent="0.25">
      <c r="B128" s="175" t="s">
        <v>265</v>
      </c>
    </row>
    <row r="129" spans="2:4" ht="12.75" customHeight="1" x14ac:dyDescent="0.25">
      <c r="B129" s="175"/>
    </row>
    <row r="130" spans="2:4" ht="25.5" x14ac:dyDescent="0.2">
      <c r="B130" s="46" t="s">
        <v>128</v>
      </c>
      <c r="C130" s="47" t="s">
        <v>129</v>
      </c>
      <c r="D130" s="179" t="str">
        <f>IFERROR(VLOOKUP(C132,rInitialyears,2,FALSE),"")</f>
        <v/>
      </c>
    </row>
    <row r="131" spans="2:4" x14ac:dyDescent="0.2">
      <c r="B131" s="46"/>
      <c r="C131" s="68" t="s">
        <v>264</v>
      </c>
      <c r="D131" s="179"/>
    </row>
    <row r="132" spans="2:4" x14ac:dyDescent="0.2">
      <c r="B132" s="294"/>
      <c r="C132" s="237"/>
      <c r="D132" s="295"/>
    </row>
  </sheetData>
  <sheetProtection sheet="1"/>
  <mergeCells count="3">
    <mergeCell ref="B13:C13"/>
    <mergeCell ref="B4:C4"/>
    <mergeCell ref="B6:F10"/>
  </mergeCells>
  <phoneticPr fontId="29" type="noConversion"/>
  <dataValidations count="1">
    <dataValidation type="list" allowBlank="1" showInputMessage="1" showErrorMessage="1" sqref="C132" xr:uid="{7754FF8E-BD12-488E-A623-E59167F697CB}">
      <formula1>rInitialcosts</formula1>
    </dataValidation>
  </dataValidations>
  <pageMargins left="0.75" right="0.75" top="1" bottom="1" header="0.5" footer="0.5"/>
  <pageSetup paperSize="9" scale="47" orientation="landscape" verticalDpi="2" r:id="rId1"/>
  <headerFooter alignWithMargins="0">
    <oddFooter>&amp;C_x000D_&amp;1#&amp;"Calibri"&amp;10&amp;K008000 APA-INTERNAL</oddFooter>
  </headerFooter>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3A88F-CCA0-4482-9050-C45EDE7DFD87}">
  <sheetPr codeName="Sheet20">
    <tabColor rgb="FF17415D"/>
    <pageSetUpPr fitToPage="1"/>
  </sheetPr>
  <dimension ref="B1:L119"/>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defaultColWidth="9.140625" defaultRowHeight="12.75" x14ac:dyDescent="0.2"/>
  <cols>
    <col min="1" max="1" width="12" style="4" customWidth="1"/>
    <col min="2" max="2" width="34.5703125" style="4" customWidth="1"/>
    <col min="3" max="3" width="70.85546875" style="4" customWidth="1"/>
    <col min="4" max="8" width="20.7109375" style="4" customWidth="1"/>
    <col min="9" max="16384" width="9.140625" style="4"/>
  </cols>
  <sheetData>
    <row r="1" spans="2:8" ht="20.25" x14ac:dyDescent="0.2">
      <c r="B1" s="103" t="s">
        <v>66</v>
      </c>
      <c r="C1" s="103"/>
    </row>
    <row r="2" spans="2:8" ht="20.25" x14ac:dyDescent="0.2">
      <c r="B2" s="103" t="str">
        <f>IF(Tradingname=0," ",Tradingname)</f>
        <v>APT PIPELINES (NT) PTY LIMITED</v>
      </c>
      <c r="C2" s="103"/>
      <c r="E2" s="218"/>
    </row>
    <row r="3" spans="2:8" ht="20.25" x14ac:dyDescent="0.3">
      <c r="B3" s="103" t="s">
        <v>44</v>
      </c>
      <c r="C3" s="80">
        <f>IF(Yearending=0, "01/01/2000", Yearending)</f>
        <v>45838</v>
      </c>
    </row>
    <row r="4" spans="2:8" ht="20.25" x14ac:dyDescent="0.3">
      <c r="B4" s="103" t="s">
        <v>266</v>
      </c>
      <c r="C4" s="80">
        <f>'1. Pipeline information'!C15</f>
        <v>37073</v>
      </c>
    </row>
    <row r="5" spans="2:8" ht="20.25" x14ac:dyDescent="0.2">
      <c r="B5" s="72" t="s">
        <v>267</v>
      </c>
      <c r="C5" s="72"/>
      <c r="D5" s="276"/>
    </row>
    <row r="6" spans="2:8" x14ac:dyDescent="0.2">
      <c r="D6" s="291"/>
    </row>
    <row r="7" spans="2:8" x14ac:dyDescent="0.2">
      <c r="B7" s="401" t="s">
        <v>268</v>
      </c>
      <c r="C7" s="401"/>
      <c r="D7" s="401"/>
    </row>
    <row r="8" spans="2:8" x14ac:dyDescent="0.2">
      <c r="B8" s="401"/>
      <c r="C8" s="401"/>
      <c r="D8" s="401"/>
    </row>
    <row r="9" spans="2:8" x14ac:dyDescent="0.2">
      <c r="B9" s="401"/>
      <c r="C9" s="401"/>
      <c r="D9" s="401"/>
    </row>
    <row r="12" spans="2:8" ht="15.75" x14ac:dyDescent="0.2">
      <c r="B12" s="404" t="s">
        <v>269</v>
      </c>
      <c r="C12" s="404"/>
      <c r="D12" s="291"/>
    </row>
    <row r="14" spans="2:8" x14ac:dyDescent="0.2">
      <c r="B14" s="291"/>
      <c r="C14" s="291"/>
      <c r="D14" s="406" t="s">
        <v>270</v>
      </c>
      <c r="E14" s="406"/>
      <c r="F14" s="406"/>
      <c r="G14" s="406"/>
      <c r="H14" s="406"/>
    </row>
    <row r="15" spans="2:8" x14ac:dyDescent="0.2">
      <c r="B15" s="46" t="s">
        <v>128</v>
      </c>
      <c r="C15" s="179" t="s">
        <v>129</v>
      </c>
      <c r="D15" s="179" t="str">
        <f>YEAR(Yearstart)-4&amp;"-"&amp;RIGHT(YEAR(Yearstart)-3,2)</f>
        <v>2020-21</v>
      </c>
      <c r="E15" s="179" t="str">
        <f>YEAR(Yearstart)-3&amp;"-"&amp;RIGHT(YEAR(Yearstart)-2,2)</f>
        <v>2021-22</v>
      </c>
      <c r="F15" s="47" t="str">
        <f>YEAR(Yearstart)-2&amp;"-"&amp;RIGHT(YEAR(Yearstart)-1,2)</f>
        <v>2022-23</v>
      </c>
      <c r="G15" s="47" t="str">
        <f>YEAR(Yearstart)-1&amp;"-"&amp;RIGHT(YEAR(Yearstart),2)</f>
        <v>2023-24</v>
      </c>
      <c r="H15" s="179" t="str">
        <f>YEAR(Yearstart)&amp;"-"&amp;RIGHT(YEAR(Yearstart)+1,2)</f>
        <v>2024-25</v>
      </c>
    </row>
    <row r="16" spans="2:8" x14ac:dyDescent="0.2">
      <c r="B16" s="234"/>
      <c r="C16" s="47"/>
      <c r="D16" s="47"/>
      <c r="E16" s="47"/>
      <c r="F16" s="47"/>
      <c r="G16" s="47"/>
      <c r="H16" s="179"/>
    </row>
    <row r="17" spans="2:12" x14ac:dyDescent="0.2">
      <c r="B17" s="233"/>
      <c r="C17" s="50" t="s">
        <v>271</v>
      </c>
      <c r="D17" s="127" t="s">
        <v>272</v>
      </c>
      <c r="E17" s="127" t="s">
        <v>272</v>
      </c>
      <c r="F17" s="127" t="s">
        <v>272</v>
      </c>
      <c r="G17" s="127" t="s">
        <v>272</v>
      </c>
      <c r="H17" s="127" t="s">
        <v>272</v>
      </c>
    </row>
    <row r="18" spans="2:12" x14ac:dyDescent="0.2">
      <c r="B18" s="254" t="s">
        <v>273</v>
      </c>
      <c r="C18" s="128" t="s">
        <v>274</v>
      </c>
      <c r="D18" s="261">
        <v>135303503.66555798</v>
      </c>
      <c r="E18" s="101">
        <f>D23</f>
        <v>133065501.60952234</v>
      </c>
      <c r="F18" s="101">
        <f>E23</f>
        <v>129716087.4469126</v>
      </c>
      <c r="G18" s="101">
        <f>F23</f>
        <v>127931057.56470552</v>
      </c>
      <c r="H18" s="101">
        <f>G23</f>
        <v>125479722.091554</v>
      </c>
    </row>
    <row r="19" spans="2:12" x14ac:dyDescent="0.2">
      <c r="B19" s="254" t="s">
        <v>273</v>
      </c>
      <c r="C19" s="128" t="s">
        <v>275</v>
      </c>
      <c r="D19" s="261">
        <v>316916.42635555333</v>
      </c>
      <c r="E19" s="261">
        <v>-934123.65329666715</v>
      </c>
      <c r="F19" s="261">
        <v>658079.59599452419</v>
      </c>
      <c r="G19" s="261">
        <v>0</v>
      </c>
      <c r="H19" s="261">
        <v>2710210.7128063696</v>
      </c>
    </row>
    <row r="20" spans="2:12" x14ac:dyDescent="0.2">
      <c r="B20" s="259"/>
      <c r="C20" s="66" t="s">
        <v>276</v>
      </c>
      <c r="D20" s="101">
        <f>SUM(D18:D19)</f>
        <v>135620420.09191352</v>
      </c>
      <c r="E20" s="101">
        <f>SUM(E18:E19)</f>
        <v>132131377.95622568</v>
      </c>
      <c r="F20" s="101">
        <f>SUM(F18:F19)</f>
        <v>130374167.04290712</v>
      </c>
      <c r="G20" s="101">
        <f>SUM(G18:G19)</f>
        <v>127931057.56470552</v>
      </c>
      <c r="H20" s="101">
        <f>SUM(H18:H19)</f>
        <v>128189932.80436037</v>
      </c>
    </row>
    <row r="21" spans="2:12" x14ac:dyDescent="0.2">
      <c r="B21" s="254" t="s">
        <v>273</v>
      </c>
      <c r="C21" s="128" t="s">
        <v>277</v>
      </c>
      <c r="D21" s="261">
        <v>0</v>
      </c>
      <c r="E21" s="261">
        <v>0</v>
      </c>
      <c r="F21" s="261">
        <v>0</v>
      </c>
      <c r="G21" s="261">
        <v>0</v>
      </c>
      <c r="H21" s="261">
        <v>0</v>
      </c>
    </row>
    <row r="22" spans="2:12" x14ac:dyDescent="0.2">
      <c r="B22" s="254" t="s">
        <v>273</v>
      </c>
      <c r="C22" s="128" t="s">
        <v>278</v>
      </c>
      <c r="D22" s="261">
        <v>-2554918.4823911758</v>
      </c>
      <c r="E22" s="261">
        <v>-2415290.5093130772</v>
      </c>
      <c r="F22" s="261">
        <v>-2443109.4782015919</v>
      </c>
      <c r="G22" s="261">
        <v>-2451335.4731515236</v>
      </c>
      <c r="H22" s="261">
        <v>-2451335.4731515236</v>
      </c>
      <c r="L22" s="14"/>
    </row>
    <row r="23" spans="2:12" x14ac:dyDescent="0.2">
      <c r="B23" s="259"/>
      <c r="C23" s="66" t="s">
        <v>279</v>
      </c>
      <c r="D23" s="101">
        <f>SUM(D20:D22)</f>
        <v>133065501.60952234</v>
      </c>
      <c r="E23" s="101">
        <f>SUM(E20:E22)</f>
        <v>129716087.4469126</v>
      </c>
      <c r="F23" s="101">
        <f>SUM(F20:F22)</f>
        <v>127931057.56470552</v>
      </c>
      <c r="G23" s="101">
        <f>SUM(G20:G22)</f>
        <v>125479722.091554</v>
      </c>
      <c r="H23" s="101">
        <f>SUM(H20:H22)</f>
        <v>125738597.33120885</v>
      </c>
    </row>
    <row r="24" spans="2:12" x14ac:dyDescent="0.2">
      <c r="B24" s="259"/>
      <c r="C24" s="50" t="s">
        <v>280</v>
      </c>
      <c r="D24" s="179"/>
      <c r="E24" s="179"/>
      <c r="F24" s="179"/>
      <c r="G24" s="179"/>
      <c r="H24" s="179"/>
    </row>
    <row r="25" spans="2:12" x14ac:dyDescent="0.2">
      <c r="B25" s="254" t="s">
        <v>273</v>
      </c>
      <c r="C25" s="128" t="s">
        <v>274</v>
      </c>
      <c r="D25" s="261">
        <v>10938888.888888862</v>
      </c>
      <c r="E25" s="101">
        <f>D29</f>
        <v>9944444.444444418</v>
      </c>
      <c r="F25" s="101">
        <f>E29</f>
        <v>8949999.9999999758</v>
      </c>
      <c r="G25" s="101">
        <f>F29</f>
        <v>7955555.5555555327</v>
      </c>
      <c r="H25" s="101">
        <f>G29</f>
        <v>6961111.1111110896</v>
      </c>
    </row>
    <row r="26" spans="2:12" x14ac:dyDescent="0.2">
      <c r="B26" s="254" t="s">
        <v>273</v>
      </c>
      <c r="C26" s="128" t="s">
        <v>281</v>
      </c>
      <c r="D26" s="261">
        <v>0</v>
      </c>
      <c r="E26" s="261">
        <v>0</v>
      </c>
      <c r="F26" s="261">
        <v>0</v>
      </c>
      <c r="G26" s="261">
        <v>0</v>
      </c>
      <c r="H26" s="261">
        <v>0</v>
      </c>
    </row>
    <row r="27" spans="2:12" x14ac:dyDescent="0.2">
      <c r="B27" s="254" t="s">
        <v>273</v>
      </c>
      <c r="C27" s="128" t="s">
        <v>282</v>
      </c>
      <c r="D27" s="261">
        <v>-994444.4444444431</v>
      </c>
      <c r="E27" s="261">
        <v>-994444.44444444287</v>
      </c>
      <c r="F27" s="261">
        <v>-994444.44444444287</v>
      </c>
      <c r="G27" s="261">
        <v>-994444.44444444287</v>
      </c>
      <c r="H27" s="261">
        <v>-994444.44444444287</v>
      </c>
    </row>
    <row r="28" spans="2:12" x14ac:dyDescent="0.2">
      <c r="B28" s="254" t="s">
        <v>273</v>
      </c>
      <c r="C28" s="128" t="s">
        <v>283</v>
      </c>
      <c r="D28" s="261">
        <v>0</v>
      </c>
      <c r="E28" s="261">
        <v>0</v>
      </c>
      <c r="F28" s="261">
        <v>0</v>
      </c>
      <c r="G28" s="261">
        <v>0</v>
      </c>
      <c r="H28" s="261">
        <v>0</v>
      </c>
    </row>
    <row r="29" spans="2:12" x14ac:dyDescent="0.2">
      <c r="B29" s="259"/>
      <c r="C29" s="66" t="s">
        <v>284</v>
      </c>
      <c r="D29" s="101">
        <f>SUM(D25:D28)</f>
        <v>9944444.444444418</v>
      </c>
      <c r="E29" s="101">
        <f>SUM(E25:E28)</f>
        <v>8949999.9999999758</v>
      </c>
      <c r="F29" s="101">
        <f>SUM(F25:F28)</f>
        <v>7955555.5555555327</v>
      </c>
      <c r="G29" s="101">
        <f>SUM(G25:G28)</f>
        <v>6961111.1111110896</v>
      </c>
      <c r="H29" s="101">
        <f>SUM(H25:H28)</f>
        <v>5966666.6666666465</v>
      </c>
    </row>
    <row r="30" spans="2:12" x14ac:dyDescent="0.2">
      <c r="B30" s="259"/>
      <c r="C30" s="50" t="s">
        <v>285</v>
      </c>
      <c r="D30" s="179"/>
      <c r="E30" s="179"/>
      <c r="F30" s="179"/>
      <c r="G30" s="179"/>
      <c r="H30" s="179"/>
    </row>
    <row r="31" spans="2:12" x14ac:dyDescent="0.2">
      <c r="B31" s="254" t="s">
        <v>273</v>
      </c>
      <c r="C31" s="128" t="s">
        <v>274</v>
      </c>
      <c r="D31" s="261">
        <v>0</v>
      </c>
      <c r="E31" s="101">
        <f>D35</f>
        <v>0</v>
      </c>
      <c r="F31" s="101">
        <f>E35</f>
        <v>0</v>
      </c>
      <c r="G31" s="101">
        <f>F35</f>
        <v>0</v>
      </c>
      <c r="H31" s="101">
        <f>G35</f>
        <v>0</v>
      </c>
    </row>
    <row r="32" spans="2:12" x14ac:dyDescent="0.2">
      <c r="B32" s="254" t="s">
        <v>273</v>
      </c>
      <c r="C32" s="128" t="s">
        <v>286</v>
      </c>
      <c r="D32" s="261">
        <v>0</v>
      </c>
      <c r="E32" s="261">
        <v>0</v>
      </c>
      <c r="F32" s="261">
        <v>0</v>
      </c>
      <c r="G32" s="261">
        <v>0</v>
      </c>
      <c r="H32" s="261">
        <v>0</v>
      </c>
    </row>
    <row r="33" spans="2:8" ht="11.25" customHeight="1" x14ac:dyDescent="0.2">
      <c r="B33" s="254" t="s">
        <v>273</v>
      </c>
      <c r="C33" s="128" t="s">
        <v>287</v>
      </c>
      <c r="D33" s="261">
        <v>0</v>
      </c>
      <c r="E33" s="261">
        <v>0</v>
      </c>
      <c r="F33" s="261">
        <v>0</v>
      </c>
      <c r="G33" s="261">
        <v>0</v>
      </c>
      <c r="H33" s="261">
        <v>0</v>
      </c>
    </row>
    <row r="34" spans="2:8" x14ac:dyDescent="0.2">
      <c r="B34" s="254" t="s">
        <v>273</v>
      </c>
      <c r="C34" s="128" t="s">
        <v>283</v>
      </c>
      <c r="D34" s="261">
        <v>0</v>
      </c>
      <c r="E34" s="261">
        <v>0</v>
      </c>
      <c r="F34" s="261">
        <v>0</v>
      </c>
      <c r="G34" s="261">
        <v>0</v>
      </c>
      <c r="H34" s="261">
        <v>0</v>
      </c>
    </row>
    <row r="35" spans="2:8" x14ac:dyDescent="0.2">
      <c r="B35" s="259"/>
      <c r="C35" s="66" t="s">
        <v>288</v>
      </c>
      <c r="D35" s="101">
        <f>SUM(D31:D34)</f>
        <v>0</v>
      </c>
      <c r="E35" s="101">
        <f>SUM(E31:E34)</f>
        <v>0</v>
      </c>
      <c r="F35" s="101">
        <f>SUM(F31:F34)</f>
        <v>0</v>
      </c>
      <c r="G35" s="101">
        <f>SUM(G31:G34)</f>
        <v>0</v>
      </c>
      <c r="H35" s="101">
        <f>SUM(H31:H34)</f>
        <v>0</v>
      </c>
    </row>
    <row r="36" spans="2:8" x14ac:dyDescent="0.2">
      <c r="B36" s="259"/>
      <c r="C36" s="50" t="s">
        <v>289</v>
      </c>
      <c r="D36" s="179"/>
      <c r="E36" s="179"/>
      <c r="F36" s="179"/>
      <c r="G36" s="179"/>
      <c r="H36" s="179"/>
    </row>
    <row r="37" spans="2:8" x14ac:dyDescent="0.2">
      <c r="B37" s="254" t="s">
        <v>273</v>
      </c>
      <c r="C37" s="128" t="s">
        <v>274</v>
      </c>
      <c r="D37" s="261">
        <v>15081001.077430516</v>
      </c>
      <c r="E37" s="101">
        <f>D41</f>
        <v>14187721.841278639</v>
      </c>
      <c r="F37" s="101">
        <f>E41</f>
        <v>15480976.250137025</v>
      </c>
      <c r="G37" s="101">
        <f>F41</f>
        <v>16096501.742913568</v>
      </c>
      <c r="H37" s="101">
        <f>G41</f>
        <v>15682569.453806005</v>
      </c>
    </row>
    <row r="38" spans="2:8" x14ac:dyDescent="0.2">
      <c r="B38" s="254" t="s">
        <v>273</v>
      </c>
      <c r="C38" s="128" t="s">
        <v>281</v>
      </c>
      <c r="D38" s="261">
        <v>-498960.06039097789</v>
      </c>
      <c r="E38" s="261">
        <v>1653922.7953552345</v>
      </c>
      <c r="F38" s="261">
        <v>1009272.3351804946</v>
      </c>
      <c r="G38" s="261">
        <v>0</v>
      </c>
      <c r="H38" s="261">
        <v>358309.6249298359</v>
      </c>
    </row>
    <row r="39" spans="2:8" x14ac:dyDescent="0.2">
      <c r="B39" s="254" t="s">
        <v>273</v>
      </c>
      <c r="C39" s="128" t="s">
        <v>290</v>
      </c>
      <c r="D39" s="261">
        <v>-394319.17576089967</v>
      </c>
      <c r="E39" s="261">
        <v>-360668.38649684761</v>
      </c>
      <c r="F39" s="261">
        <v>-393746.84240395232</v>
      </c>
      <c r="G39" s="261">
        <v>-413932.28910756222</v>
      </c>
      <c r="H39" s="261">
        <v>-413932.28910756222</v>
      </c>
    </row>
    <row r="40" spans="2:8" x14ac:dyDescent="0.2">
      <c r="B40" s="254" t="s">
        <v>273</v>
      </c>
      <c r="C40" s="128" t="s">
        <v>283</v>
      </c>
      <c r="D40" s="261">
        <v>0</v>
      </c>
      <c r="E40" s="261">
        <v>0</v>
      </c>
      <c r="F40" s="261">
        <v>0</v>
      </c>
      <c r="G40" s="261">
        <v>0</v>
      </c>
      <c r="H40" s="261">
        <v>0</v>
      </c>
    </row>
    <row r="41" spans="2:8" ht="11.25" customHeight="1" x14ac:dyDescent="0.2">
      <c r="B41" s="259"/>
      <c r="C41" s="66" t="s">
        <v>291</v>
      </c>
      <c r="D41" s="101">
        <f>SUM(D37:D40)</f>
        <v>14187721.841278639</v>
      </c>
      <c r="E41" s="101">
        <f>SUM(E37:E40)</f>
        <v>15480976.250137025</v>
      </c>
      <c r="F41" s="101">
        <f>SUM(F37:F40)</f>
        <v>16096501.742913568</v>
      </c>
      <c r="G41" s="101">
        <f>SUM(G37:G40)</f>
        <v>15682569.453806005</v>
      </c>
      <c r="H41" s="101">
        <f>SUM(H37:H40)</f>
        <v>15626946.789628278</v>
      </c>
    </row>
    <row r="42" spans="2:8" x14ac:dyDescent="0.2">
      <c r="B42" s="259"/>
      <c r="C42" s="50" t="s">
        <v>292</v>
      </c>
      <c r="D42" s="179"/>
      <c r="E42" s="179"/>
      <c r="F42" s="179"/>
      <c r="G42" s="179"/>
      <c r="H42" s="179"/>
    </row>
    <row r="43" spans="2:8" x14ac:dyDescent="0.2">
      <c r="B43" s="254" t="s">
        <v>273</v>
      </c>
      <c r="C43" s="128" t="s">
        <v>274</v>
      </c>
      <c r="D43" s="261">
        <v>0</v>
      </c>
      <c r="E43" s="101">
        <f>D47</f>
        <v>0</v>
      </c>
      <c r="F43" s="101">
        <f>E47</f>
        <v>0</v>
      </c>
      <c r="G43" s="101">
        <f>F47</f>
        <v>0</v>
      </c>
      <c r="H43" s="101">
        <f>G47</f>
        <v>0</v>
      </c>
    </row>
    <row r="44" spans="2:8" x14ac:dyDescent="0.2">
      <c r="B44" s="254" t="s">
        <v>273</v>
      </c>
      <c r="C44" s="128" t="s">
        <v>281</v>
      </c>
      <c r="D44" s="261">
        <v>0</v>
      </c>
      <c r="E44" s="261">
        <v>0</v>
      </c>
      <c r="F44" s="261">
        <v>0</v>
      </c>
      <c r="G44" s="261">
        <v>0</v>
      </c>
      <c r="H44" s="261">
        <v>0</v>
      </c>
    </row>
    <row r="45" spans="2:8" x14ac:dyDescent="0.2">
      <c r="B45" s="254" t="s">
        <v>273</v>
      </c>
      <c r="C45" s="128" t="s">
        <v>293</v>
      </c>
      <c r="D45" s="261">
        <v>0</v>
      </c>
      <c r="E45" s="261">
        <v>0</v>
      </c>
      <c r="F45" s="261">
        <v>0</v>
      </c>
      <c r="G45" s="261">
        <v>0</v>
      </c>
      <c r="H45" s="261">
        <v>0</v>
      </c>
    </row>
    <row r="46" spans="2:8" x14ac:dyDescent="0.2">
      <c r="B46" s="254" t="s">
        <v>273</v>
      </c>
      <c r="C46" s="128" t="s">
        <v>283</v>
      </c>
      <c r="D46" s="261">
        <v>0</v>
      </c>
      <c r="E46" s="261">
        <v>0</v>
      </c>
      <c r="F46" s="261">
        <v>0</v>
      </c>
      <c r="G46" s="261">
        <v>0</v>
      </c>
      <c r="H46" s="261">
        <v>0</v>
      </c>
    </row>
    <row r="47" spans="2:8" x14ac:dyDescent="0.2">
      <c r="B47" s="259"/>
      <c r="C47" s="66" t="s">
        <v>294</v>
      </c>
      <c r="D47" s="101">
        <f>SUM(D43:D46)</f>
        <v>0</v>
      </c>
      <c r="E47" s="101">
        <f>SUM(E43:E46)</f>
        <v>0</v>
      </c>
      <c r="F47" s="101">
        <f>SUM(F43:F46)</f>
        <v>0</v>
      </c>
      <c r="G47" s="101">
        <f>SUM(G43:G46)</f>
        <v>0</v>
      </c>
      <c r="H47" s="101">
        <f>SUM(H43:H46)</f>
        <v>0</v>
      </c>
    </row>
    <row r="48" spans="2:8" x14ac:dyDescent="0.2">
      <c r="B48" s="259"/>
      <c r="C48" s="50" t="s">
        <v>295</v>
      </c>
      <c r="D48" s="179"/>
      <c r="E48" s="179"/>
      <c r="F48" s="179"/>
      <c r="G48" s="179"/>
      <c r="H48" s="179"/>
    </row>
    <row r="49" spans="2:8" ht="11.25" customHeight="1" x14ac:dyDescent="0.2">
      <c r="B49" s="254" t="s">
        <v>273</v>
      </c>
      <c r="C49" s="128" t="s">
        <v>274</v>
      </c>
      <c r="D49" s="261">
        <v>4010298.3206612524</v>
      </c>
      <c r="E49" s="101">
        <f>D53</f>
        <v>1137751.0280903219</v>
      </c>
      <c r="F49" s="101">
        <f>E53</f>
        <v>1020065.5004647013</v>
      </c>
      <c r="G49" s="101">
        <f>F53</f>
        <v>1743134.0011742271</v>
      </c>
      <c r="H49" s="101">
        <f>G53</f>
        <v>1569398.2049929302</v>
      </c>
    </row>
    <row r="50" spans="2:8" x14ac:dyDescent="0.2">
      <c r="B50" s="254" t="s">
        <v>273</v>
      </c>
      <c r="C50" s="128" t="s">
        <v>281</v>
      </c>
      <c r="D50" s="261">
        <v>-2433030.9841859448</v>
      </c>
      <c r="E50" s="261">
        <v>0</v>
      </c>
      <c r="F50" s="261">
        <v>840754.02833514626</v>
      </c>
      <c r="G50" s="261">
        <v>0</v>
      </c>
      <c r="H50" s="261">
        <v>390022.05781913706</v>
      </c>
    </row>
    <row r="51" spans="2:8" x14ac:dyDescent="0.2">
      <c r="B51" s="254" t="s">
        <v>273</v>
      </c>
      <c r="C51" s="128" t="s">
        <v>296</v>
      </c>
      <c r="D51" s="261">
        <v>-439516.30838498566</v>
      </c>
      <c r="E51" s="261">
        <v>-117685.5276256206</v>
      </c>
      <c r="F51" s="261">
        <v>-117685.5276256206</v>
      </c>
      <c r="G51" s="261">
        <v>-173735.79618129702</v>
      </c>
      <c r="H51" s="261">
        <v>-173735.79618129702</v>
      </c>
    </row>
    <row r="52" spans="2:8" x14ac:dyDescent="0.2">
      <c r="B52" s="254" t="s">
        <v>273</v>
      </c>
      <c r="C52" s="128" t="s">
        <v>283</v>
      </c>
      <c r="D52" s="261">
        <v>0</v>
      </c>
      <c r="E52" s="261">
        <v>0</v>
      </c>
      <c r="F52" s="261">
        <v>0</v>
      </c>
      <c r="G52" s="261">
        <v>0</v>
      </c>
      <c r="H52" s="261">
        <v>0</v>
      </c>
    </row>
    <row r="53" spans="2:8" x14ac:dyDescent="0.2">
      <c r="B53" s="259"/>
      <c r="C53" s="66" t="s">
        <v>297</v>
      </c>
      <c r="D53" s="101">
        <f>SUM(D49:D52)</f>
        <v>1137751.0280903219</v>
      </c>
      <c r="E53" s="101">
        <f>SUM(E49:E52)</f>
        <v>1020065.5004647013</v>
      </c>
      <c r="F53" s="101">
        <f>SUM(F49:F52)</f>
        <v>1743134.0011742271</v>
      </c>
      <c r="G53" s="101">
        <f>SUM(G49:G52)</f>
        <v>1569398.2049929302</v>
      </c>
      <c r="H53" s="101">
        <f>SUM(H49:H52)</f>
        <v>1785684.4666307704</v>
      </c>
    </row>
    <row r="54" spans="2:8" x14ac:dyDescent="0.2">
      <c r="B54" s="259"/>
      <c r="C54" s="50" t="s">
        <v>298</v>
      </c>
      <c r="D54" s="179"/>
      <c r="E54" s="179"/>
      <c r="F54" s="179"/>
      <c r="G54" s="179"/>
      <c r="H54" s="179"/>
    </row>
    <row r="55" spans="2:8" x14ac:dyDescent="0.2">
      <c r="B55" s="254" t="s">
        <v>273</v>
      </c>
      <c r="C55" s="128" t="s">
        <v>274</v>
      </c>
      <c r="D55" s="261">
        <v>3317400.268215091</v>
      </c>
      <c r="E55" s="101">
        <f>D59</f>
        <v>3206265.9541520178</v>
      </c>
      <c r="F55" s="101">
        <f>E59</f>
        <v>2185559.3314220384</v>
      </c>
      <c r="G55" s="101">
        <f>F59</f>
        <v>5599917.831918411</v>
      </c>
      <c r="H55" s="101">
        <f>G59</f>
        <v>5460928.7841695352</v>
      </c>
    </row>
    <row r="56" spans="2:8" x14ac:dyDescent="0.2">
      <c r="B56" s="254" t="s">
        <v>273</v>
      </c>
      <c r="C56" s="128" t="s">
        <v>281</v>
      </c>
      <c r="D56" s="261">
        <v>0</v>
      </c>
      <c r="E56" s="261">
        <v>-968384.588352939</v>
      </c>
      <c r="F56" s="261">
        <v>3466680.5348734134</v>
      </c>
      <c r="G56" s="261">
        <v>0</v>
      </c>
      <c r="H56" s="261">
        <v>88006.213284270052</v>
      </c>
    </row>
    <row r="57" spans="2:8" ht="11.25" customHeight="1" x14ac:dyDescent="0.2">
      <c r="B57" s="254" t="s">
        <v>273</v>
      </c>
      <c r="C57" s="128" t="s">
        <v>299</v>
      </c>
      <c r="D57" s="261">
        <v>-111134.31406307295</v>
      </c>
      <c r="E57" s="261">
        <v>-52322.034377040283</v>
      </c>
      <c r="F57" s="261">
        <v>-52322.034377040283</v>
      </c>
      <c r="G57" s="261">
        <v>-138989.0477488756</v>
      </c>
      <c r="H57" s="261">
        <v>-138989.0477488756</v>
      </c>
    </row>
    <row r="58" spans="2:8" x14ac:dyDescent="0.2">
      <c r="B58" s="254" t="s">
        <v>273</v>
      </c>
      <c r="C58" s="128" t="s">
        <v>283</v>
      </c>
      <c r="D58" s="261">
        <v>0</v>
      </c>
      <c r="E58" s="261">
        <v>0</v>
      </c>
      <c r="F58" s="261">
        <v>0</v>
      </c>
      <c r="G58" s="261">
        <v>0</v>
      </c>
      <c r="H58" s="261">
        <v>0</v>
      </c>
    </row>
    <row r="59" spans="2:8" x14ac:dyDescent="0.2">
      <c r="B59" s="259"/>
      <c r="C59" s="66" t="s">
        <v>300</v>
      </c>
      <c r="D59" s="101">
        <f>SUM(D55:D58)</f>
        <v>3206265.9541520178</v>
      </c>
      <c r="E59" s="101">
        <f>SUM(E55:E58)</f>
        <v>2185559.3314220384</v>
      </c>
      <c r="F59" s="101">
        <f>SUM(F55:F58)</f>
        <v>5599917.831918411</v>
      </c>
      <c r="G59" s="101">
        <f>SUM(G55:G58)</f>
        <v>5460928.7841695352</v>
      </c>
      <c r="H59" s="101">
        <f>SUM(H55:H58)</f>
        <v>5409945.9497049293</v>
      </c>
    </row>
    <row r="60" spans="2:8" x14ac:dyDescent="0.2">
      <c r="B60" s="259"/>
      <c r="C60" s="50" t="s">
        <v>301</v>
      </c>
      <c r="D60" s="179"/>
      <c r="E60" s="179"/>
      <c r="F60" s="179"/>
      <c r="G60" s="179"/>
      <c r="H60" s="179"/>
    </row>
    <row r="61" spans="2:8" x14ac:dyDescent="0.2">
      <c r="B61" s="254" t="s">
        <v>273</v>
      </c>
      <c r="C61" s="128" t="s">
        <v>274</v>
      </c>
      <c r="D61" s="261">
        <v>0</v>
      </c>
      <c r="E61" s="101">
        <f>D65</f>
        <v>0</v>
      </c>
      <c r="F61" s="101">
        <f>E65</f>
        <v>0</v>
      </c>
      <c r="G61" s="101">
        <f>F65</f>
        <v>0</v>
      </c>
      <c r="H61" s="101">
        <f>G65</f>
        <v>0</v>
      </c>
    </row>
    <row r="62" spans="2:8" x14ac:dyDescent="0.2">
      <c r="B62" s="254" t="s">
        <v>273</v>
      </c>
      <c r="C62" s="128" t="s">
        <v>281</v>
      </c>
      <c r="D62" s="261">
        <v>0</v>
      </c>
      <c r="E62" s="261">
        <v>0</v>
      </c>
      <c r="F62" s="261">
        <v>0</v>
      </c>
      <c r="G62" s="261">
        <v>0</v>
      </c>
      <c r="H62" s="261">
        <v>0</v>
      </c>
    </row>
    <row r="63" spans="2:8" ht="11.25" customHeight="1" x14ac:dyDescent="0.2">
      <c r="B63" s="254" t="s">
        <v>273</v>
      </c>
      <c r="C63" s="128" t="s">
        <v>302</v>
      </c>
      <c r="D63" s="261">
        <v>0</v>
      </c>
      <c r="E63" s="261">
        <v>0</v>
      </c>
      <c r="F63" s="261">
        <v>0</v>
      </c>
      <c r="G63" s="261">
        <v>0</v>
      </c>
      <c r="H63" s="261">
        <v>0</v>
      </c>
    </row>
    <row r="64" spans="2:8" ht="11.25" customHeight="1" x14ac:dyDescent="0.2">
      <c r="B64" s="254" t="s">
        <v>273</v>
      </c>
      <c r="C64" s="128" t="s">
        <v>283</v>
      </c>
      <c r="D64" s="261">
        <v>0</v>
      </c>
      <c r="E64" s="261">
        <v>0</v>
      </c>
      <c r="F64" s="261">
        <v>0</v>
      </c>
      <c r="G64" s="261">
        <v>0</v>
      </c>
      <c r="H64" s="261">
        <v>0</v>
      </c>
    </row>
    <row r="65" spans="2:8" ht="11.25" customHeight="1" x14ac:dyDescent="0.2">
      <c r="B65" s="259"/>
      <c r="C65" s="66" t="s">
        <v>303</v>
      </c>
      <c r="D65" s="101">
        <f>SUM(D61:D64)</f>
        <v>0</v>
      </c>
      <c r="E65" s="101">
        <f>SUM(E61:E64)</f>
        <v>0</v>
      </c>
      <c r="F65" s="101">
        <f>SUM(F61:F64)</f>
        <v>0</v>
      </c>
      <c r="G65" s="101">
        <f>SUM(G61:G64)</f>
        <v>0</v>
      </c>
      <c r="H65" s="101">
        <f>SUM(H61:H64)</f>
        <v>0</v>
      </c>
    </row>
    <row r="66" spans="2:8" x14ac:dyDescent="0.2">
      <c r="B66" s="259"/>
      <c r="C66" s="50" t="s">
        <v>304</v>
      </c>
      <c r="D66" s="179"/>
      <c r="E66" s="179"/>
      <c r="F66" s="179"/>
      <c r="G66" s="179"/>
      <c r="H66" s="179"/>
    </row>
    <row r="67" spans="2:8" x14ac:dyDescent="0.2">
      <c r="B67" s="254" t="s">
        <v>273</v>
      </c>
      <c r="C67" s="128" t="s">
        <v>274</v>
      </c>
      <c r="D67" s="261">
        <v>7259562.7229144666</v>
      </c>
      <c r="E67" s="101">
        <f>D71</f>
        <v>8833626.0201629363</v>
      </c>
      <c r="F67" s="101">
        <f>E71</f>
        <v>9500462.5790223274</v>
      </c>
      <c r="G67" s="101">
        <f>F71</f>
        <v>11865056.463772088</v>
      </c>
      <c r="H67" s="101">
        <f>G71</f>
        <v>10315756.061437976</v>
      </c>
    </row>
    <row r="68" spans="2:8" x14ac:dyDescent="0.2">
      <c r="B68" s="254" t="s">
        <v>273</v>
      </c>
      <c r="C68" s="128" t="s">
        <v>281</v>
      </c>
      <c r="D68" s="261">
        <v>2725788.4121658616</v>
      </c>
      <c r="E68" s="261">
        <v>1917132.4281478415</v>
      </c>
      <c r="F68" s="261">
        <v>3614678.3228077502</v>
      </c>
      <c r="G68" s="261">
        <v>521010.34588427015</v>
      </c>
      <c r="H68" s="261">
        <v>1733817.6398161885</v>
      </c>
    </row>
    <row r="69" spans="2:8" x14ac:dyDescent="0.2">
      <c r="B69" s="254" t="s">
        <v>273</v>
      </c>
      <c r="C69" s="128" t="s">
        <v>305</v>
      </c>
      <c r="D69" s="261">
        <v>-1151725.1149173924</v>
      </c>
      <c r="E69" s="261">
        <v>-1213098.9375468595</v>
      </c>
      <c r="F69" s="261">
        <v>-1249658.8920437878</v>
      </c>
      <c r="G69" s="261">
        <v>-1458929.9354768144</v>
      </c>
      <c r="H69" s="261">
        <v>-1408226.4116203615</v>
      </c>
    </row>
    <row r="70" spans="2:8" x14ac:dyDescent="0.2">
      <c r="B70" s="254" t="s">
        <v>273</v>
      </c>
      <c r="C70" s="128" t="s">
        <v>283</v>
      </c>
      <c r="D70" s="261">
        <v>0</v>
      </c>
      <c r="E70" s="261">
        <v>-37196.931741590146</v>
      </c>
      <c r="F70" s="261">
        <v>-425.54601420092052</v>
      </c>
      <c r="G70" s="261">
        <v>-611380.81274157076</v>
      </c>
      <c r="H70" s="261">
        <v>-325040.48255008669</v>
      </c>
    </row>
    <row r="71" spans="2:8" x14ac:dyDescent="0.2">
      <c r="B71" s="259"/>
      <c r="C71" s="66" t="s">
        <v>306</v>
      </c>
      <c r="D71" s="101">
        <f>SUM(D67:D70)</f>
        <v>8833626.0201629363</v>
      </c>
      <c r="E71" s="101">
        <f>SUM(E67:E70)</f>
        <v>9500462.5790223274</v>
      </c>
      <c r="F71" s="101">
        <f>SUM(F67:F70)</f>
        <v>11865056.463772088</v>
      </c>
      <c r="G71" s="101">
        <f>SUM(G67:G70)</f>
        <v>10315756.061437976</v>
      </c>
      <c r="H71" s="101">
        <f>SUM(H67:H70)</f>
        <v>10316306.807083717</v>
      </c>
    </row>
    <row r="72" spans="2:8" x14ac:dyDescent="0.2">
      <c r="B72" s="259"/>
      <c r="C72" s="50" t="s">
        <v>307</v>
      </c>
      <c r="D72" s="179"/>
      <c r="E72" s="179"/>
      <c r="F72" s="179"/>
      <c r="G72" s="179"/>
      <c r="H72" s="179"/>
    </row>
    <row r="73" spans="2:8" ht="11.25" customHeight="1" x14ac:dyDescent="0.2">
      <c r="B73" s="254" t="s">
        <v>273</v>
      </c>
      <c r="C73" s="128" t="s">
        <v>274</v>
      </c>
      <c r="D73" s="261">
        <v>0</v>
      </c>
      <c r="E73" s="101">
        <f>D77</f>
        <v>0</v>
      </c>
      <c r="F73" s="101">
        <f>E77</f>
        <v>0</v>
      </c>
      <c r="G73" s="101">
        <f>F77</f>
        <v>0</v>
      </c>
      <c r="H73" s="101">
        <f>G77</f>
        <v>0</v>
      </c>
    </row>
    <row r="74" spans="2:8" x14ac:dyDescent="0.2">
      <c r="B74" s="254" t="s">
        <v>273</v>
      </c>
      <c r="C74" s="128" t="s">
        <v>281</v>
      </c>
      <c r="D74" s="261">
        <v>0</v>
      </c>
      <c r="E74" s="261">
        <v>0</v>
      </c>
      <c r="F74" s="261">
        <v>0</v>
      </c>
      <c r="G74" s="261">
        <v>0</v>
      </c>
      <c r="H74" s="261">
        <v>0</v>
      </c>
    </row>
    <row r="75" spans="2:8" x14ac:dyDescent="0.2">
      <c r="B75" s="254" t="s">
        <v>273</v>
      </c>
      <c r="C75" s="128" t="s">
        <v>305</v>
      </c>
      <c r="D75" s="261">
        <v>0</v>
      </c>
      <c r="E75" s="261">
        <v>0</v>
      </c>
      <c r="F75" s="261">
        <v>0</v>
      </c>
      <c r="G75" s="261">
        <v>0</v>
      </c>
      <c r="H75" s="261">
        <v>0</v>
      </c>
    </row>
    <row r="76" spans="2:8" x14ac:dyDescent="0.2">
      <c r="B76" s="254" t="s">
        <v>273</v>
      </c>
      <c r="C76" s="128" t="s">
        <v>283</v>
      </c>
      <c r="D76" s="261">
        <v>0</v>
      </c>
      <c r="E76" s="261">
        <v>0</v>
      </c>
      <c r="F76" s="261">
        <v>0</v>
      </c>
      <c r="G76" s="261">
        <v>0</v>
      </c>
      <c r="H76" s="261">
        <v>0</v>
      </c>
    </row>
    <row r="77" spans="2:8" x14ac:dyDescent="0.2">
      <c r="B77" s="259"/>
      <c r="C77" s="66" t="s">
        <v>308</v>
      </c>
      <c r="D77" s="101">
        <f>SUM(D73:D76)</f>
        <v>0</v>
      </c>
      <c r="E77" s="101">
        <f>SUM(E73:E76)</f>
        <v>0</v>
      </c>
      <c r="F77" s="101">
        <f>SUM(F73:F76)</f>
        <v>0</v>
      </c>
      <c r="G77" s="101">
        <f>SUM(G73:G76)</f>
        <v>0</v>
      </c>
      <c r="H77" s="101">
        <f>SUM(H73:H76)</f>
        <v>0</v>
      </c>
    </row>
    <row r="78" spans="2:8" x14ac:dyDescent="0.2">
      <c r="B78" s="259"/>
      <c r="C78" s="66" t="s">
        <v>309</v>
      </c>
      <c r="D78" s="101">
        <f>SUM(D23,D29,D35,D41,D47,D53,D59,D65,D71,D77)</f>
        <v>170375310.89765069</v>
      </c>
      <c r="E78" s="101">
        <f>SUM(E23,E29,E35,E41,E47,E53,E59,E65,E71,E77)</f>
        <v>166853151.10795867</v>
      </c>
      <c r="F78" s="101">
        <f>SUM(F23,F29,F35,F41,F47,F53,F59,F65,F71,F77)</f>
        <v>171191223.16003937</v>
      </c>
      <c r="G78" s="101">
        <f>SUM(G23,G29,G35,G41,G47,G53,G59,G65,G71,G77)</f>
        <v>165469485.70707151</v>
      </c>
      <c r="H78" s="101">
        <f>SUM(H23,H29,H35,H41,H47,H53,H59,H65,H71,H77)</f>
        <v>164844148.01092318</v>
      </c>
    </row>
    <row r="79" spans="2:8" x14ac:dyDescent="0.2">
      <c r="B79" s="259"/>
      <c r="C79" s="50" t="s">
        <v>310</v>
      </c>
      <c r="D79" s="179"/>
      <c r="E79" s="179"/>
      <c r="F79" s="179"/>
      <c r="G79" s="179"/>
      <c r="H79" s="179"/>
    </row>
    <row r="80" spans="2:8" ht="11.25" customHeight="1" x14ac:dyDescent="0.2">
      <c r="B80" s="254" t="s">
        <v>273</v>
      </c>
      <c r="C80" s="128" t="s">
        <v>274</v>
      </c>
      <c r="D80" s="261">
        <v>0</v>
      </c>
      <c r="E80" s="101">
        <f>D84</f>
        <v>0</v>
      </c>
      <c r="F80" s="101">
        <f>E84</f>
        <v>0</v>
      </c>
      <c r="G80" s="101">
        <f>F84</f>
        <v>0</v>
      </c>
      <c r="H80" s="101">
        <f>G84</f>
        <v>0</v>
      </c>
    </row>
    <row r="81" spans="2:8" x14ac:dyDescent="0.2">
      <c r="B81" s="254" t="s">
        <v>273</v>
      </c>
      <c r="C81" s="128" t="s">
        <v>281</v>
      </c>
      <c r="D81" s="261">
        <v>0</v>
      </c>
      <c r="E81" s="261">
        <v>0</v>
      </c>
      <c r="F81" s="261">
        <v>0</v>
      </c>
      <c r="G81" s="261">
        <v>0</v>
      </c>
      <c r="H81" s="261">
        <v>0</v>
      </c>
    </row>
    <row r="82" spans="2:8" x14ac:dyDescent="0.2">
      <c r="B82" s="254" t="s">
        <v>273</v>
      </c>
      <c r="C82" s="128" t="s">
        <v>311</v>
      </c>
      <c r="D82" s="261">
        <v>0</v>
      </c>
      <c r="E82" s="261">
        <v>0</v>
      </c>
      <c r="F82" s="261">
        <v>0</v>
      </c>
      <c r="G82" s="261">
        <v>0</v>
      </c>
      <c r="H82" s="261">
        <v>0</v>
      </c>
    </row>
    <row r="83" spans="2:8" s="219" customFormat="1" x14ac:dyDescent="0.2">
      <c r="B83" s="254" t="s">
        <v>273</v>
      </c>
      <c r="C83" s="128" t="s">
        <v>312</v>
      </c>
      <c r="D83" s="261">
        <v>0</v>
      </c>
      <c r="E83" s="261">
        <v>0</v>
      </c>
      <c r="F83" s="261">
        <v>0</v>
      </c>
      <c r="G83" s="261">
        <v>0</v>
      </c>
      <c r="H83" s="261">
        <v>0</v>
      </c>
    </row>
    <row r="84" spans="2:8" s="219" customFormat="1" x14ac:dyDescent="0.2">
      <c r="B84" s="259"/>
      <c r="C84" s="66" t="s">
        <v>313</v>
      </c>
      <c r="D84" s="101">
        <f>SUM(D80:D83)</f>
        <v>0</v>
      </c>
      <c r="E84" s="101">
        <f>SUM(E80:E83)</f>
        <v>0</v>
      </c>
      <c r="F84" s="101">
        <f>SUM(F80:F83)</f>
        <v>0</v>
      </c>
      <c r="G84" s="101">
        <f>SUM(G80:G83)</f>
        <v>0</v>
      </c>
      <c r="H84" s="101">
        <f>SUM(H80:H83)</f>
        <v>0</v>
      </c>
    </row>
    <row r="85" spans="2:8" s="219" customFormat="1" x14ac:dyDescent="0.2">
      <c r="B85" s="259"/>
      <c r="C85" s="50" t="s">
        <v>314</v>
      </c>
      <c r="D85" s="179"/>
      <c r="E85" s="179"/>
      <c r="F85" s="179"/>
      <c r="G85" s="179"/>
      <c r="H85" s="179"/>
    </row>
    <row r="86" spans="2:8" s="219" customFormat="1" x14ac:dyDescent="0.2">
      <c r="B86" s="254" t="s">
        <v>273</v>
      </c>
      <c r="C86" s="128" t="s">
        <v>274</v>
      </c>
      <c r="D86" s="261">
        <v>0</v>
      </c>
      <c r="E86" s="101">
        <f>D90</f>
        <v>0</v>
      </c>
      <c r="F86" s="101">
        <f>E90</f>
        <v>3898326.4189689956</v>
      </c>
      <c r="G86" s="101">
        <f>F90</f>
        <v>3773513.6127234087</v>
      </c>
      <c r="H86" s="101">
        <f>G90</f>
        <v>7050518.6198137943</v>
      </c>
    </row>
    <row r="87" spans="2:8" s="219" customFormat="1" x14ac:dyDescent="0.2">
      <c r="B87" s="254" t="s">
        <v>273</v>
      </c>
      <c r="C87" s="128" t="s">
        <v>281</v>
      </c>
      <c r="D87" s="261">
        <v>0</v>
      </c>
      <c r="E87" s="261">
        <v>4261402.3599488912</v>
      </c>
      <c r="F87" s="261">
        <v>238263.13473430881</v>
      </c>
      <c r="G87" s="261">
        <v>3640080.9480702807</v>
      </c>
      <c r="H87" s="261">
        <v>168221.86731966145</v>
      </c>
    </row>
    <row r="88" spans="2:8" s="219" customFormat="1" x14ac:dyDescent="0.2">
      <c r="B88" s="254" t="s">
        <v>273</v>
      </c>
      <c r="C88" s="128" t="s">
        <v>305</v>
      </c>
      <c r="D88" s="261">
        <v>0</v>
      </c>
      <c r="E88" s="261">
        <v>-363075.94097989559</v>
      </c>
      <c r="F88" s="261">
        <v>-363075.94097989559</v>
      </c>
      <c r="G88" s="261">
        <v>-363075.94097989559</v>
      </c>
      <c r="H88" s="261">
        <v>-363075.94097989559</v>
      </c>
    </row>
    <row r="89" spans="2:8" x14ac:dyDescent="0.2">
      <c r="B89" s="254" t="s">
        <v>273</v>
      </c>
      <c r="C89" s="128" t="s">
        <v>283</v>
      </c>
      <c r="D89" s="261"/>
      <c r="E89" s="261"/>
      <c r="F89" s="261"/>
      <c r="G89" s="261"/>
      <c r="H89" s="261"/>
    </row>
    <row r="90" spans="2:8" x14ac:dyDescent="0.2">
      <c r="B90" s="233"/>
      <c r="C90" s="66" t="s">
        <v>315</v>
      </c>
      <c r="D90" s="101">
        <f>SUM(D86:D89)</f>
        <v>0</v>
      </c>
      <c r="E90" s="101">
        <f>SUM(E86:E89)</f>
        <v>3898326.4189689956</v>
      </c>
      <c r="F90" s="101">
        <f>SUM(F86:F89)</f>
        <v>3773513.6127234087</v>
      </c>
      <c r="G90" s="101">
        <f>SUM(G86:G89)</f>
        <v>7050518.6198137943</v>
      </c>
      <c r="H90" s="101">
        <f>SUM(H86:H89)</f>
        <v>6855664.5461535603</v>
      </c>
    </row>
    <row r="91" spans="2:8" x14ac:dyDescent="0.2">
      <c r="B91" s="294"/>
      <c r="C91" s="128" t="s">
        <v>316</v>
      </c>
      <c r="D91" s="261">
        <v>0</v>
      </c>
      <c r="E91" s="101">
        <f>D93</f>
        <v>0</v>
      </c>
      <c r="F91" s="101">
        <f>E93</f>
        <v>0</v>
      </c>
      <c r="G91" s="101">
        <f>F93</f>
        <v>0</v>
      </c>
      <c r="H91" s="101">
        <f>G93</f>
        <v>0</v>
      </c>
    </row>
    <row r="92" spans="2:8" x14ac:dyDescent="0.2">
      <c r="B92" s="294"/>
      <c r="C92" s="128" t="s">
        <v>317</v>
      </c>
      <c r="D92" s="261">
        <v>0</v>
      </c>
      <c r="E92" s="261">
        <v>0</v>
      </c>
      <c r="F92" s="261">
        <v>0</v>
      </c>
      <c r="G92" s="261">
        <v>0</v>
      </c>
      <c r="H92" s="261">
        <v>0</v>
      </c>
    </row>
    <row r="93" spans="2:8" x14ac:dyDescent="0.2">
      <c r="B93" s="233"/>
      <c r="C93" s="66" t="s">
        <v>318</v>
      </c>
      <c r="D93" s="101">
        <f>SUM(D91:D92)</f>
        <v>0</v>
      </c>
      <c r="E93" s="101">
        <f>SUM(E91:E92)</f>
        <v>0</v>
      </c>
      <c r="F93" s="101">
        <f>SUM(F91:F92)</f>
        <v>0</v>
      </c>
      <c r="G93" s="101">
        <f>SUM(G91:G92)</f>
        <v>0</v>
      </c>
      <c r="H93" s="101">
        <f>SUM(H91:H92)</f>
        <v>0</v>
      </c>
    </row>
    <row r="94" spans="2:8" x14ac:dyDescent="0.2">
      <c r="B94" s="233"/>
      <c r="C94" s="66" t="s">
        <v>319</v>
      </c>
      <c r="D94" s="101">
        <f>SUM(D84,D90,D93)</f>
        <v>0</v>
      </c>
      <c r="E94" s="101">
        <f>SUM(E84,E90,E93)</f>
        <v>3898326.4189689956</v>
      </c>
      <c r="F94" s="101">
        <f>SUM(F84,F90,F93)</f>
        <v>3773513.6127234087</v>
      </c>
      <c r="G94" s="101">
        <f>SUM(G84,G90,G93)</f>
        <v>7050518.6198137943</v>
      </c>
      <c r="H94" s="101">
        <f>SUM(H84,H90,H93)</f>
        <v>6855664.5461535603</v>
      </c>
    </row>
    <row r="95" spans="2:8" x14ac:dyDescent="0.2">
      <c r="B95" s="233"/>
      <c r="C95" s="66" t="s">
        <v>320</v>
      </c>
      <c r="D95" s="101">
        <f>D78+D94</f>
        <v>170375310.89765069</v>
      </c>
      <c r="E95" s="101">
        <f>E78+E94</f>
        <v>170751477.52692768</v>
      </c>
      <c r="F95" s="101">
        <f>F78+F94</f>
        <v>174964736.77276278</v>
      </c>
      <c r="G95" s="101">
        <f>G78+G94</f>
        <v>172520004.32688531</v>
      </c>
      <c r="H95" s="101">
        <f>H78+H94</f>
        <v>171699812.55707675</v>
      </c>
    </row>
    <row r="119" spans="3:3" x14ac:dyDescent="0.2">
      <c r="C119" s="220"/>
    </row>
  </sheetData>
  <sheetProtection sheet="1"/>
  <mergeCells count="3">
    <mergeCell ref="B12:C12"/>
    <mergeCell ref="D14:H14"/>
    <mergeCell ref="B7:D9"/>
  </mergeCells>
  <pageMargins left="0.75" right="0.75" top="1" bottom="1" header="0.5" footer="0.5"/>
  <pageSetup paperSize="9" scale="47" orientation="landscape" verticalDpi="2" r:id="rId1"/>
  <headerFooter alignWithMargins="0">
    <oddFooter>&amp;C_x000D_&amp;1#&amp;"Calibri"&amp;10&amp;K008000 APA-INTERNAL</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78DE2-36BE-47B6-BF9A-08D158C41198}">
  <sheetPr codeName="Sheet12">
    <tabColor rgb="FF17415D"/>
  </sheetPr>
  <dimension ref="B1:G39"/>
  <sheetViews>
    <sheetView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140625" style="169" customWidth="1"/>
    <col min="2" max="2" width="21" style="169" customWidth="1"/>
    <col min="3" max="6" width="42.28515625" style="169" customWidth="1"/>
    <col min="7" max="7" width="9.42578125" style="169" customWidth="1"/>
    <col min="8" max="8" width="25.140625" style="169" customWidth="1"/>
    <col min="9" max="16384" width="9.140625" style="169"/>
  </cols>
  <sheetData>
    <row r="1" spans="2:6" ht="20.25" customHeight="1" x14ac:dyDescent="0.2">
      <c r="B1" s="103" t="s">
        <v>66</v>
      </c>
      <c r="C1" s="103"/>
    </row>
    <row r="2" spans="2:6" ht="20.25" x14ac:dyDescent="0.2">
      <c r="B2" s="103" t="str">
        <f>IF(Tradingname=0," ",Tradingname)</f>
        <v>APT PIPELINES (NT) PTY LIMITED</v>
      </c>
      <c r="C2" s="103"/>
    </row>
    <row r="3" spans="2:6" ht="20.25" x14ac:dyDescent="0.3">
      <c r="B3" s="103" t="s">
        <v>44</v>
      </c>
      <c r="C3" s="80">
        <f>IF(Yearending=0, "01/01/2000", Yearending)</f>
        <v>45838</v>
      </c>
    </row>
    <row r="4" spans="2:6" ht="20.25" x14ac:dyDescent="0.2">
      <c r="B4" s="72" t="s">
        <v>321</v>
      </c>
      <c r="C4" s="72"/>
    </row>
    <row r="7" spans="2:6" ht="15.75" x14ac:dyDescent="0.25">
      <c r="B7" s="171" t="s">
        <v>322</v>
      </c>
      <c r="C7" s="263"/>
      <c r="D7" s="263"/>
      <c r="E7" s="263"/>
    </row>
    <row r="8" spans="2:6" ht="15.75" x14ac:dyDescent="0.25">
      <c r="B8" s="171"/>
      <c r="C8" s="263"/>
      <c r="D8" s="263"/>
      <c r="E8" s="263"/>
    </row>
    <row r="9" spans="2:6" ht="25.5" x14ac:dyDescent="0.2">
      <c r="B9" s="39" t="s">
        <v>128</v>
      </c>
      <c r="C9" s="39" t="s">
        <v>323</v>
      </c>
      <c r="D9" s="39" t="s">
        <v>324</v>
      </c>
      <c r="E9" s="39" t="s">
        <v>325</v>
      </c>
      <c r="F9" s="51" t="s">
        <v>326</v>
      </c>
    </row>
    <row r="10" spans="2:6" x14ac:dyDescent="0.2">
      <c r="B10" s="41"/>
      <c r="C10" s="41"/>
      <c r="D10" s="44"/>
      <c r="E10" s="221" t="s">
        <v>327</v>
      </c>
      <c r="F10" s="222"/>
    </row>
    <row r="11" spans="2:6" x14ac:dyDescent="0.2">
      <c r="B11" s="260" t="s">
        <v>328</v>
      </c>
      <c r="C11" s="296" t="str">
        <f>'3.1 Depreciated Book Value'!C17</f>
        <v xml:space="preserve">Pipelines </v>
      </c>
      <c r="D11" s="244" t="s">
        <v>741</v>
      </c>
      <c r="E11" s="297">
        <v>80</v>
      </c>
      <c r="F11" s="245" t="s">
        <v>329</v>
      </c>
    </row>
    <row r="12" spans="2:6" x14ac:dyDescent="0.2">
      <c r="B12" s="260" t="s">
        <v>328</v>
      </c>
      <c r="C12" s="296" t="str">
        <f>'3.1 Depreciated Book Value'!C26</f>
        <v xml:space="preserve">Compressors </v>
      </c>
      <c r="D12" s="244" t="s">
        <v>742</v>
      </c>
      <c r="E12" s="297">
        <v>30</v>
      </c>
      <c r="F12" s="245" t="s">
        <v>329</v>
      </c>
    </row>
    <row r="13" spans="2:6" x14ac:dyDescent="0.2">
      <c r="B13" s="260" t="s">
        <v>328</v>
      </c>
      <c r="C13" s="296" t="str">
        <f>'3.1 Depreciated Book Value'!C34</f>
        <v xml:space="preserve">City Gates, supply regulators and valve stations </v>
      </c>
      <c r="D13" s="244" t="s">
        <v>330</v>
      </c>
      <c r="E13" s="297" t="s">
        <v>330</v>
      </c>
      <c r="F13" s="245" t="s">
        <v>330</v>
      </c>
    </row>
    <row r="14" spans="2:6" x14ac:dyDescent="0.2">
      <c r="B14" s="260" t="s">
        <v>328</v>
      </c>
      <c r="C14" s="296" t="str">
        <f>'3.1 Depreciated Book Value'!C42</f>
        <v xml:space="preserve">Metering </v>
      </c>
      <c r="D14" s="244" t="s">
        <v>741</v>
      </c>
      <c r="E14" s="297">
        <v>50</v>
      </c>
      <c r="F14" s="245" t="s">
        <v>329</v>
      </c>
    </row>
    <row r="15" spans="2:6" x14ac:dyDescent="0.2">
      <c r="B15" s="260" t="s">
        <v>328</v>
      </c>
      <c r="C15" s="296" t="str">
        <f>'3.1 Depreciated Book Value'!C50</f>
        <v xml:space="preserve">Odorant plants </v>
      </c>
      <c r="D15" s="244" t="s">
        <v>330</v>
      </c>
      <c r="E15" s="297" t="s">
        <v>330</v>
      </c>
      <c r="F15" s="245" t="s">
        <v>330</v>
      </c>
    </row>
    <row r="16" spans="2:6" x14ac:dyDescent="0.2">
      <c r="B16" s="260" t="s">
        <v>328</v>
      </c>
      <c r="C16" s="296" t="str">
        <f>'3.1 Depreciated Book Value'!C58</f>
        <v xml:space="preserve">SCADA (Communications) </v>
      </c>
      <c r="D16" s="244" t="s">
        <v>741</v>
      </c>
      <c r="E16" s="297">
        <v>15</v>
      </c>
      <c r="F16" s="245" t="s">
        <v>329</v>
      </c>
    </row>
    <row r="17" spans="2:7" x14ac:dyDescent="0.2">
      <c r="B17" s="260" t="s">
        <v>328</v>
      </c>
      <c r="C17" s="296" t="str">
        <f>'3.1 Depreciated Book Value'!C66</f>
        <v xml:space="preserve">Buildings </v>
      </c>
      <c r="D17" s="244" t="s">
        <v>740</v>
      </c>
      <c r="E17" s="297">
        <v>40</v>
      </c>
      <c r="F17" s="245" t="s">
        <v>329</v>
      </c>
    </row>
    <row r="18" spans="2:7" x14ac:dyDescent="0.2">
      <c r="B18" s="260" t="s">
        <v>328</v>
      </c>
      <c r="C18" s="296" t="str">
        <f>'3.1 Depreciated Book Value'!C81</f>
        <v>Other depreciable pipeline assets</v>
      </c>
      <c r="D18" s="244" t="s">
        <v>741</v>
      </c>
      <c r="E18" s="297">
        <v>10</v>
      </c>
      <c r="F18" s="245" t="s">
        <v>329</v>
      </c>
    </row>
    <row r="19" spans="2:7" x14ac:dyDescent="0.2">
      <c r="B19" s="260"/>
      <c r="C19" s="298" t="s">
        <v>331</v>
      </c>
      <c r="D19" s="244"/>
      <c r="E19" s="297"/>
      <c r="F19" s="245"/>
    </row>
    <row r="20" spans="2:7" x14ac:dyDescent="0.2">
      <c r="B20" s="260"/>
      <c r="C20" s="298" t="s">
        <v>331</v>
      </c>
      <c r="D20" s="244"/>
      <c r="E20" s="297"/>
      <c r="F20" s="245"/>
    </row>
    <row r="21" spans="2:7" x14ac:dyDescent="0.2">
      <c r="B21" s="260"/>
      <c r="C21" s="298" t="s">
        <v>331</v>
      </c>
      <c r="D21" s="244"/>
      <c r="E21" s="297"/>
      <c r="F21" s="245"/>
      <c r="G21" s="223"/>
    </row>
    <row r="22" spans="2:7" x14ac:dyDescent="0.2">
      <c r="B22" s="260"/>
      <c r="C22" s="298" t="s">
        <v>331</v>
      </c>
      <c r="D22" s="244"/>
      <c r="E22" s="297"/>
      <c r="F22" s="245"/>
      <c r="G22" s="223"/>
    </row>
    <row r="23" spans="2:7" x14ac:dyDescent="0.2">
      <c r="B23" s="260" t="s">
        <v>328</v>
      </c>
      <c r="C23" s="296" t="str">
        <f>'3.1 Depreciated Book Value'!C89</f>
        <v xml:space="preserve">Leased assets </v>
      </c>
      <c r="D23" s="244"/>
      <c r="E23" s="297"/>
      <c r="F23" s="245"/>
      <c r="G23" s="223"/>
    </row>
    <row r="24" spans="2:7" x14ac:dyDescent="0.2">
      <c r="B24" s="260"/>
      <c r="C24" s="298" t="s">
        <v>331</v>
      </c>
      <c r="D24" s="244"/>
      <c r="E24" s="297"/>
      <c r="F24" s="245"/>
      <c r="G24" s="223"/>
    </row>
    <row r="25" spans="2:7" x14ac:dyDescent="0.2">
      <c r="B25" s="260"/>
      <c r="C25" s="298" t="s">
        <v>331</v>
      </c>
      <c r="D25" s="244"/>
      <c r="E25" s="297"/>
      <c r="F25" s="245"/>
      <c r="G25" s="223"/>
    </row>
    <row r="26" spans="2:7" x14ac:dyDescent="0.2">
      <c r="B26" s="260"/>
      <c r="C26" s="298" t="s">
        <v>331</v>
      </c>
      <c r="D26" s="244"/>
      <c r="E26" s="297"/>
      <c r="F26" s="245"/>
    </row>
    <row r="27" spans="2:7" x14ac:dyDescent="0.2">
      <c r="B27" s="260"/>
      <c r="C27" s="298" t="s">
        <v>331</v>
      </c>
      <c r="D27" s="244"/>
      <c r="E27" s="297"/>
      <c r="F27" s="245"/>
    </row>
    <row r="28" spans="2:7" x14ac:dyDescent="0.2">
      <c r="B28" s="260" t="s">
        <v>328</v>
      </c>
      <c r="C28" s="296" t="str">
        <f>'3.1 Depreciated Book Value'!C105</f>
        <v>Shared property, plant and equipment</v>
      </c>
      <c r="D28" s="244" t="s">
        <v>740</v>
      </c>
      <c r="E28" s="297">
        <v>10</v>
      </c>
      <c r="F28" s="245" t="s">
        <v>329</v>
      </c>
    </row>
    <row r="29" spans="2:7" x14ac:dyDescent="0.2">
      <c r="B29" s="260"/>
      <c r="C29" s="298" t="s">
        <v>331</v>
      </c>
      <c r="D29" s="244"/>
      <c r="E29" s="297"/>
      <c r="F29" s="245"/>
    </row>
    <row r="30" spans="2:7" x14ac:dyDescent="0.2">
      <c r="B30" s="260"/>
      <c r="C30" s="298" t="s">
        <v>331</v>
      </c>
      <c r="D30" s="244"/>
      <c r="E30" s="297"/>
      <c r="F30" s="245"/>
    </row>
    <row r="31" spans="2:7" x14ac:dyDescent="0.2">
      <c r="B31" s="260"/>
      <c r="C31" s="298" t="s">
        <v>331</v>
      </c>
      <c r="D31" s="244"/>
      <c r="E31" s="297"/>
      <c r="F31" s="245"/>
    </row>
    <row r="32" spans="2:7" x14ac:dyDescent="0.2">
      <c r="B32" s="260"/>
      <c r="C32" s="298" t="s">
        <v>331</v>
      </c>
      <c r="D32" s="244"/>
      <c r="E32" s="297"/>
      <c r="F32" s="245"/>
      <c r="G32" s="223"/>
    </row>
    <row r="33" spans="2:7" x14ac:dyDescent="0.2">
      <c r="B33" s="260"/>
      <c r="C33" s="298" t="s">
        <v>331</v>
      </c>
      <c r="D33" s="244"/>
      <c r="E33" s="297"/>
      <c r="F33" s="245"/>
      <c r="G33" s="223"/>
    </row>
    <row r="34" spans="2:7" x14ac:dyDescent="0.2">
      <c r="B34" s="260" t="s">
        <v>328</v>
      </c>
      <c r="C34" s="296" t="str">
        <f>'3.1 Depreciated Book Value'!C113</f>
        <v>Shared leased assets</v>
      </c>
      <c r="D34" s="244" t="s">
        <v>743</v>
      </c>
      <c r="E34" s="297">
        <v>11.36959320848899</v>
      </c>
      <c r="F34" s="245" t="s">
        <v>329</v>
      </c>
      <c r="G34" s="223"/>
    </row>
    <row r="35" spans="2:7" x14ac:dyDescent="0.2">
      <c r="B35" s="260"/>
      <c r="C35" s="298" t="s">
        <v>331</v>
      </c>
      <c r="D35" s="244"/>
      <c r="E35" s="299"/>
      <c r="F35" s="245"/>
      <c r="G35" s="223"/>
    </row>
    <row r="36" spans="2:7" x14ac:dyDescent="0.2">
      <c r="B36" s="260"/>
      <c r="C36" s="298" t="s">
        <v>331</v>
      </c>
      <c r="D36" s="244"/>
      <c r="E36" s="299"/>
      <c r="F36" s="245"/>
      <c r="G36" s="223"/>
    </row>
    <row r="37" spans="2:7" x14ac:dyDescent="0.2">
      <c r="B37" s="260"/>
      <c r="C37" s="298" t="s">
        <v>331</v>
      </c>
      <c r="D37" s="244"/>
      <c r="E37" s="299"/>
      <c r="F37" s="245"/>
      <c r="G37" s="223"/>
    </row>
    <row r="38" spans="2:7" x14ac:dyDescent="0.2">
      <c r="B38" s="250"/>
      <c r="C38" s="298" t="s">
        <v>331</v>
      </c>
      <c r="D38" s="244"/>
      <c r="E38" s="299"/>
      <c r="F38" s="245"/>
    </row>
    <row r="39" spans="2:7" x14ac:dyDescent="0.2">
      <c r="B39" s="250"/>
      <c r="C39" s="298" t="s">
        <v>331</v>
      </c>
      <c r="D39" s="244"/>
      <c r="E39" s="299"/>
      <c r="F39" s="245"/>
    </row>
  </sheetData>
  <sheetProtection sheet="1" insertRows="0" autoFilter="0"/>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F086E-B997-4475-A316-4604CF9288C0}">
  <sheetPr codeName="Sheet13">
    <tabColor rgb="FF17415D"/>
  </sheetPr>
  <dimension ref="B1:J56"/>
  <sheetViews>
    <sheetView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 style="4" customWidth="1"/>
    <col min="2" max="2" width="31.7109375" style="4" customWidth="1"/>
    <col min="3" max="3" width="41.85546875" style="4" bestFit="1" customWidth="1"/>
    <col min="4" max="4" width="27.28515625" style="4" customWidth="1"/>
    <col min="5" max="5" width="32.85546875" style="4" customWidth="1"/>
    <col min="6" max="6" width="21.7109375" style="4" customWidth="1"/>
    <col min="7" max="7" width="24.42578125" style="4" customWidth="1"/>
    <col min="8" max="8" width="45" style="4" customWidth="1"/>
    <col min="9" max="10" width="19.85546875" style="4" customWidth="1"/>
    <col min="11" max="11" width="18.28515625" style="4" customWidth="1"/>
    <col min="12" max="16384" width="9.140625" style="4"/>
  </cols>
  <sheetData>
    <row r="1" spans="2:10" ht="20.25" x14ac:dyDescent="0.3">
      <c r="B1" s="103" t="s">
        <v>66</v>
      </c>
      <c r="C1" s="103"/>
      <c r="D1" s="168"/>
      <c r="E1" s="168"/>
      <c r="F1" s="168"/>
      <c r="G1" s="168"/>
      <c r="H1" s="168"/>
      <c r="I1" s="168"/>
      <c r="J1" s="168"/>
    </row>
    <row r="2" spans="2:10" ht="20.25" x14ac:dyDescent="0.2">
      <c r="B2" s="103" t="str">
        <f>IF(Tradingname=0," ",Tradingname)</f>
        <v>APT PIPELINES (NT) PTY LIMITED</v>
      </c>
      <c r="C2" s="103"/>
    </row>
    <row r="3" spans="2:10" ht="18" customHeight="1" x14ac:dyDescent="0.45">
      <c r="B3" s="103" t="s">
        <v>44</v>
      </c>
      <c r="C3" s="80">
        <f>IF(Yearending=0, "01/01/2000", Yearending)</f>
        <v>45838</v>
      </c>
      <c r="F3" s="202"/>
    </row>
    <row r="4" spans="2:10" ht="20.25" x14ac:dyDescent="0.2">
      <c r="B4" s="72" t="s">
        <v>332</v>
      </c>
      <c r="C4" s="72"/>
    </row>
    <row r="6" spans="2:10" ht="15.75" x14ac:dyDescent="0.25">
      <c r="B6" s="175"/>
    </row>
    <row r="7" spans="2:10" ht="15.75" x14ac:dyDescent="0.25">
      <c r="B7" s="175" t="s">
        <v>333</v>
      </c>
    </row>
    <row r="8" spans="2:10" x14ac:dyDescent="0.2">
      <c r="B8" s="176"/>
      <c r="C8" s="264"/>
      <c r="D8" s="264"/>
      <c r="E8" s="264"/>
      <c r="F8" s="264"/>
      <c r="G8" s="265"/>
      <c r="H8" s="266"/>
    </row>
    <row r="9" spans="2:10" ht="31.7" customHeight="1" x14ac:dyDescent="0.2">
      <c r="B9" s="32" t="s">
        <v>334</v>
      </c>
      <c r="C9" s="53" t="s">
        <v>335</v>
      </c>
      <c r="D9" s="32" t="s">
        <v>336</v>
      </c>
      <c r="E9" s="32" t="s">
        <v>337</v>
      </c>
      <c r="F9" s="32" t="s">
        <v>338</v>
      </c>
    </row>
    <row r="10" spans="2:10" ht="13.7" customHeight="1" x14ac:dyDescent="0.2">
      <c r="B10" s="283"/>
      <c r="C10" s="300"/>
      <c r="D10" s="272"/>
      <c r="E10" s="301"/>
      <c r="F10" s="269"/>
    </row>
    <row r="11" spans="2:10" ht="13.7" customHeight="1" x14ac:dyDescent="0.2">
      <c r="B11" s="283"/>
      <c r="C11" s="300"/>
      <c r="D11" s="272"/>
      <c r="E11" s="301"/>
      <c r="F11" s="269"/>
    </row>
    <row r="12" spans="2:10" ht="13.7" customHeight="1" x14ac:dyDescent="0.2">
      <c r="B12" s="283"/>
      <c r="C12" s="300"/>
      <c r="D12" s="272"/>
      <c r="E12" s="301"/>
      <c r="F12" s="269"/>
    </row>
    <row r="13" spans="2:10" ht="13.7" customHeight="1" x14ac:dyDescent="0.2">
      <c r="B13" s="283"/>
      <c r="C13" s="300"/>
      <c r="D13" s="272"/>
      <c r="E13" s="301"/>
      <c r="F13" s="269"/>
    </row>
    <row r="14" spans="2:10" ht="13.7" customHeight="1" x14ac:dyDescent="0.2">
      <c r="B14" s="283"/>
      <c r="C14" s="300"/>
      <c r="D14" s="272"/>
      <c r="E14" s="301"/>
      <c r="F14" s="269"/>
    </row>
    <row r="15" spans="2:10" ht="13.7" customHeight="1" x14ac:dyDescent="0.2">
      <c r="B15" s="283"/>
      <c r="C15" s="300"/>
      <c r="D15" s="272"/>
      <c r="E15" s="301"/>
      <c r="F15" s="269"/>
    </row>
    <row r="16" spans="2:10" ht="13.7" customHeight="1" x14ac:dyDescent="0.2">
      <c r="B16" s="283"/>
      <c r="C16" s="300"/>
      <c r="D16" s="272"/>
      <c r="E16" s="301"/>
      <c r="F16" s="269"/>
    </row>
    <row r="17" spans="2:9" ht="13.7" customHeight="1" x14ac:dyDescent="0.2">
      <c r="B17" s="283"/>
      <c r="C17" s="300"/>
      <c r="D17" s="272"/>
      <c r="E17" s="301"/>
      <c r="F17" s="269"/>
    </row>
    <row r="18" spans="2:9" ht="13.7" customHeight="1" x14ac:dyDescent="0.2">
      <c r="B18" s="283"/>
      <c r="C18" s="300"/>
      <c r="D18" s="272"/>
      <c r="E18" s="301"/>
      <c r="F18" s="269"/>
    </row>
    <row r="19" spans="2:9" ht="13.7" customHeight="1" x14ac:dyDescent="0.2">
      <c r="B19" s="283"/>
      <c r="C19" s="300"/>
      <c r="D19" s="272"/>
      <c r="E19" s="301"/>
      <c r="F19" s="269"/>
    </row>
    <row r="20" spans="2:9" ht="13.7" customHeight="1" x14ac:dyDescent="0.2">
      <c r="B20" s="283"/>
      <c r="C20" s="300"/>
      <c r="D20" s="272"/>
      <c r="E20" s="301"/>
      <c r="F20" s="269"/>
    </row>
    <row r="21" spans="2:9" ht="13.7" customHeight="1" x14ac:dyDescent="0.2">
      <c r="B21" s="283"/>
      <c r="C21" s="300"/>
      <c r="D21" s="272"/>
      <c r="E21" s="301"/>
      <c r="F21" s="269"/>
    </row>
    <row r="22" spans="2:9" ht="13.7" customHeight="1" x14ac:dyDescent="0.2">
      <c r="B22" s="283"/>
      <c r="C22" s="300"/>
      <c r="D22" s="272"/>
      <c r="E22" s="301"/>
      <c r="F22" s="269"/>
    </row>
    <row r="23" spans="2:9" ht="13.7" customHeight="1" x14ac:dyDescent="0.2">
      <c r="B23" s="283"/>
      <c r="C23" s="300"/>
      <c r="D23" s="272"/>
      <c r="E23" s="301"/>
      <c r="F23" s="269"/>
    </row>
    <row r="24" spans="2:9" ht="13.7" customHeight="1" x14ac:dyDescent="0.2">
      <c r="B24" s="283"/>
      <c r="C24" s="300"/>
      <c r="D24" s="272"/>
      <c r="E24" s="301"/>
      <c r="F24" s="269"/>
    </row>
    <row r="27" spans="2:9" ht="15.75" x14ac:dyDescent="0.25">
      <c r="B27" s="175" t="s">
        <v>339</v>
      </c>
    </row>
    <row r="28" spans="2:9" x14ac:dyDescent="0.2">
      <c r="B28" s="176"/>
      <c r="C28" s="264"/>
      <c r="D28" s="264"/>
      <c r="E28" s="264"/>
    </row>
    <row r="29" spans="2:9" ht="36.950000000000003" customHeight="1" x14ac:dyDescent="0.2">
      <c r="B29" s="32" t="s">
        <v>334</v>
      </c>
      <c r="C29" s="53" t="s">
        <v>335</v>
      </c>
      <c r="D29" s="32" t="s">
        <v>340</v>
      </c>
      <c r="E29" s="32" t="s">
        <v>337</v>
      </c>
      <c r="F29" s="32" t="s">
        <v>338</v>
      </c>
      <c r="G29" s="32" t="s">
        <v>341</v>
      </c>
      <c r="H29" s="32" t="s">
        <v>342</v>
      </c>
      <c r="I29" s="32" t="s">
        <v>343</v>
      </c>
    </row>
    <row r="30" spans="2:9" x14ac:dyDescent="0.2">
      <c r="B30" s="283"/>
      <c r="C30" s="300"/>
      <c r="D30" s="272"/>
      <c r="E30" s="301"/>
      <c r="F30" s="269"/>
      <c r="G30" s="272"/>
      <c r="H30" s="301"/>
      <c r="I30" s="269"/>
    </row>
    <row r="31" spans="2:9" x14ac:dyDescent="0.2">
      <c r="B31" s="283"/>
      <c r="C31" s="300"/>
      <c r="D31" s="272"/>
      <c r="E31" s="301"/>
      <c r="F31" s="269"/>
      <c r="G31" s="272"/>
      <c r="H31" s="301"/>
      <c r="I31" s="269"/>
    </row>
    <row r="32" spans="2:9" x14ac:dyDescent="0.2">
      <c r="B32" s="283"/>
      <c r="C32" s="300"/>
      <c r="D32" s="272"/>
      <c r="E32" s="301"/>
      <c r="F32" s="269"/>
      <c r="G32" s="272"/>
      <c r="H32" s="301"/>
      <c r="I32" s="269"/>
    </row>
    <row r="33" spans="2:9" x14ac:dyDescent="0.2">
      <c r="B33" s="283"/>
      <c r="C33" s="300"/>
      <c r="D33" s="272"/>
      <c r="E33" s="301"/>
      <c r="F33" s="269"/>
      <c r="G33" s="272"/>
      <c r="H33" s="301"/>
      <c r="I33" s="269"/>
    </row>
    <row r="34" spans="2:9" x14ac:dyDescent="0.2">
      <c r="B34" s="283"/>
      <c r="C34" s="300"/>
      <c r="D34" s="272"/>
      <c r="E34" s="301"/>
      <c r="F34" s="269"/>
      <c r="G34" s="272"/>
      <c r="H34" s="301"/>
      <c r="I34" s="269"/>
    </row>
    <row r="35" spans="2:9" x14ac:dyDescent="0.2">
      <c r="B35" s="283"/>
      <c r="C35" s="300"/>
      <c r="D35" s="272"/>
      <c r="E35" s="301"/>
      <c r="F35" s="269"/>
      <c r="G35" s="272"/>
      <c r="H35" s="301"/>
      <c r="I35" s="269"/>
    </row>
    <row r="36" spans="2:9" x14ac:dyDescent="0.2">
      <c r="B36" s="283"/>
      <c r="C36" s="300"/>
      <c r="D36" s="272"/>
      <c r="E36" s="301"/>
      <c r="F36" s="269"/>
      <c r="G36" s="272"/>
      <c r="H36" s="301"/>
      <c r="I36" s="269"/>
    </row>
    <row r="37" spans="2:9" x14ac:dyDescent="0.2">
      <c r="B37" s="283"/>
      <c r="C37" s="300"/>
      <c r="D37" s="272"/>
      <c r="E37" s="301"/>
      <c r="F37" s="269"/>
      <c r="G37" s="272"/>
      <c r="H37" s="301"/>
      <c r="I37" s="269"/>
    </row>
    <row r="38" spans="2:9" x14ac:dyDescent="0.2">
      <c r="B38" s="283"/>
      <c r="C38" s="300"/>
      <c r="D38" s="272"/>
      <c r="E38" s="301"/>
      <c r="F38" s="269"/>
      <c r="G38" s="272"/>
      <c r="H38" s="301"/>
      <c r="I38" s="269"/>
    </row>
    <row r="39" spans="2:9" x14ac:dyDescent="0.2">
      <c r="B39" s="283"/>
      <c r="C39" s="300"/>
      <c r="D39" s="272"/>
      <c r="E39" s="301"/>
      <c r="F39" s="269"/>
      <c r="G39" s="272"/>
      <c r="H39" s="301"/>
      <c r="I39" s="269"/>
    </row>
    <row r="40" spans="2:9" x14ac:dyDescent="0.2">
      <c r="B40" s="283"/>
      <c r="C40" s="300"/>
      <c r="D40" s="272"/>
      <c r="E40" s="301"/>
      <c r="F40" s="269"/>
      <c r="G40" s="272"/>
      <c r="H40" s="301"/>
      <c r="I40" s="269"/>
    </row>
    <row r="41" spans="2:9" x14ac:dyDescent="0.2">
      <c r="B41" s="283"/>
      <c r="C41" s="300"/>
      <c r="D41" s="272"/>
      <c r="E41" s="301"/>
      <c r="F41" s="269"/>
      <c r="G41" s="272"/>
      <c r="H41" s="301"/>
      <c r="I41" s="269"/>
    </row>
    <row r="42" spans="2:9" x14ac:dyDescent="0.2">
      <c r="B42" s="283"/>
      <c r="C42" s="300"/>
      <c r="D42" s="272"/>
      <c r="E42" s="301"/>
      <c r="F42" s="269"/>
      <c r="G42" s="272"/>
      <c r="H42" s="301"/>
      <c r="I42" s="269"/>
    </row>
    <row r="43" spans="2:9" x14ac:dyDescent="0.2">
      <c r="B43" s="283"/>
      <c r="C43" s="300"/>
      <c r="D43" s="272"/>
      <c r="E43" s="301"/>
      <c r="F43" s="269"/>
      <c r="G43" s="272"/>
      <c r="H43" s="301"/>
      <c r="I43" s="269"/>
    </row>
    <row r="44" spans="2:9" x14ac:dyDescent="0.2">
      <c r="B44" s="283"/>
      <c r="C44" s="300"/>
      <c r="D44" s="272"/>
      <c r="E44" s="301"/>
      <c r="F44" s="269"/>
      <c r="G44" s="272"/>
      <c r="H44" s="301"/>
      <c r="I44" s="269"/>
    </row>
    <row r="45" spans="2:9" x14ac:dyDescent="0.2">
      <c r="B45" s="283"/>
      <c r="C45" s="300"/>
      <c r="D45" s="272"/>
      <c r="E45" s="301"/>
      <c r="F45" s="269"/>
      <c r="G45" s="272"/>
      <c r="H45" s="301"/>
      <c r="I45" s="269"/>
    </row>
    <row r="46" spans="2:9" x14ac:dyDescent="0.2">
      <c r="B46" s="283"/>
      <c r="C46" s="300"/>
      <c r="D46" s="272"/>
      <c r="E46" s="301"/>
      <c r="F46" s="269"/>
      <c r="G46" s="272"/>
      <c r="H46" s="301"/>
      <c r="I46" s="269"/>
    </row>
    <row r="47" spans="2:9" x14ac:dyDescent="0.2">
      <c r="B47" s="283"/>
      <c r="C47" s="300"/>
      <c r="D47" s="272"/>
      <c r="E47" s="301"/>
      <c r="F47" s="269"/>
      <c r="G47" s="272"/>
      <c r="H47" s="301"/>
      <c r="I47" s="269"/>
    </row>
    <row r="48" spans="2:9" x14ac:dyDescent="0.2">
      <c r="B48" s="283"/>
      <c r="C48" s="300"/>
      <c r="D48" s="272"/>
      <c r="E48" s="301"/>
      <c r="F48" s="269"/>
      <c r="G48" s="272"/>
      <c r="H48" s="301"/>
      <c r="I48" s="269"/>
    </row>
    <row r="49" spans="2:9" x14ac:dyDescent="0.2">
      <c r="B49" s="283"/>
      <c r="C49" s="300"/>
      <c r="D49" s="272"/>
      <c r="E49" s="301"/>
      <c r="F49" s="269"/>
      <c r="G49" s="272"/>
      <c r="H49" s="301"/>
      <c r="I49" s="269"/>
    </row>
    <row r="50" spans="2:9" x14ac:dyDescent="0.2">
      <c r="B50" s="283"/>
      <c r="C50" s="300"/>
      <c r="D50" s="272"/>
      <c r="E50" s="301"/>
      <c r="F50" s="269"/>
      <c r="G50" s="272"/>
      <c r="H50" s="301"/>
      <c r="I50" s="269"/>
    </row>
    <row r="51" spans="2:9" x14ac:dyDescent="0.2">
      <c r="B51" s="283"/>
      <c r="C51" s="300"/>
      <c r="D51" s="272"/>
      <c r="E51" s="301"/>
      <c r="F51" s="269"/>
      <c r="G51" s="272"/>
      <c r="H51" s="301"/>
      <c r="I51" s="269"/>
    </row>
    <row r="52" spans="2:9" x14ac:dyDescent="0.2">
      <c r="B52" s="283"/>
      <c r="C52" s="300"/>
      <c r="D52" s="272"/>
      <c r="E52" s="301"/>
      <c r="F52" s="269"/>
      <c r="G52" s="272"/>
      <c r="H52" s="301"/>
      <c r="I52" s="269"/>
    </row>
    <row r="53" spans="2:9" x14ac:dyDescent="0.2">
      <c r="B53" s="283"/>
      <c r="C53" s="300"/>
      <c r="D53" s="272"/>
      <c r="E53" s="301"/>
      <c r="F53" s="269"/>
      <c r="G53" s="272"/>
      <c r="H53" s="301"/>
      <c r="I53" s="269"/>
    </row>
    <row r="54" spans="2:9" x14ac:dyDescent="0.2">
      <c r="B54" s="283"/>
      <c r="C54" s="300"/>
      <c r="D54" s="272"/>
      <c r="E54" s="301"/>
      <c r="F54" s="269"/>
      <c r="G54" s="272"/>
      <c r="H54" s="301"/>
      <c r="I54" s="269"/>
    </row>
    <row r="55" spans="2:9" x14ac:dyDescent="0.2">
      <c r="B55" s="283"/>
      <c r="C55" s="300"/>
      <c r="D55" s="272"/>
      <c r="E55" s="301"/>
      <c r="F55" s="269"/>
      <c r="G55" s="272"/>
      <c r="H55" s="301"/>
      <c r="I55" s="269"/>
    </row>
    <row r="56" spans="2:9" x14ac:dyDescent="0.2">
      <c r="B56" s="283"/>
      <c r="C56" s="300"/>
      <c r="D56" s="272"/>
      <c r="E56" s="301"/>
      <c r="F56" s="269"/>
      <c r="G56" s="272"/>
      <c r="H56" s="301"/>
      <c r="I56" s="269"/>
    </row>
  </sheetData>
  <sheetProtection sheet="1" insertRows="0"/>
  <dataValidations count="1">
    <dataValidation type="list" allowBlank="1" showInputMessage="1" showErrorMessage="1" sqref="C10:C24 C30:C56" xr:uid="{9FC90315-4A06-4464-8630-08E1BAB217CB}">
      <formula1>rAllAssets</formula1>
    </dataValidation>
  </dataValidations>
  <pageMargins left="0.25" right="0.25" top="0.75" bottom="0.75" header="0.3" footer="0.3"/>
  <pageSetup paperSize="9" scale="59" orientation="landscape" r:id="rId1"/>
  <headerFooter alignWithMargins="0">
    <oddFooter>&amp;C_x000D_&amp;1#&amp;"Calibri"&amp;10&amp;K008000 APA-INTERNAL</oddFooter>
  </headerFooter>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C79D2-F7BB-4E4F-AF3B-C23A405C6392}">
  <sheetPr codeName="Sheet14">
    <tabColor rgb="FF17415D"/>
  </sheetPr>
  <dimension ref="B1:Q84"/>
  <sheetViews>
    <sheetView showGridLines="0" zoomScale="85" zoomScaleNormal="85" workbookViewId="0"/>
  </sheetViews>
  <sheetFormatPr defaultRowHeight="12.75" x14ac:dyDescent="0.2"/>
  <cols>
    <col min="1" max="1" width="11.42578125" customWidth="1"/>
    <col min="2" max="2" width="32.42578125" customWidth="1"/>
    <col min="3" max="3" width="40.7109375" customWidth="1"/>
    <col min="4" max="4" width="41.85546875" bestFit="1" customWidth="1"/>
    <col min="5" max="8" width="20.7109375" customWidth="1"/>
    <col min="9" max="9" width="30.7109375" customWidth="1"/>
    <col min="10" max="10" width="32.7109375" customWidth="1"/>
    <col min="11" max="11" width="20.7109375" customWidth="1"/>
    <col min="12" max="12" width="24" customWidth="1"/>
    <col min="13" max="13" width="31" customWidth="1"/>
    <col min="14" max="17" width="20.7109375" customWidth="1"/>
  </cols>
  <sheetData>
    <row r="1" spans="2:17" ht="20.25" customHeight="1" x14ac:dyDescent="0.2">
      <c r="B1" s="103" t="s">
        <v>66</v>
      </c>
      <c r="C1" s="103"/>
    </row>
    <row r="2" spans="2:17" ht="20.25" x14ac:dyDescent="0.2">
      <c r="B2" s="103" t="str">
        <f>IF(Tradingname=0," ",Tradingname)</f>
        <v>APT PIPELINES (NT) PTY LIMITED</v>
      </c>
      <c r="C2" s="103"/>
    </row>
    <row r="3" spans="2:17" ht="20.25" customHeight="1" x14ac:dyDescent="0.3">
      <c r="B3" s="103" t="s">
        <v>44</v>
      </c>
      <c r="C3" s="80">
        <f>IF(Yearending=0, "01/01/2000", Yearending)</f>
        <v>45838</v>
      </c>
    </row>
    <row r="4" spans="2:17" ht="20.25" x14ac:dyDescent="0.2">
      <c r="B4" s="72" t="s">
        <v>344</v>
      </c>
      <c r="C4" s="72"/>
    </row>
    <row r="5" spans="2:17" ht="12.75" customHeight="1" x14ac:dyDescent="0.2"/>
    <row r="6" spans="2:17" x14ac:dyDescent="0.2">
      <c r="B6" s="407" t="s">
        <v>345</v>
      </c>
      <c r="C6" s="407"/>
      <c r="D6" s="407"/>
      <c r="E6" s="407"/>
    </row>
    <row r="7" spans="2:17" ht="15.75" customHeight="1" x14ac:dyDescent="0.2">
      <c r="B7" s="407"/>
      <c r="C7" s="407"/>
      <c r="D7" s="407"/>
      <c r="E7" s="407"/>
      <c r="G7" s="126"/>
    </row>
    <row r="8" spans="2:17" ht="15.75" customHeight="1" x14ac:dyDescent="0.2">
      <c r="B8" s="407"/>
      <c r="C8" s="407"/>
      <c r="D8" s="407"/>
      <c r="E8" s="407"/>
      <c r="G8" s="126"/>
    </row>
    <row r="9" spans="2:17" x14ac:dyDescent="0.2">
      <c r="G9" s="126"/>
    </row>
    <row r="11" spans="2:17" ht="15.75" x14ac:dyDescent="0.25">
      <c r="B11" s="162" t="s">
        <v>346</v>
      </c>
    </row>
    <row r="13" spans="2:17" ht="45" customHeight="1" x14ac:dyDescent="0.2">
      <c r="B13" s="52" t="s">
        <v>128</v>
      </c>
      <c r="C13" s="53" t="s">
        <v>129</v>
      </c>
      <c r="D13" s="53" t="s">
        <v>335</v>
      </c>
      <c r="E13" s="53" t="s">
        <v>347</v>
      </c>
      <c r="F13" s="53" t="s">
        <v>348</v>
      </c>
      <c r="G13" s="53" t="s">
        <v>349</v>
      </c>
      <c r="H13" s="54" t="s">
        <v>224</v>
      </c>
      <c r="I13" s="54" t="s">
        <v>350</v>
      </c>
      <c r="J13" s="54" t="s">
        <v>351</v>
      </c>
      <c r="K13" s="54" t="s">
        <v>352</v>
      </c>
      <c r="L13" s="53" t="s">
        <v>353</v>
      </c>
      <c r="M13" s="53" t="s">
        <v>354</v>
      </c>
      <c r="N13" s="53" t="s">
        <v>355</v>
      </c>
      <c r="O13" s="53" t="s">
        <v>356</v>
      </c>
      <c r="P13" s="53" t="s">
        <v>357</v>
      </c>
      <c r="Q13" s="32" t="s">
        <v>358</v>
      </c>
    </row>
    <row r="14" spans="2:17" x14ac:dyDescent="0.2">
      <c r="B14" s="235"/>
      <c r="C14" s="55"/>
      <c r="D14" s="55"/>
      <c r="E14" s="55"/>
      <c r="F14" s="55" t="s">
        <v>359</v>
      </c>
      <c r="G14" s="55" t="s">
        <v>131</v>
      </c>
      <c r="H14" s="56" t="s">
        <v>131</v>
      </c>
      <c r="I14" s="56" t="s">
        <v>131</v>
      </c>
      <c r="J14" s="56" t="s">
        <v>131</v>
      </c>
      <c r="K14" s="56" t="s">
        <v>131</v>
      </c>
      <c r="L14" s="55" t="s">
        <v>131</v>
      </c>
      <c r="M14" s="55"/>
      <c r="N14" s="55" t="s">
        <v>131</v>
      </c>
      <c r="O14" s="55" t="s">
        <v>131</v>
      </c>
      <c r="P14" s="55" t="s">
        <v>131</v>
      </c>
      <c r="Q14" s="55" t="s">
        <v>131</v>
      </c>
    </row>
    <row r="15" spans="2:17" x14ac:dyDescent="0.2">
      <c r="B15" s="262" t="s">
        <v>360</v>
      </c>
      <c r="C15" s="300"/>
      <c r="D15" s="224" t="s">
        <v>222</v>
      </c>
      <c r="E15" s="302" t="s">
        <v>741</v>
      </c>
      <c r="F15" s="303">
        <v>80</v>
      </c>
      <c r="G15" s="304"/>
      <c r="H15" s="305">
        <v>179100371.26525891</v>
      </c>
      <c r="I15" s="305">
        <v>2710210.7128063696</v>
      </c>
      <c r="J15" s="306">
        <v>0</v>
      </c>
      <c r="K15" s="306">
        <v>0</v>
      </c>
      <c r="L15" s="307">
        <f>SUM(H15:K15)</f>
        <v>181810581.97806528</v>
      </c>
      <c r="M15" s="280">
        <v>1</v>
      </c>
      <c r="N15" s="279">
        <f>L15*M15</f>
        <v>181810581.97806528</v>
      </c>
      <c r="O15" s="261">
        <v>-53620649.173704848</v>
      </c>
      <c r="P15" s="261">
        <v>-2451335.4731515236</v>
      </c>
      <c r="Q15" s="286">
        <f>SUM(N15:P15)</f>
        <v>125738597.33120891</v>
      </c>
    </row>
    <row r="16" spans="2:17" x14ac:dyDescent="0.2">
      <c r="B16" s="262" t="s">
        <v>360</v>
      </c>
      <c r="C16" s="300"/>
      <c r="D16" s="224" t="s">
        <v>232</v>
      </c>
      <c r="E16" s="302" t="s">
        <v>742</v>
      </c>
      <c r="F16" s="303">
        <v>30</v>
      </c>
      <c r="G16" s="304"/>
      <c r="H16" s="305">
        <v>29833333.333333299</v>
      </c>
      <c r="I16" s="305">
        <v>0</v>
      </c>
      <c r="J16" s="306">
        <v>0</v>
      </c>
      <c r="K16" s="306">
        <v>0</v>
      </c>
      <c r="L16" s="307">
        <f>SUM(H16:K16)</f>
        <v>29833333.333333299</v>
      </c>
      <c r="M16" s="280">
        <v>1</v>
      </c>
      <c r="N16" s="279">
        <f t="shared" ref="N16:N58" si="0">L16*M16</f>
        <v>29833333.333333299</v>
      </c>
      <c r="O16" s="261">
        <v>-22872222.222222205</v>
      </c>
      <c r="P16" s="261">
        <v>-994444.44444444287</v>
      </c>
      <c r="Q16" s="286">
        <f t="shared" ref="Q16:Q58" si="1">SUM(N16:P16)</f>
        <v>5966666.6666666502</v>
      </c>
    </row>
    <row r="17" spans="2:17" x14ac:dyDescent="0.2">
      <c r="B17" s="262" t="s">
        <v>360</v>
      </c>
      <c r="C17" s="300"/>
      <c r="D17" s="224" t="s">
        <v>236</v>
      </c>
      <c r="E17" s="302" t="s">
        <v>741</v>
      </c>
      <c r="F17" s="303">
        <v>50</v>
      </c>
      <c r="G17" s="304"/>
      <c r="H17" s="305">
        <v>21302131.209023662</v>
      </c>
      <c r="I17" s="305">
        <v>358309.6249298359</v>
      </c>
      <c r="J17" s="306">
        <v>0</v>
      </c>
      <c r="K17" s="306">
        <v>0</v>
      </c>
      <c r="L17" s="307">
        <f t="shared" ref="L17:L58" si="2">SUM(H17:K17)</f>
        <v>21660440.833953496</v>
      </c>
      <c r="M17" s="280">
        <v>1</v>
      </c>
      <c r="N17" s="279">
        <f t="shared" si="0"/>
        <v>21660440.833953496</v>
      </c>
      <c r="O17" s="261">
        <v>-5619561.7552176518</v>
      </c>
      <c r="P17" s="261">
        <v>-413932.28910756222</v>
      </c>
      <c r="Q17" s="286">
        <f t="shared" si="1"/>
        <v>15626946.78962828</v>
      </c>
    </row>
    <row r="18" spans="2:17" x14ac:dyDescent="0.2">
      <c r="B18" s="262" t="s">
        <v>360</v>
      </c>
      <c r="C18" s="300"/>
      <c r="D18" s="224" t="s">
        <v>241</v>
      </c>
      <c r="E18" s="302" t="s">
        <v>741</v>
      </c>
      <c r="F18" s="303">
        <v>15</v>
      </c>
      <c r="G18" s="304"/>
      <c r="H18" s="305">
        <v>11414284.421246361</v>
      </c>
      <c r="I18" s="305">
        <v>390022.05781913706</v>
      </c>
      <c r="J18" s="306">
        <v>0</v>
      </c>
      <c r="K18" s="306">
        <v>0</v>
      </c>
      <c r="L18" s="307">
        <f t="shared" si="2"/>
        <v>11804306.479065498</v>
      </c>
      <c r="M18" s="280">
        <v>1</v>
      </c>
      <c r="N18" s="279">
        <f t="shared" si="0"/>
        <v>11804306.479065498</v>
      </c>
      <c r="O18" s="261">
        <v>-9844886.2162534315</v>
      </c>
      <c r="P18" s="261">
        <v>-173735.79618129702</v>
      </c>
      <c r="Q18" s="286">
        <f t="shared" si="1"/>
        <v>1785684.4666307699</v>
      </c>
    </row>
    <row r="19" spans="2:17" x14ac:dyDescent="0.2">
      <c r="B19" s="262" t="s">
        <v>360</v>
      </c>
      <c r="C19" s="300"/>
      <c r="D19" s="224" t="s">
        <v>243</v>
      </c>
      <c r="E19" s="302" t="s">
        <v>740</v>
      </c>
      <c r="F19" s="303">
        <v>40</v>
      </c>
      <c r="G19" s="304"/>
      <c r="H19" s="305">
        <v>6596600.1107948311</v>
      </c>
      <c r="I19" s="305">
        <v>88006.213284270052</v>
      </c>
      <c r="J19" s="306">
        <v>0</v>
      </c>
      <c r="K19" s="306">
        <v>0</v>
      </c>
      <c r="L19" s="307">
        <f t="shared" si="2"/>
        <v>6684606.324079101</v>
      </c>
      <c r="M19" s="280">
        <v>1</v>
      </c>
      <c r="N19" s="279">
        <f t="shared" si="0"/>
        <v>6684606.324079101</v>
      </c>
      <c r="O19" s="261">
        <v>-1135671.3266252943</v>
      </c>
      <c r="P19" s="261">
        <v>-138989.0477488756</v>
      </c>
      <c r="Q19" s="286">
        <f t="shared" si="1"/>
        <v>5409945.9497049311</v>
      </c>
    </row>
    <row r="20" spans="2:17" x14ac:dyDescent="0.2">
      <c r="B20" s="262" t="s">
        <v>737</v>
      </c>
      <c r="C20" s="300"/>
      <c r="D20" s="224" t="s">
        <v>247</v>
      </c>
      <c r="E20" s="302" t="s">
        <v>741</v>
      </c>
      <c r="F20" s="303">
        <v>10</v>
      </c>
      <c r="G20" s="304"/>
      <c r="H20" s="305">
        <v>65235568.111563951</v>
      </c>
      <c r="I20" s="305">
        <v>1733817.6398161885</v>
      </c>
      <c r="J20" s="306">
        <v>0</v>
      </c>
      <c r="K20" s="261">
        <v>-325040.48255008669</v>
      </c>
      <c r="L20" s="307">
        <f t="shared" si="2"/>
        <v>66644345.268830054</v>
      </c>
      <c r="M20" s="280">
        <v>1</v>
      </c>
      <c r="N20" s="279">
        <f t="shared" si="0"/>
        <v>66644345.268830054</v>
      </c>
      <c r="O20" s="261">
        <v>-54919812.050125957</v>
      </c>
      <c r="P20" s="261">
        <v>-1408226.4116203615</v>
      </c>
      <c r="Q20" s="286">
        <f t="shared" si="1"/>
        <v>10316306.807083735</v>
      </c>
    </row>
    <row r="21" spans="2:17" x14ac:dyDescent="0.2">
      <c r="B21" s="251"/>
      <c r="C21" s="300"/>
      <c r="D21" s="224"/>
      <c r="E21" s="308"/>
      <c r="F21" s="309"/>
      <c r="G21" s="304"/>
      <c r="H21" s="304"/>
      <c r="I21" s="304"/>
      <c r="J21" s="304"/>
      <c r="K21" s="304"/>
      <c r="L21" s="307">
        <f t="shared" si="2"/>
        <v>0</v>
      </c>
      <c r="M21" s="280">
        <v>1</v>
      </c>
      <c r="N21" s="279">
        <f t="shared" si="0"/>
        <v>0</v>
      </c>
      <c r="O21" s="304"/>
      <c r="P21" s="304"/>
      <c r="Q21" s="286">
        <f t="shared" si="1"/>
        <v>0</v>
      </c>
    </row>
    <row r="22" spans="2:17" x14ac:dyDescent="0.2">
      <c r="B22" s="251"/>
      <c r="C22" s="300"/>
      <c r="D22" s="224"/>
      <c r="E22" s="308"/>
      <c r="F22" s="309"/>
      <c r="G22" s="304"/>
      <c r="H22" s="304"/>
      <c r="I22" s="304"/>
      <c r="J22" s="304"/>
      <c r="K22" s="304"/>
      <c r="L22" s="307">
        <f t="shared" si="2"/>
        <v>0</v>
      </c>
      <c r="M22" s="280">
        <v>1</v>
      </c>
      <c r="N22" s="279">
        <f t="shared" si="0"/>
        <v>0</v>
      </c>
      <c r="O22" s="304"/>
      <c r="P22" s="304"/>
      <c r="Q22" s="286">
        <f t="shared" si="1"/>
        <v>0</v>
      </c>
    </row>
    <row r="23" spans="2:17" x14ac:dyDescent="0.2">
      <c r="B23" s="251"/>
      <c r="C23" s="300"/>
      <c r="D23" s="224"/>
      <c r="E23" s="308"/>
      <c r="F23" s="309"/>
      <c r="G23" s="304"/>
      <c r="H23" s="304"/>
      <c r="I23" s="304"/>
      <c r="J23" s="304"/>
      <c r="K23" s="304"/>
      <c r="L23" s="307">
        <f t="shared" si="2"/>
        <v>0</v>
      </c>
      <c r="M23" s="280">
        <v>1</v>
      </c>
      <c r="N23" s="279">
        <f t="shared" si="0"/>
        <v>0</v>
      </c>
      <c r="O23" s="304"/>
      <c r="P23" s="304"/>
      <c r="Q23" s="286">
        <f t="shared" si="1"/>
        <v>0</v>
      </c>
    </row>
    <row r="24" spans="2:17" x14ac:dyDescent="0.2">
      <c r="B24" s="251"/>
      <c r="C24" s="300"/>
      <c r="D24" s="224"/>
      <c r="E24" s="308"/>
      <c r="F24" s="309"/>
      <c r="G24" s="304"/>
      <c r="H24" s="304"/>
      <c r="I24" s="304"/>
      <c r="J24" s="304"/>
      <c r="K24" s="304"/>
      <c r="L24" s="307">
        <f t="shared" si="2"/>
        <v>0</v>
      </c>
      <c r="M24" s="280">
        <v>1</v>
      </c>
      <c r="N24" s="279">
        <f t="shared" si="0"/>
        <v>0</v>
      </c>
      <c r="O24" s="304"/>
      <c r="P24" s="304"/>
      <c r="Q24" s="286">
        <f t="shared" si="1"/>
        <v>0</v>
      </c>
    </row>
    <row r="25" spans="2:17" x14ac:dyDescent="0.2">
      <c r="B25" s="251"/>
      <c r="C25" s="300"/>
      <c r="D25" s="224"/>
      <c r="E25" s="308"/>
      <c r="F25" s="309"/>
      <c r="G25" s="304"/>
      <c r="H25" s="304"/>
      <c r="I25" s="304"/>
      <c r="J25" s="304"/>
      <c r="K25" s="304"/>
      <c r="L25" s="307">
        <f t="shared" si="2"/>
        <v>0</v>
      </c>
      <c r="M25" s="280">
        <v>1</v>
      </c>
      <c r="N25" s="279">
        <f t="shared" si="0"/>
        <v>0</v>
      </c>
      <c r="O25" s="304"/>
      <c r="P25" s="304"/>
      <c r="Q25" s="286">
        <f t="shared" si="1"/>
        <v>0</v>
      </c>
    </row>
    <row r="26" spans="2:17" x14ac:dyDescent="0.2">
      <c r="B26" s="251"/>
      <c r="C26" s="300"/>
      <c r="D26" s="224"/>
      <c r="E26" s="308"/>
      <c r="F26" s="309"/>
      <c r="G26" s="304"/>
      <c r="H26" s="304"/>
      <c r="I26" s="304"/>
      <c r="J26" s="304"/>
      <c r="K26" s="304"/>
      <c r="L26" s="307">
        <f t="shared" si="2"/>
        <v>0</v>
      </c>
      <c r="M26" s="280">
        <v>1</v>
      </c>
      <c r="N26" s="279">
        <f t="shared" si="0"/>
        <v>0</v>
      </c>
      <c r="O26" s="304"/>
      <c r="P26" s="304"/>
      <c r="Q26" s="286">
        <f t="shared" si="1"/>
        <v>0</v>
      </c>
    </row>
    <row r="27" spans="2:17" x14ac:dyDescent="0.2">
      <c r="B27" s="251"/>
      <c r="C27" s="300"/>
      <c r="D27" s="224"/>
      <c r="E27" s="308"/>
      <c r="F27" s="309"/>
      <c r="G27" s="304"/>
      <c r="H27" s="304"/>
      <c r="I27" s="304"/>
      <c r="J27" s="304"/>
      <c r="K27" s="304"/>
      <c r="L27" s="307">
        <f t="shared" si="2"/>
        <v>0</v>
      </c>
      <c r="M27" s="280">
        <v>1</v>
      </c>
      <c r="N27" s="279">
        <f t="shared" si="0"/>
        <v>0</v>
      </c>
      <c r="O27" s="304"/>
      <c r="P27" s="304"/>
      <c r="Q27" s="286">
        <f t="shared" si="1"/>
        <v>0</v>
      </c>
    </row>
    <row r="28" spans="2:17" x14ac:dyDescent="0.2">
      <c r="B28" s="251"/>
      <c r="C28" s="300"/>
      <c r="D28" s="224"/>
      <c r="E28" s="308"/>
      <c r="F28" s="309"/>
      <c r="G28" s="304"/>
      <c r="H28" s="304"/>
      <c r="I28" s="304"/>
      <c r="J28" s="304"/>
      <c r="K28" s="304"/>
      <c r="L28" s="307">
        <f t="shared" si="2"/>
        <v>0</v>
      </c>
      <c r="M28" s="280">
        <v>1</v>
      </c>
      <c r="N28" s="279">
        <f t="shared" si="0"/>
        <v>0</v>
      </c>
      <c r="O28" s="304"/>
      <c r="P28" s="304"/>
      <c r="Q28" s="286">
        <f t="shared" si="1"/>
        <v>0</v>
      </c>
    </row>
    <row r="29" spans="2:17" x14ac:dyDescent="0.2">
      <c r="B29" s="251"/>
      <c r="C29" s="300"/>
      <c r="D29" s="224"/>
      <c r="E29" s="308"/>
      <c r="F29" s="309"/>
      <c r="G29" s="304"/>
      <c r="H29" s="304"/>
      <c r="I29" s="304"/>
      <c r="J29" s="304"/>
      <c r="K29" s="304"/>
      <c r="L29" s="307">
        <f t="shared" si="2"/>
        <v>0</v>
      </c>
      <c r="M29" s="280">
        <v>1</v>
      </c>
      <c r="N29" s="279">
        <f t="shared" si="0"/>
        <v>0</v>
      </c>
      <c r="O29" s="304"/>
      <c r="P29" s="304"/>
      <c r="Q29" s="286">
        <f t="shared" si="1"/>
        <v>0</v>
      </c>
    </row>
    <row r="30" spans="2:17" x14ac:dyDescent="0.2">
      <c r="B30" s="251"/>
      <c r="C30" s="300"/>
      <c r="D30" s="224"/>
      <c r="E30" s="308"/>
      <c r="F30" s="309"/>
      <c r="G30" s="304"/>
      <c r="H30" s="304"/>
      <c r="I30" s="304"/>
      <c r="J30" s="304"/>
      <c r="K30" s="304"/>
      <c r="L30" s="307">
        <f t="shared" si="2"/>
        <v>0</v>
      </c>
      <c r="M30" s="280">
        <v>1</v>
      </c>
      <c r="N30" s="279">
        <f t="shared" si="0"/>
        <v>0</v>
      </c>
      <c r="O30" s="304"/>
      <c r="P30" s="304"/>
      <c r="Q30" s="286">
        <f t="shared" si="1"/>
        <v>0</v>
      </c>
    </row>
    <row r="31" spans="2:17" x14ac:dyDescent="0.2">
      <c r="B31" s="251"/>
      <c r="C31" s="300"/>
      <c r="D31" s="224"/>
      <c r="E31" s="308"/>
      <c r="F31" s="309"/>
      <c r="G31" s="304"/>
      <c r="H31" s="304"/>
      <c r="I31" s="304"/>
      <c r="J31" s="304"/>
      <c r="K31" s="304"/>
      <c r="L31" s="307">
        <f t="shared" si="2"/>
        <v>0</v>
      </c>
      <c r="M31" s="280">
        <v>1</v>
      </c>
      <c r="N31" s="279">
        <f t="shared" si="0"/>
        <v>0</v>
      </c>
      <c r="O31" s="304"/>
      <c r="P31" s="304"/>
      <c r="Q31" s="286">
        <f t="shared" si="1"/>
        <v>0</v>
      </c>
    </row>
    <row r="32" spans="2:17" x14ac:dyDescent="0.2">
      <c r="B32" s="251"/>
      <c r="C32" s="300"/>
      <c r="D32" s="224"/>
      <c r="E32" s="308"/>
      <c r="F32" s="309"/>
      <c r="G32" s="304"/>
      <c r="H32" s="304"/>
      <c r="I32" s="304"/>
      <c r="J32" s="304"/>
      <c r="K32" s="304"/>
      <c r="L32" s="307">
        <f t="shared" si="2"/>
        <v>0</v>
      </c>
      <c r="M32" s="280">
        <v>1</v>
      </c>
      <c r="N32" s="279">
        <f t="shared" si="0"/>
        <v>0</v>
      </c>
      <c r="O32" s="304"/>
      <c r="P32" s="304"/>
      <c r="Q32" s="286">
        <f t="shared" si="1"/>
        <v>0</v>
      </c>
    </row>
    <row r="33" spans="2:17" x14ac:dyDescent="0.2">
      <c r="B33" s="251"/>
      <c r="C33" s="300"/>
      <c r="D33" s="224"/>
      <c r="E33" s="308"/>
      <c r="F33" s="309"/>
      <c r="G33" s="304"/>
      <c r="H33" s="304"/>
      <c r="I33" s="304"/>
      <c r="J33" s="304"/>
      <c r="K33" s="304"/>
      <c r="L33" s="307">
        <f t="shared" si="2"/>
        <v>0</v>
      </c>
      <c r="M33" s="280">
        <v>1</v>
      </c>
      <c r="N33" s="279">
        <f t="shared" si="0"/>
        <v>0</v>
      </c>
      <c r="O33" s="304"/>
      <c r="P33" s="304"/>
      <c r="Q33" s="286">
        <f t="shared" si="1"/>
        <v>0</v>
      </c>
    </row>
    <row r="34" spans="2:17" x14ac:dyDescent="0.2">
      <c r="B34" s="251"/>
      <c r="C34" s="300"/>
      <c r="D34" s="224"/>
      <c r="E34" s="308"/>
      <c r="F34" s="309"/>
      <c r="G34" s="304"/>
      <c r="H34" s="304"/>
      <c r="I34" s="304"/>
      <c r="J34" s="304"/>
      <c r="K34" s="304"/>
      <c r="L34" s="307">
        <f t="shared" si="2"/>
        <v>0</v>
      </c>
      <c r="M34" s="280">
        <v>1</v>
      </c>
      <c r="N34" s="279">
        <f t="shared" si="0"/>
        <v>0</v>
      </c>
      <c r="O34" s="304"/>
      <c r="P34" s="304"/>
      <c r="Q34" s="286">
        <f t="shared" si="1"/>
        <v>0</v>
      </c>
    </row>
    <row r="35" spans="2:17" x14ac:dyDescent="0.2">
      <c r="B35" s="251"/>
      <c r="C35" s="300"/>
      <c r="D35" s="224"/>
      <c r="E35" s="308"/>
      <c r="F35" s="309"/>
      <c r="G35" s="304"/>
      <c r="H35" s="304"/>
      <c r="I35" s="304"/>
      <c r="J35" s="304"/>
      <c r="K35" s="304"/>
      <c r="L35" s="307">
        <f t="shared" si="2"/>
        <v>0</v>
      </c>
      <c r="M35" s="280">
        <v>1</v>
      </c>
      <c r="N35" s="279">
        <f t="shared" si="0"/>
        <v>0</v>
      </c>
      <c r="O35" s="304"/>
      <c r="P35" s="304"/>
      <c r="Q35" s="286">
        <f t="shared" si="1"/>
        <v>0</v>
      </c>
    </row>
    <row r="36" spans="2:17" x14ac:dyDescent="0.2">
      <c r="B36" s="251"/>
      <c r="C36" s="300"/>
      <c r="D36" s="224"/>
      <c r="E36" s="308"/>
      <c r="F36" s="309"/>
      <c r="G36" s="304"/>
      <c r="H36" s="304"/>
      <c r="I36" s="304"/>
      <c r="J36" s="304"/>
      <c r="K36" s="304"/>
      <c r="L36" s="307">
        <f t="shared" si="2"/>
        <v>0</v>
      </c>
      <c r="M36" s="280">
        <v>1</v>
      </c>
      <c r="N36" s="279">
        <f t="shared" si="0"/>
        <v>0</v>
      </c>
      <c r="O36" s="304"/>
      <c r="P36" s="304"/>
      <c r="Q36" s="286">
        <f t="shared" si="1"/>
        <v>0</v>
      </c>
    </row>
    <row r="37" spans="2:17" x14ac:dyDescent="0.2">
      <c r="B37" s="251"/>
      <c r="C37" s="300"/>
      <c r="D37" s="224"/>
      <c r="E37" s="308"/>
      <c r="F37" s="309"/>
      <c r="G37" s="304"/>
      <c r="H37" s="304"/>
      <c r="I37" s="304"/>
      <c r="J37" s="304"/>
      <c r="K37" s="304"/>
      <c r="L37" s="307">
        <f t="shared" si="2"/>
        <v>0</v>
      </c>
      <c r="M37" s="280">
        <v>1</v>
      </c>
      <c r="N37" s="279">
        <f t="shared" si="0"/>
        <v>0</v>
      </c>
      <c r="O37" s="304"/>
      <c r="P37" s="304"/>
      <c r="Q37" s="286">
        <f t="shared" si="1"/>
        <v>0</v>
      </c>
    </row>
    <row r="38" spans="2:17" x14ac:dyDescent="0.2">
      <c r="B38" s="251"/>
      <c r="C38" s="300"/>
      <c r="D38" s="224"/>
      <c r="E38" s="308"/>
      <c r="F38" s="309"/>
      <c r="G38" s="304"/>
      <c r="H38" s="304"/>
      <c r="I38" s="304"/>
      <c r="J38" s="304"/>
      <c r="K38" s="304"/>
      <c r="L38" s="307">
        <f t="shared" si="2"/>
        <v>0</v>
      </c>
      <c r="M38" s="280">
        <v>1</v>
      </c>
      <c r="N38" s="279">
        <f t="shared" si="0"/>
        <v>0</v>
      </c>
      <c r="O38" s="304"/>
      <c r="P38" s="304"/>
      <c r="Q38" s="286">
        <f t="shared" si="1"/>
        <v>0</v>
      </c>
    </row>
    <row r="39" spans="2:17" x14ac:dyDescent="0.2">
      <c r="B39" s="251"/>
      <c r="C39" s="300"/>
      <c r="D39" s="224"/>
      <c r="E39" s="308"/>
      <c r="F39" s="309"/>
      <c r="G39" s="304"/>
      <c r="H39" s="304"/>
      <c r="I39" s="304"/>
      <c r="J39" s="304"/>
      <c r="K39" s="304"/>
      <c r="L39" s="307">
        <f t="shared" si="2"/>
        <v>0</v>
      </c>
      <c r="M39" s="280">
        <v>1</v>
      </c>
      <c r="N39" s="279">
        <f t="shared" si="0"/>
        <v>0</v>
      </c>
      <c r="O39" s="304"/>
      <c r="P39" s="304"/>
      <c r="Q39" s="286">
        <f t="shared" si="1"/>
        <v>0</v>
      </c>
    </row>
    <row r="40" spans="2:17" x14ac:dyDescent="0.2">
      <c r="B40" s="251"/>
      <c r="C40" s="300"/>
      <c r="D40" s="224"/>
      <c r="E40" s="308"/>
      <c r="F40" s="309"/>
      <c r="G40" s="304"/>
      <c r="H40" s="304"/>
      <c r="I40" s="304"/>
      <c r="J40" s="304"/>
      <c r="K40" s="304"/>
      <c r="L40" s="307">
        <f t="shared" si="2"/>
        <v>0</v>
      </c>
      <c r="M40" s="280">
        <v>1</v>
      </c>
      <c r="N40" s="279">
        <f t="shared" si="0"/>
        <v>0</v>
      </c>
      <c r="O40" s="304"/>
      <c r="P40" s="304"/>
      <c r="Q40" s="286">
        <f t="shared" si="1"/>
        <v>0</v>
      </c>
    </row>
    <row r="41" spans="2:17" x14ac:dyDescent="0.2">
      <c r="B41" s="251"/>
      <c r="C41" s="300"/>
      <c r="D41" s="224"/>
      <c r="E41" s="308"/>
      <c r="F41" s="309"/>
      <c r="G41" s="304"/>
      <c r="H41" s="304"/>
      <c r="I41" s="304"/>
      <c r="J41" s="304"/>
      <c r="K41" s="304"/>
      <c r="L41" s="307">
        <f t="shared" si="2"/>
        <v>0</v>
      </c>
      <c r="M41" s="280">
        <v>1</v>
      </c>
      <c r="N41" s="279">
        <f t="shared" si="0"/>
        <v>0</v>
      </c>
      <c r="O41" s="304"/>
      <c r="P41" s="304"/>
      <c r="Q41" s="286">
        <f t="shared" si="1"/>
        <v>0</v>
      </c>
    </row>
    <row r="42" spans="2:17" x14ac:dyDescent="0.2">
      <c r="B42" s="251"/>
      <c r="C42" s="300"/>
      <c r="D42" s="224"/>
      <c r="E42" s="308"/>
      <c r="F42" s="309"/>
      <c r="G42" s="304"/>
      <c r="H42" s="304"/>
      <c r="I42" s="304"/>
      <c r="J42" s="304"/>
      <c r="K42" s="304"/>
      <c r="L42" s="307">
        <f t="shared" si="2"/>
        <v>0</v>
      </c>
      <c r="M42" s="280">
        <v>1</v>
      </c>
      <c r="N42" s="279">
        <f t="shared" si="0"/>
        <v>0</v>
      </c>
      <c r="O42" s="304"/>
      <c r="P42" s="304"/>
      <c r="Q42" s="286">
        <f t="shared" si="1"/>
        <v>0</v>
      </c>
    </row>
    <row r="43" spans="2:17" x14ac:dyDescent="0.2">
      <c r="B43" s="251"/>
      <c r="C43" s="300"/>
      <c r="D43" s="224"/>
      <c r="E43" s="308"/>
      <c r="F43" s="309"/>
      <c r="G43" s="304"/>
      <c r="H43" s="304"/>
      <c r="I43" s="304"/>
      <c r="J43" s="304"/>
      <c r="K43" s="304"/>
      <c r="L43" s="307">
        <f t="shared" si="2"/>
        <v>0</v>
      </c>
      <c r="M43" s="280">
        <v>1</v>
      </c>
      <c r="N43" s="279">
        <f t="shared" si="0"/>
        <v>0</v>
      </c>
      <c r="O43" s="304"/>
      <c r="P43" s="304"/>
      <c r="Q43" s="286">
        <f t="shared" si="1"/>
        <v>0</v>
      </c>
    </row>
    <row r="44" spans="2:17" x14ac:dyDescent="0.2">
      <c r="B44" s="251"/>
      <c r="C44" s="300"/>
      <c r="D44" s="224"/>
      <c r="E44" s="308"/>
      <c r="F44" s="309"/>
      <c r="G44" s="304"/>
      <c r="H44" s="304"/>
      <c r="I44" s="304"/>
      <c r="J44" s="304"/>
      <c r="K44" s="304"/>
      <c r="L44" s="307">
        <f t="shared" si="2"/>
        <v>0</v>
      </c>
      <c r="M44" s="280">
        <v>1</v>
      </c>
      <c r="N44" s="279">
        <f t="shared" si="0"/>
        <v>0</v>
      </c>
      <c r="O44" s="304"/>
      <c r="P44" s="304"/>
      <c r="Q44" s="286">
        <f t="shared" si="1"/>
        <v>0</v>
      </c>
    </row>
    <row r="45" spans="2:17" x14ac:dyDescent="0.2">
      <c r="B45" s="251"/>
      <c r="C45" s="300"/>
      <c r="D45" s="224"/>
      <c r="E45" s="308"/>
      <c r="F45" s="309"/>
      <c r="G45" s="304"/>
      <c r="H45" s="304"/>
      <c r="I45" s="304"/>
      <c r="J45" s="304"/>
      <c r="K45" s="304"/>
      <c r="L45" s="307">
        <f t="shared" si="2"/>
        <v>0</v>
      </c>
      <c r="M45" s="280">
        <v>1</v>
      </c>
      <c r="N45" s="279">
        <f t="shared" si="0"/>
        <v>0</v>
      </c>
      <c r="O45" s="304"/>
      <c r="P45" s="304"/>
      <c r="Q45" s="286">
        <f t="shared" si="1"/>
        <v>0</v>
      </c>
    </row>
    <row r="46" spans="2:17" x14ac:dyDescent="0.2">
      <c r="B46" s="251"/>
      <c r="C46" s="300"/>
      <c r="D46" s="224"/>
      <c r="E46" s="308"/>
      <c r="F46" s="309"/>
      <c r="G46" s="304"/>
      <c r="H46" s="304"/>
      <c r="I46" s="304"/>
      <c r="J46" s="304"/>
      <c r="K46" s="304"/>
      <c r="L46" s="307">
        <f t="shared" si="2"/>
        <v>0</v>
      </c>
      <c r="M46" s="280">
        <v>1</v>
      </c>
      <c r="N46" s="279">
        <f t="shared" si="0"/>
        <v>0</v>
      </c>
      <c r="O46" s="304"/>
      <c r="P46" s="304"/>
      <c r="Q46" s="286">
        <f t="shared" si="1"/>
        <v>0</v>
      </c>
    </row>
    <row r="47" spans="2:17" x14ac:dyDescent="0.2">
      <c r="B47" s="251"/>
      <c r="C47" s="300"/>
      <c r="D47" s="224"/>
      <c r="E47" s="308"/>
      <c r="F47" s="309"/>
      <c r="G47" s="304"/>
      <c r="H47" s="304"/>
      <c r="I47" s="304"/>
      <c r="J47" s="304"/>
      <c r="K47" s="304"/>
      <c r="L47" s="307">
        <f t="shared" si="2"/>
        <v>0</v>
      </c>
      <c r="M47" s="280">
        <v>1</v>
      </c>
      <c r="N47" s="279">
        <f t="shared" si="0"/>
        <v>0</v>
      </c>
      <c r="O47" s="304"/>
      <c r="P47" s="304"/>
      <c r="Q47" s="286">
        <f t="shared" si="1"/>
        <v>0</v>
      </c>
    </row>
    <row r="48" spans="2:17" x14ac:dyDescent="0.2">
      <c r="B48" s="251"/>
      <c r="C48" s="300"/>
      <c r="D48" s="224"/>
      <c r="E48" s="308"/>
      <c r="F48" s="309"/>
      <c r="G48" s="304"/>
      <c r="H48" s="304"/>
      <c r="I48" s="304"/>
      <c r="J48" s="304"/>
      <c r="K48" s="304"/>
      <c r="L48" s="307">
        <f t="shared" si="2"/>
        <v>0</v>
      </c>
      <c r="M48" s="280">
        <v>1</v>
      </c>
      <c r="N48" s="279">
        <f t="shared" si="0"/>
        <v>0</v>
      </c>
      <c r="O48" s="304"/>
      <c r="P48" s="304"/>
      <c r="Q48" s="286">
        <f t="shared" si="1"/>
        <v>0</v>
      </c>
    </row>
    <row r="49" spans="2:17" x14ac:dyDescent="0.2">
      <c r="B49" s="251"/>
      <c r="C49" s="300"/>
      <c r="D49" s="224"/>
      <c r="E49" s="308"/>
      <c r="F49" s="309"/>
      <c r="G49" s="304"/>
      <c r="H49" s="304"/>
      <c r="I49" s="304"/>
      <c r="J49" s="304"/>
      <c r="K49" s="304"/>
      <c r="L49" s="307">
        <f t="shared" si="2"/>
        <v>0</v>
      </c>
      <c r="M49" s="280">
        <v>1</v>
      </c>
      <c r="N49" s="279">
        <f t="shared" si="0"/>
        <v>0</v>
      </c>
      <c r="O49" s="304"/>
      <c r="P49" s="304"/>
      <c r="Q49" s="286">
        <f t="shared" si="1"/>
        <v>0</v>
      </c>
    </row>
    <row r="50" spans="2:17" x14ac:dyDescent="0.2">
      <c r="B50" s="251"/>
      <c r="C50" s="300"/>
      <c r="D50" s="224"/>
      <c r="E50" s="308"/>
      <c r="F50" s="309"/>
      <c r="G50" s="304"/>
      <c r="H50" s="304"/>
      <c r="I50" s="304"/>
      <c r="J50" s="304"/>
      <c r="K50" s="304"/>
      <c r="L50" s="307">
        <f t="shared" si="2"/>
        <v>0</v>
      </c>
      <c r="M50" s="280">
        <v>1</v>
      </c>
      <c r="N50" s="279">
        <f t="shared" si="0"/>
        <v>0</v>
      </c>
      <c r="O50" s="304"/>
      <c r="P50" s="304"/>
      <c r="Q50" s="286">
        <f t="shared" si="1"/>
        <v>0</v>
      </c>
    </row>
    <row r="51" spans="2:17" x14ac:dyDescent="0.2">
      <c r="B51" s="251"/>
      <c r="C51" s="300"/>
      <c r="D51" s="224"/>
      <c r="E51" s="308"/>
      <c r="F51" s="309"/>
      <c r="G51" s="304"/>
      <c r="H51" s="304"/>
      <c r="I51" s="304"/>
      <c r="J51" s="304"/>
      <c r="K51" s="304"/>
      <c r="L51" s="307">
        <f t="shared" si="2"/>
        <v>0</v>
      </c>
      <c r="M51" s="280">
        <v>1</v>
      </c>
      <c r="N51" s="279">
        <f t="shared" si="0"/>
        <v>0</v>
      </c>
      <c r="O51" s="304"/>
      <c r="P51" s="304"/>
      <c r="Q51" s="286">
        <f t="shared" si="1"/>
        <v>0</v>
      </c>
    </row>
    <row r="52" spans="2:17" x14ac:dyDescent="0.2">
      <c r="B52" s="251"/>
      <c r="C52" s="300"/>
      <c r="D52" s="224"/>
      <c r="E52" s="308"/>
      <c r="F52" s="309"/>
      <c r="G52" s="304"/>
      <c r="H52" s="304"/>
      <c r="I52" s="304"/>
      <c r="J52" s="304"/>
      <c r="K52" s="304"/>
      <c r="L52" s="307">
        <f t="shared" si="2"/>
        <v>0</v>
      </c>
      <c r="M52" s="280">
        <v>1</v>
      </c>
      <c r="N52" s="279">
        <f t="shared" si="0"/>
        <v>0</v>
      </c>
      <c r="O52" s="304"/>
      <c r="P52" s="304"/>
      <c r="Q52" s="286">
        <f t="shared" si="1"/>
        <v>0</v>
      </c>
    </row>
    <row r="53" spans="2:17" x14ac:dyDescent="0.2">
      <c r="B53" s="251"/>
      <c r="C53" s="300"/>
      <c r="D53" s="224"/>
      <c r="E53" s="308"/>
      <c r="F53" s="309"/>
      <c r="G53" s="304"/>
      <c r="H53" s="304"/>
      <c r="I53" s="304"/>
      <c r="J53" s="304"/>
      <c r="K53" s="304"/>
      <c r="L53" s="307">
        <f t="shared" si="2"/>
        <v>0</v>
      </c>
      <c r="M53" s="280">
        <v>1</v>
      </c>
      <c r="N53" s="279">
        <f t="shared" si="0"/>
        <v>0</v>
      </c>
      <c r="O53" s="304"/>
      <c r="P53" s="304"/>
      <c r="Q53" s="286">
        <f t="shared" si="1"/>
        <v>0</v>
      </c>
    </row>
    <row r="54" spans="2:17" x14ac:dyDescent="0.2">
      <c r="B54" s="251"/>
      <c r="C54" s="300"/>
      <c r="D54" s="224"/>
      <c r="E54" s="308"/>
      <c r="F54" s="309"/>
      <c r="G54" s="304"/>
      <c r="H54" s="304"/>
      <c r="I54" s="304"/>
      <c r="J54" s="304"/>
      <c r="K54" s="304"/>
      <c r="L54" s="307">
        <f t="shared" si="2"/>
        <v>0</v>
      </c>
      <c r="M54" s="280">
        <v>1</v>
      </c>
      <c r="N54" s="279">
        <f t="shared" si="0"/>
        <v>0</v>
      </c>
      <c r="O54" s="304"/>
      <c r="P54" s="304"/>
      <c r="Q54" s="286">
        <f>SUM(N54:P54)</f>
        <v>0</v>
      </c>
    </row>
    <row r="55" spans="2:17" x14ac:dyDescent="0.2">
      <c r="B55" s="251"/>
      <c r="C55" s="300"/>
      <c r="D55" s="224"/>
      <c r="E55" s="308"/>
      <c r="F55" s="309"/>
      <c r="G55" s="304"/>
      <c r="H55" s="304"/>
      <c r="I55" s="304"/>
      <c r="J55" s="304"/>
      <c r="K55" s="304"/>
      <c r="L55" s="307">
        <f t="shared" si="2"/>
        <v>0</v>
      </c>
      <c r="M55" s="280">
        <v>1</v>
      </c>
      <c r="N55" s="279">
        <f t="shared" si="0"/>
        <v>0</v>
      </c>
      <c r="O55" s="304"/>
      <c r="P55" s="304"/>
      <c r="Q55" s="286">
        <f t="shared" si="1"/>
        <v>0</v>
      </c>
    </row>
    <row r="56" spans="2:17" x14ac:dyDescent="0.2">
      <c r="B56" s="251"/>
      <c r="C56" s="300"/>
      <c r="D56" s="224"/>
      <c r="E56" s="308"/>
      <c r="F56" s="309"/>
      <c r="G56" s="304"/>
      <c r="H56" s="304"/>
      <c r="I56" s="304"/>
      <c r="J56" s="304"/>
      <c r="K56" s="304"/>
      <c r="L56" s="307">
        <f t="shared" si="2"/>
        <v>0</v>
      </c>
      <c r="M56" s="280">
        <v>1</v>
      </c>
      <c r="N56" s="279">
        <f t="shared" si="0"/>
        <v>0</v>
      </c>
      <c r="O56" s="304"/>
      <c r="P56" s="304"/>
      <c r="Q56" s="286">
        <f t="shared" si="1"/>
        <v>0</v>
      </c>
    </row>
    <row r="57" spans="2:17" x14ac:dyDescent="0.2">
      <c r="B57" s="251"/>
      <c r="C57" s="300"/>
      <c r="D57" s="224"/>
      <c r="E57" s="308"/>
      <c r="F57" s="309"/>
      <c r="G57" s="304"/>
      <c r="H57" s="304"/>
      <c r="I57" s="304"/>
      <c r="J57" s="304"/>
      <c r="K57" s="304"/>
      <c r="L57" s="307">
        <f t="shared" si="2"/>
        <v>0</v>
      </c>
      <c r="M57" s="280">
        <v>1</v>
      </c>
      <c r="N57" s="279">
        <f t="shared" si="0"/>
        <v>0</v>
      </c>
      <c r="O57" s="304"/>
      <c r="P57" s="304"/>
      <c r="Q57" s="286">
        <f>SUM(N57:P57)</f>
        <v>0</v>
      </c>
    </row>
    <row r="58" spans="2:17" x14ac:dyDescent="0.2">
      <c r="B58" s="251"/>
      <c r="C58" s="300"/>
      <c r="D58" s="224"/>
      <c r="E58" s="308"/>
      <c r="F58" s="309"/>
      <c r="G58" s="304"/>
      <c r="H58" s="304"/>
      <c r="I58" s="304"/>
      <c r="J58" s="304"/>
      <c r="K58" s="304"/>
      <c r="L58" s="307">
        <f t="shared" si="2"/>
        <v>0</v>
      </c>
      <c r="M58" s="280">
        <v>1</v>
      </c>
      <c r="N58" s="279">
        <f t="shared" si="0"/>
        <v>0</v>
      </c>
      <c r="O58" s="304"/>
      <c r="P58" s="304"/>
      <c r="Q58" s="286">
        <f t="shared" si="1"/>
        <v>0</v>
      </c>
    </row>
    <row r="59" spans="2:17" x14ac:dyDescent="0.2">
      <c r="B59" s="310"/>
      <c r="C59" s="17" t="s">
        <v>254</v>
      </c>
      <c r="D59" s="17"/>
      <c r="E59" s="18"/>
      <c r="F59" s="19"/>
      <c r="G59" s="15">
        <f t="shared" ref="G59:L59" si="3">SUM(G15:G58)</f>
        <v>0</v>
      </c>
      <c r="H59" s="15">
        <f t="shared" si="3"/>
        <v>313482288.45122099</v>
      </c>
      <c r="I59" s="15">
        <f t="shared" si="3"/>
        <v>5280366.2486558007</v>
      </c>
      <c r="J59" s="15">
        <f t="shared" si="3"/>
        <v>0</v>
      </c>
      <c r="K59" s="15">
        <f t="shared" si="3"/>
        <v>-325040.48255008669</v>
      </c>
      <c r="L59" s="15">
        <f t="shared" si="3"/>
        <v>318437614.2173267</v>
      </c>
      <c r="M59" s="108"/>
      <c r="N59" s="108">
        <f>SUM(N15:N58)</f>
        <v>318437614.2173267</v>
      </c>
      <c r="O59" s="15">
        <f>SUM(O15:O58)</f>
        <v>-148012802.74414939</v>
      </c>
      <c r="P59" s="15">
        <f>SUM(P15:P58)</f>
        <v>-5580663.4622540632</v>
      </c>
      <c r="Q59" s="15">
        <f>SUM(Q15:Q58)</f>
        <v>164844148.01092327</v>
      </c>
    </row>
    <row r="62" spans="2:17" ht="15.75" x14ac:dyDescent="0.25">
      <c r="B62" s="162" t="s">
        <v>361</v>
      </c>
    </row>
    <row r="64" spans="2:17" ht="46.5" customHeight="1" x14ac:dyDescent="0.2">
      <c r="B64" s="52" t="s">
        <v>128</v>
      </c>
      <c r="C64" s="53" t="s">
        <v>129</v>
      </c>
      <c r="D64" s="53" t="s">
        <v>335</v>
      </c>
      <c r="E64" s="53" t="s">
        <v>362</v>
      </c>
      <c r="F64" s="53" t="s">
        <v>348</v>
      </c>
      <c r="G64" s="54" t="s">
        <v>224</v>
      </c>
      <c r="H64" s="54" t="s">
        <v>350</v>
      </c>
      <c r="I64" s="54" t="s">
        <v>351</v>
      </c>
      <c r="J64" s="54" t="s">
        <v>352</v>
      </c>
      <c r="K64" s="54" t="s">
        <v>353</v>
      </c>
      <c r="L64" s="53" t="s">
        <v>354</v>
      </c>
      <c r="M64" s="53" t="s">
        <v>355</v>
      </c>
      <c r="N64" s="54" t="s">
        <v>356</v>
      </c>
      <c r="O64" s="54" t="s">
        <v>363</v>
      </c>
      <c r="P64" s="32" t="s">
        <v>358</v>
      </c>
    </row>
    <row r="65" spans="2:16" x14ac:dyDescent="0.2">
      <c r="B65" s="63"/>
      <c r="C65" s="55"/>
      <c r="D65" s="55"/>
      <c r="E65" s="55"/>
      <c r="F65" s="55" t="s">
        <v>359</v>
      </c>
      <c r="G65" s="55" t="s">
        <v>131</v>
      </c>
      <c r="H65" s="55" t="s">
        <v>131</v>
      </c>
      <c r="I65" s="55" t="s">
        <v>131</v>
      </c>
      <c r="J65" s="55" t="s">
        <v>131</v>
      </c>
      <c r="K65" s="55" t="s">
        <v>131</v>
      </c>
      <c r="L65" s="55"/>
      <c r="M65" s="55" t="s">
        <v>131</v>
      </c>
      <c r="N65" s="55" t="s">
        <v>131</v>
      </c>
      <c r="O65" s="55" t="s">
        <v>131</v>
      </c>
      <c r="P65" s="55" t="s">
        <v>131</v>
      </c>
    </row>
    <row r="66" spans="2:16" x14ac:dyDescent="0.2">
      <c r="B66" s="328" t="s">
        <v>736</v>
      </c>
      <c r="C66" s="300" t="s">
        <v>258</v>
      </c>
      <c r="D66" s="300" t="s">
        <v>258</v>
      </c>
      <c r="E66" s="308" t="s">
        <v>743</v>
      </c>
      <c r="F66" s="309">
        <v>11.36959320848899</v>
      </c>
      <c r="G66" s="304">
        <v>8139746.4427534807</v>
      </c>
      <c r="H66" s="304">
        <v>168221.86731966145</v>
      </c>
      <c r="I66" s="304">
        <v>0</v>
      </c>
      <c r="J66" s="304">
        <v>0</v>
      </c>
      <c r="K66" s="307">
        <f>SUM(G66:J66)</f>
        <v>8307968.3100731419</v>
      </c>
      <c r="L66" s="280">
        <v>1</v>
      </c>
      <c r="M66" s="279">
        <f>K66*L66</f>
        <v>8307968.3100731419</v>
      </c>
      <c r="N66" s="304">
        <v>-1089227.8229396867</v>
      </c>
      <c r="O66" s="304">
        <v>-363075.94097989559</v>
      </c>
      <c r="P66" s="286">
        <f>SUM(M66:O66)</f>
        <v>6855664.5461535603</v>
      </c>
    </row>
    <row r="67" spans="2:16" x14ac:dyDescent="0.2">
      <c r="B67" s="251"/>
      <c r="C67" s="300"/>
      <c r="D67" s="300"/>
      <c r="E67" s="308"/>
      <c r="F67" s="309"/>
      <c r="G67" s="304"/>
      <c r="H67" s="304"/>
      <c r="I67" s="304"/>
      <c r="J67" s="304"/>
      <c r="K67" s="307">
        <f t="shared" ref="K67:K83" si="4">SUM(G67:J67)</f>
        <v>0</v>
      </c>
      <c r="L67" s="280">
        <v>1</v>
      </c>
      <c r="M67" s="279">
        <f t="shared" ref="M67:M83" si="5">K67*L67</f>
        <v>0</v>
      </c>
      <c r="N67" s="304"/>
      <c r="O67" s="304"/>
      <c r="P67" s="286">
        <f t="shared" ref="P67:P82" si="6">SUM(M67:O67)</f>
        <v>0</v>
      </c>
    </row>
    <row r="68" spans="2:16" x14ac:dyDescent="0.2">
      <c r="B68" s="311"/>
      <c r="C68" s="300"/>
      <c r="D68" s="300"/>
      <c r="E68" s="308"/>
      <c r="F68" s="309"/>
      <c r="G68" s="304"/>
      <c r="H68" s="304"/>
      <c r="I68" s="304"/>
      <c r="J68" s="304"/>
      <c r="K68" s="307">
        <f t="shared" si="4"/>
        <v>0</v>
      </c>
      <c r="L68" s="280">
        <v>1</v>
      </c>
      <c r="M68" s="279">
        <f t="shared" si="5"/>
        <v>0</v>
      </c>
      <c r="N68" s="304"/>
      <c r="O68" s="304"/>
      <c r="P68" s="286">
        <f t="shared" si="6"/>
        <v>0</v>
      </c>
    </row>
    <row r="69" spans="2:16" x14ac:dyDescent="0.2">
      <c r="B69" s="311"/>
      <c r="C69" s="300"/>
      <c r="D69" s="300"/>
      <c r="E69" s="308"/>
      <c r="F69" s="309"/>
      <c r="G69" s="304"/>
      <c r="H69" s="304"/>
      <c r="I69" s="304"/>
      <c r="J69" s="304"/>
      <c r="K69" s="307">
        <f t="shared" si="4"/>
        <v>0</v>
      </c>
      <c r="L69" s="280">
        <v>1</v>
      </c>
      <c r="M69" s="279">
        <f t="shared" si="5"/>
        <v>0</v>
      </c>
      <c r="N69" s="304"/>
      <c r="O69" s="304"/>
      <c r="P69" s="286">
        <f t="shared" si="6"/>
        <v>0</v>
      </c>
    </row>
    <row r="70" spans="2:16" x14ac:dyDescent="0.2">
      <c r="B70" s="311"/>
      <c r="C70" s="300"/>
      <c r="D70" s="300"/>
      <c r="E70" s="308"/>
      <c r="F70" s="309"/>
      <c r="G70" s="304"/>
      <c r="H70" s="304"/>
      <c r="I70" s="304"/>
      <c r="J70" s="304"/>
      <c r="K70" s="307">
        <f t="shared" si="4"/>
        <v>0</v>
      </c>
      <c r="L70" s="280">
        <v>1</v>
      </c>
      <c r="M70" s="279">
        <f t="shared" si="5"/>
        <v>0</v>
      </c>
      <c r="N70" s="304"/>
      <c r="O70" s="304"/>
      <c r="P70" s="286">
        <f t="shared" si="6"/>
        <v>0</v>
      </c>
    </row>
    <row r="71" spans="2:16" x14ac:dyDescent="0.2">
      <c r="B71" s="311"/>
      <c r="C71" s="300"/>
      <c r="D71" s="300"/>
      <c r="E71" s="308"/>
      <c r="F71" s="309"/>
      <c r="G71" s="304"/>
      <c r="H71" s="304"/>
      <c r="I71" s="304"/>
      <c r="J71" s="304"/>
      <c r="K71" s="307">
        <f t="shared" si="4"/>
        <v>0</v>
      </c>
      <c r="L71" s="280">
        <v>1</v>
      </c>
      <c r="M71" s="279">
        <f t="shared" si="5"/>
        <v>0</v>
      </c>
      <c r="N71" s="304"/>
      <c r="O71" s="304"/>
      <c r="P71" s="286">
        <f t="shared" si="6"/>
        <v>0</v>
      </c>
    </row>
    <row r="72" spans="2:16" x14ac:dyDescent="0.2">
      <c r="B72" s="311"/>
      <c r="C72" s="300"/>
      <c r="D72" s="300"/>
      <c r="E72" s="308"/>
      <c r="F72" s="309"/>
      <c r="G72" s="304"/>
      <c r="H72" s="304"/>
      <c r="I72" s="304"/>
      <c r="J72" s="304"/>
      <c r="K72" s="307">
        <f t="shared" si="4"/>
        <v>0</v>
      </c>
      <c r="L72" s="280">
        <v>1</v>
      </c>
      <c r="M72" s="279">
        <f t="shared" si="5"/>
        <v>0</v>
      </c>
      <c r="N72" s="304"/>
      <c r="O72" s="304"/>
      <c r="P72" s="286">
        <f t="shared" si="6"/>
        <v>0</v>
      </c>
    </row>
    <row r="73" spans="2:16" x14ac:dyDescent="0.2">
      <c r="B73" s="311"/>
      <c r="C73" s="300"/>
      <c r="D73" s="300"/>
      <c r="E73" s="308"/>
      <c r="F73" s="309"/>
      <c r="G73" s="304"/>
      <c r="H73" s="304"/>
      <c r="I73" s="304"/>
      <c r="J73" s="304"/>
      <c r="K73" s="307">
        <f t="shared" si="4"/>
        <v>0</v>
      </c>
      <c r="L73" s="280">
        <v>1</v>
      </c>
      <c r="M73" s="279">
        <f t="shared" si="5"/>
        <v>0</v>
      </c>
      <c r="N73" s="304"/>
      <c r="O73" s="304"/>
      <c r="P73" s="286">
        <f t="shared" si="6"/>
        <v>0</v>
      </c>
    </row>
    <row r="74" spans="2:16" x14ac:dyDescent="0.2">
      <c r="B74" s="311"/>
      <c r="C74" s="300"/>
      <c r="D74" s="300"/>
      <c r="E74" s="308"/>
      <c r="F74" s="309"/>
      <c r="G74" s="304"/>
      <c r="H74" s="304"/>
      <c r="I74" s="304"/>
      <c r="J74" s="304"/>
      <c r="K74" s="307">
        <f t="shared" si="4"/>
        <v>0</v>
      </c>
      <c r="L74" s="280">
        <v>1</v>
      </c>
      <c r="M74" s="279">
        <f t="shared" si="5"/>
        <v>0</v>
      </c>
      <c r="N74" s="304"/>
      <c r="O74" s="304"/>
      <c r="P74" s="286">
        <f t="shared" si="6"/>
        <v>0</v>
      </c>
    </row>
    <row r="75" spans="2:16" x14ac:dyDescent="0.2">
      <c r="B75" s="311"/>
      <c r="C75" s="300"/>
      <c r="D75" s="300"/>
      <c r="E75" s="308"/>
      <c r="F75" s="309"/>
      <c r="G75" s="304"/>
      <c r="H75" s="304"/>
      <c r="I75" s="304"/>
      <c r="J75" s="304"/>
      <c r="K75" s="307">
        <f t="shared" si="4"/>
        <v>0</v>
      </c>
      <c r="L75" s="280">
        <v>1</v>
      </c>
      <c r="M75" s="279">
        <f t="shared" si="5"/>
        <v>0</v>
      </c>
      <c r="N75" s="304"/>
      <c r="O75" s="304"/>
      <c r="P75" s="286">
        <f t="shared" si="6"/>
        <v>0</v>
      </c>
    </row>
    <row r="76" spans="2:16" x14ac:dyDescent="0.2">
      <c r="B76" s="311"/>
      <c r="C76" s="300"/>
      <c r="D76" s="300"/>
      <c r="E76" s="308"/>
      <c r="F76" s="309"/>
      <c r="G76" s="304"/>
      <c r="H76" s="304"/>
      <c r="I76" s="304"/>
      <c r="J76" s="304"/>
      <c r="K76" s="307">
        <f t="shared" si="4"/>
        <v>0</v>
      </c>
      <c r="L76" s="280">
        <v>1</v>
      </c>
      <c r="M76" s="279">
        <f t="shared" si="5"/>
        <v>0</v>
      </c>
      <c r="N76" s="304"/>
      <c r="O76" s="304"/>
      <c r="P76" s="286">
        <f t="shared" si="6"/>
        <v>0</v>
      </c>
    </row>
    <row r="77" spans="2:16" x14ac:dyDescent="0.2">
      <c r="B77" s="311"/>
      <c r="C77" s="300"/>
      <c r="D77" s="300"/>
      <c r="E77" s="308"/>
      <c r="F77" s="309"/>
      <c r="G77" s="304"/>
      <c r="H77" s="304"/>
      <c r="I77" s="304"/>
      <c r="J77" s="304"/>
      <c r="K77" s="307">
        <f t="shared" si="4"/>
        <v>0</v>
      </c>
      <c r="L77" s="280">
        <v>1</v>
      </c>
      <c r="M77" s="279">
        <f t="shared" si="5"/>
        <v>0</v>
      </c>
      <c r="N77" s="304"/>
      <c r="O77" s="304"/>
      <c r="P77" s="286">
        <f t="shared" si="6"/>
        <v>0</v>
      </c>
    </row>
    <row r="78" spans="2:16" x14ac:dyDescent="0.2">
      <c r="B78" s="311"/>
      <c r="C78" s="300"/>
      <c r="D78" s="300"/>
      <c r="E78" s="308"/>
      <c r="F78" s="309"/>
      <c r="G78" s="304"/>
      <c r="H78" s="304"/>
      <c r="I78" s="304"/>
      <c r="J78" s="304"/>
      <c r="K78" s="307">
        <f t="shared" si="4"/>
        <v>0</v>
      </c>
      <c r="L78" s="280">
        <v>1</v>
      </c>
      <c r="M78" s="279">
        <f t="shared" si="5"/>
        <v>0</v>
      </c>
      <c r="N78" s="304"/>
      <c r="O78" s="304"/>
      <c r="P78" s="286">
        <f t="shared" si="6"/>
        <v>0</v>
      </c>
    </row>
    <row r="79" spans="2:16" x14ac:dyDescent="0.2">
      <c r="B79" s="311"/>
      <c r="C79" s="300"/>
      <c r="D79" s="300"/>
      <c r="E79" s="308"/>
      <c r="F79" s="309"/>
      <c r="G79" s="304"/>
      <c r="H79" s="304"/>
      <c r="I79" s="304"/>
      <c r="J79" s="304"/>
      <c r="K79" s="307">
        <f t="shared" si="4"/>
        <v>0</v>
      </c>
      <c r="L79" s="280">
        <v>1</v>
      </c>
      <c r="M79" s="279">
        <f t="shared" si="5"/>
        <v>0</v>
      </c>
      <c r="N79" s="304"/>
      <c r="O79" s="304"/>
      <c r="P79" s="286">
        <f t="shared" si="6"/>
        <v>0</v>
      </c>
    </row>
    <row r="80" spans="2:16" x14ac:dyDescent="0.2">
      <c r="B80" s="311"/>
      <c r="C80" s="300"/>
      <c r="D80" s="300"/>
      <c r="E80" s="308"/>
      <c r="F80" s="309"/>
      <c r="G80" s="304"/>
      <c r="H80" s="304"/>
      <c r="I80" s="304"/>
      <c r="J80" s="304"/>
      <c r="K80" s="307">
        <f t="shared" si="4"/>
        <v>0</v>
      </c>
      <c r="L80" s="280">
        <v>1</v>
      </c>
      <c r="M80" s="279">
        <f t="shared" si="5"/>
        <v>0</v>
      </c>
      <c r="N80" s="304"/>
      <c r="O80" s="304"/>
      <c r="P80" s="286">
        <f t="shared" si="6"/>
        <v>0</v>
      </c>
    </row>
    <row r="81" spans="2:16" x14ac:dyDescent="0.2">
      <c r="B81" s="311"/>
      <c r="C81" s="300"/>
      <c r="D81" s="300"/>
      <c r="E81" s="308"/>
      <c r="F81" s="309"/>
      <c r="G81" s="304"/>
      <c r="H81" s="304"/>
      <c r="I81" s="304"/>
      <c r="J81" s="304"/>
      <c r="K81" s="307">
        <f t="shared" si="4"/>
        <v>0</v>
      </c>
      <c r="L81" s="280">
        <v>1</v>
      </c>
      <c r="M81" s="279">
        <f t="shared" si="5"/>
        <v>0</v>
      </c>
      <c r="N81" s="304"/>
      <c r="O81" s="304"/>
      <c r="P81" s="286">
        <f t="shared" si="6"/>
        <v>0</v>
      </c>
    </row>
    <row r="82" spans="2:16" x14ac:dyDescent="0.2">
      <c r="B82" s="311"/>
      <c r="C82" s="300"/>
      <c r="D82" s="300"/>
      <c r="E82" s="308"/>
      <c r="F82" s="309"/>
      <c r="G82" s="304"/>
      <c r="H82" s="304"/>
      <c r="I82" s="304"/>
      <c r="J82" s="304"/>
      <c r="K82" s="307">
        <f t="shared" si="4"/>
        <v>0</v>
      </c>
      <c r="L82" s="280">
        <v>1</v>
      </c>
      <c r="M82" s="279">
        <f t="shared" si="5"/>
        <v>0</v>
      </c>
      <c r="N82" s="304"/>
      <c r="O82" s="304"/>
      <c r="P82" s="286">
        <f t="shared" si="6"/>
        <v>0</v>
      </c>
    </row>
    <row r="83" spans="2:16" x14ac:dyDescent="0.2">
      <c r="B83" s="311"/>
      <c r="C83" s="300"/>
      <c r="D83" s="300"/>
      <c r="E83" s="308"/>
      <c r="F83" s="309"/>
      <c r="G83" s="304"/>
      <c r="H83" s="304"/>
      <c r="I83" s="304"/>
      <c r="J83" s="304"/>
      <c r="K83" s="307">
        <f t="shared" si="4"/>
        <v>0</v>
      </c>
      <c r="L83" s="280">
        <v>1</v>
      </c>
      <c r="M83" s="279">
        <f t="shared" si="5"/>
        <v>0</v>
      </c>
      <c r="N83" s="304"/>
      <c r="O83" s="304"/>
      <c r="P83" s="286">
        <f>SUM(M83:O83)</f>
        <v>0</v>
      </c>
    </row>
    <row r="84" spans="2:16" x14ac:dyDescent="0.2">
      <c r="B84" s="312"/>
      <c r="C84" s="17" t="s">
        <v>364</v>
      </c>
      <c r="D84" s="17"/>
      <c r="E84" s="20"/>
      <c r="F84" s="20"/>
      <c r="G84" s="15">
        <f>SUM(G66:G83)</f>
        <v>8139746.4427534807</v>
      </c>
      <c r="H84" s="15">
        <f>SUM(H66:H83)</f>
        <v>168221.86731966145</v>
      </c>
      <c r="I84" s="15">
        <f>SUM(I66:I83)</f>
        <v>0</v>
      </c>
      <c r="J84" s="15">
        <f>SUM(J66:J83)</f>
        <v>0</v>
      </c>
      <c r="K84" s="15">
        <f>SUM(K66:K83)</f>
        <v>8307968.3100731419</v>
      </c>
      <c r="L84" s="108"/>
      <c r="M84" s="108">
        <f>SUM(M66:M83)</f>
        <v>8307968.3100731419</v>
      </c>
      <c r="N84" s="15">
        <f>SUM(N66:N83)</f>
        <v>-1089227.8229396867</v>
      </c>
      <c r="O84" s="15">
        <f>SUM(O66:O83)</f>
        <v>-363075.94097989559</v>
      </c>
      <c r="P84" s="15">
        <f>SUM(P66:P83)</f>
        <v>6855664.5461535603</v>
      </c>
    </row>
  </sheetData>
  <sheetProtection sheet="1" insertRows="0" deleteRows="0"/>
  <mergeCells count="1">
    <mergeCell ref="B6:E8"/>
  </mergeCells>
  <phoneticPr fontId="29" type="noConversion"/>
  <dataValidations disablePrompts="1" count="2">
    <dataValidation type="list" allowBlank="1" showInputMessage="1" showErrorMessage="1" sqref="G8:G9 D15:D58" xr:uid="{ACE5DD1B-7B40-4AB3-8165-71180A4E8442}">
      <formula1>rPipelineAssets</formula1>
    </dataValidation>
    <dataValidation type="list" allowBlank="1" showInputMessage="1" showErrorMessage="1" sqref="D66:D83" xr:uid="{48A00BAA-DAAD-40E1-8D39-5F05DEDBEC38}">
      <formula1>rSharedAssets</formula1>
    </dataValidation>
  </dataValidations>
  <pageMargins left="0.75" right="0.75" top="1" bottom="1" header="0.5" footer="0.5"/>
  <pageSetup paperSize="9" scale="27" orientation="landscape" r:id="rId1"/>
  <headerFooter alignWithMargins="0">
    <oddFooter>&amp;C_x000D_&amp;1#&amp;"Calibri"&amp;10&amp;K008000 APA-INTERNAL</oddFooter>
  </headerFooter>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95153-38EC-470D-A490-63F3EEEFC22A}">
  <sheetPr codeName="Sheet15">
    <tabColor rgb="FF17415D"/>
  </sheetPr>
  <dimension ref="B1:I47"/>
  <sheetViews>
    <sheetView workbookViewId="0">
      <pane xSplit="1" ySplit="8" topLeftCell="B11" activePane="bottomRight" state="frozen"/>
      <selection pane="topRight" activeCell="B1" sqref="B1"/>
      <selection pane="bottomLeft" activeCell="A9" sqref="A9"/>
      <selection pane="bottomRight"/>
    </sheetView>
  </sheetViews>
  <sheetFormatPr defaultColWidth="9.140625" defaultRowHeight="12.75" x14ac:dyDescent="0.2"/>
  <cols>
    <col min="1" max="1" width="12.140625" style="169" customWidth="1"/>
    <col min="2" max="2" width="22.42578125" style="169" customWidth="1"/>
    <col min="3" max="3" width="42.28515625" style="169" customWidth="1"/>
    <col min="4" max="4" width="28.85546875" style="169" customWidth="1"/>
    <col min="5" max="5" width="22.5703125" style="169" customWidth="1"/>
    <col min="6" max="6" width="20.5703125" style="169" customWidth="1"/>
    <col min="7" max="7" width="22.5703125" style="169" customWidth="1"/>
    <col min="8" max="8" width="37.42578125" style="169" customWidth="1"/>
    <col min="9" max="9" width="25.140625" style="169" customWidth="1"/>
    <col min="10" max="16384" width="9.140625" style="169"/>
  </cols>
  <sheetData>
    <row r="1" spans="2:9" ht="20.25" customHeight="1" x14ac:dyDescent="0.3">
      <c r="B1" s="103" t="s">
        <v>66</v>
      </c>
      <c r="C1" s="103"/>
      <c r="D1" s="168"/>
      <c r="E1" s="168"/>
      <c r="F1" s="168"/>
      <c r="G1" s="168"/>
    </row>
    <row r="2" spans="2:9" ht="20.25" customHeight="1" x14ac:dyDescent="0.3">
      <c r="B2" s="103" t="str">
        <f>IF(Tradingname=0," ",Tradingname)</f>
        <v>APT PIPELINES (NT) PTY LIMITED</v>
      </c>
      <c r="C2" s="103"/>
      <c r="D2" s="170"/>
    </row>
    <row r="3" spans="2:9" ht="20.25" customHeight="1" x14ac:dyDescent="0.3">
      <c r="B3" s="103" t="s">
        <v>44</v>
      </c>
      <c r="C3" s="80">
        <f>IF(Yearending=0, "01/01/2000", Yearending)</f>
        <v>45838</v>
      </c>
    </row>
    <row r="4" spans="2:9" ht="20.25" x14ac:dyDescent="0.2">
      <c r="B4" s="72" t="s">
        <v>365</v>
      </c>
      <c r="C4" s="72"/>
    </row>
    <row r="6" spans="2:9" x14ac:dyDescent="0.2">
      <c r="B6" s="401" t="s">
        <v>366</v>
      </c>
      <c r="C6" s="401"/>
      <c r="D6" s="401"/>
    </row>
    <row r="7" spans="2:9" ht="15.75" customHeight="1" x14ac:dyDescent="0.2">
      <c r="B7" s="401"/>
      <c r="C7" s="401"/>
      <c r="D7" s="401"/>
    </row>
    <row r="8" spans="2:9" ht="15.75" customHeight="1" x14ac:dyDescent="0.2">
      <c r="B8" s="401"/>
      <c r="C8" s="401"/>
      <c r="D8" s="401"/>
    </row>
    <row r="11" spans="2:9" ht="15.75" x14ac:dyDescent="0.25">
      <c r="B11" s="171" t="s">
        <v>367</v>
      </c>
      <c r="C11" s="263"/>
      <c r="D11" s="263"/>
      <c r="E11" s="263"/>
      <c r="F11" s="284"/>
      <c r="G11" s="263"/>
    </row>
    <row r="12" spans="2:9" ht="15.75" x14ac:dyDescent="0.25">
      <c r="B12" s="171"/>
      <c r="C12" s="263"/>
      <c r="D12" s="263"/>
      <c r="E12" s="263"/>
      <c r="F12" s="284"/>
      <c r="G12" s="263"/>
    </row>
    <row r="13" spans="2:9" ht="25.5" x14ac:dyDescent="0.2">
      <c r="B13" s="39" t="s">
        <v>128</v>
      </c>
      <c r="C13" s="39" t="s">
        <v>368</v>
      </c>
      <c r="D13" s="39" t="s">
        <v>369</v>
      </c>
      <c r="E13" s="51" t="s">
        <v>370</v>
      </c>
      <c r="F13" s="51" t="s">
        <v>205</v>
      </c>
      <c r="G13" s="51" t="s">
        <v>371</v>
      </c>
    </row>
    <row r="14" spans="2:9" x14ac:dyDescent="0.2">
      <c r="B14" s="41"/>
      <c r="C14" s="41"/>
      <c r="D14" s="44"/>
      <c r="E14" s="55" t="s">
        <v>131</v>
      </c>
      <c r="F14" s="55"/>
      <c r="G14" s="55" t="s">
        <v>131</v>
      </c>
    </row>
    <row r="15" spans="2:9" x14ac:dyDescent="0.2">
      <c r="B15" s="250" t="s">
        <v>372</v>
      </c>
      <c r="C15" s="246" t="s">
        <v>373</v>
      </c>
      <c r="D15" s="246" t="s">
        <v>256</v>
      </c>
      <c r="E15" s="285">
        <v>91482139.09835428</v>
      </c>
      <c r="F15" s="280">
        <v>1.2638867236249334E-2</v>
      </c>
      <c r="G15" s="286">
        <f>E15*F15</f>
        <v>1156230.6105521941</v>
      </c>
      <c r="H15" s="223"/>
    </row>
    <row r="16" spans="2:9" x14ac:dyDescent="0.2">
      <c r="B16" s="250" t="s">
        <v>372</v>
      </c>
      <c r="C16" s="246" t="s">
        <v>374</v>
      </c>
      <c r="D16" s="246" t="s">
        <v>258</v>
      </c>
      <c r="E16" s="285">
        <v>2687685.4836434284</v>
      </c>
      <c r="F16" s="280">
        <v>1.2638867236249334E-2</v>
      </c>
      <c r="G16" s="286">
        <f t="shared" ref="G16:G45" si="0">E16*F16</f>
        <v>33969.300000563875</v>
      </c>
      <c r="H16" s="225"/>
      <c r="I16" s="225"/>
    </row>
    <row r="17" spans="2:9" x14ac:dyDescent="0.2">
      <c r="B17" s="250" t="s">
        <v>372</v>
      </c>
      <c r="C17" s="246" t="s">
        <v>375</v>
      </c>
      <c r="D17" s="246" t="s">
        <v>258</v>
      </c>
      <c r="E17" s="285">
        <v>10314839.349999994</v>
      </c>
      <c r="F17" s="280">
        <v>1.2638867236249334E-2</v>
      </c>
      <c r="G17" s="286">
        <f t="shared" si="0"/>
        <v>130367.88510789031</v>
      </c>
      <c r="H17" s="226"/>
      <c r="I17" s="226"/>
    </row>
    <row r="18" spans="2:9" x14ac:dyDescent="0.2">
      <c r="B18" s="250"/>
      <c r="C18" s="246"/>
      <c r="D18" s="246"/>
      <c r="E18" s="285"/>
      <c r="F18" s="280"/>
      <c r="G18" s="286">
        <f t="shared" si="0"/>
        <v>0</v>
      </c>
      <c r="H18" s="226"/>
      <c r="I18" s="226"/>
    </row>
    <row r="19" spans="2:9" x14ac:dyDescent="0.2">
      <c r="B19" s="250"/>
      <c r="C19" s="246"/>
      <c r="D19" s="246"/>
      <c r="E19" s="285"/>
      <c r="F19" s="280"/>
      <c r="G19" s="286">
        <f t="shared" si="0"/>
        <v>0</v>
      </c>
      <c r="H19" s="225"/>
      <c r="I19" s="225"/>
    </row>
    <row r="20" spans="2:9" x14ac:dyDescent="0.2">
      <c r="B20" s="250"/>
      <c r="C20" s="246"/>
      <c r="D20" s="246"/>
      <c r="E20" s="285"/>
      <c r="F20" s="280"/>
      <c r="G20" s="286">
        <f t="shared" si="0"/>
        <v>0</v>
      </c>
      <c r="H20" s="226"/>
      <c r="I20" s="226"/>
    </row>
    <row r="21" spans="2:9" x14ac:dyDescent="0.2">
      <c r="B21" s="250"/>
      <c r="C21" s="246"/>
      <c r="D21" s="246"/>
      <c r="E21" s="285"/>
      <c r="F21" s="280"/>
      <c r="G21" s="286">
        <f t="shared" si="0"/>
        <v>0</v>
      </c>
    </row>
    <row r="22" spans="2:9" x14ac:dyDescent="0.2">
      <c r="B22" s="250"/>
      <c r="C22" s="246"/>
      <c r="D22" s="246"/>
      <c r="E22" s="285"/>
      <c r="F22" s="280"/>
      <c r="G22" s="286">
        <f t="shared" si="0"/>
        <v>0</v>
      </c>
    </row>
    <row r="23" spans="2:9" x14ac:dyDescent="0.2">
      <c r="B23" s="250"/>
      <c r="C23" s="246"/>
      <c r="D23" s="246"/>
      <c r="E23" s="285"/>
      <c r="F23" s="280"/>
      <c r="G23" s="286">
        <f t="shared" si="0"/>
        <v>0</v>
      </c>
    </row>
    <row r="24" spans="2:9" x14ac:dyDescent="0.2">
      <c r="B24" s="250"/>
      <c r="C24" s="246"/>
      <c r="D24" s="246"/>
      <c r="E24" s="285"/>
      <c r="F24" s="280"/>
      <c r="G24" s="286">
        <f t="shared" si="0"/>
        <v>0</v>
      </c>
    </row>
    <row r="25" spans="2:9" x14ac:dyDescent="0.2">
      <c r="B25" s="250"/>
      <c r="C25" s="246"/>
      <c r="D25" s="246"/>
      <c r="E25" s="285"/>
      <c r="F25" s="280"/>
      <c r="G25" s="286">
        <f t="shared" si="0"/>
        <v>0</v>
      </c>
    </row>
    <row r="26" spans="2:9" x14ac:dyDescent="0.2">
      <c r="B26" s="250"/>
      <c r="C26" s="246"/>
      <c r="D26" s="246"/>
      <c r="E26" s="285"/>
      <c r="F26" s="280"/>
      <c r="G26" s="286">
        <f t="shared" si="0"/>
        <v>0</v>
      </c>
    </row>
    <row r="27" spans="2:9" x14ac:dyDescent="0.2">
      <c r="B27" s="250"/>
      <c r="C27" s="246"/>
      <c r="D27" s="246"/>
      <c r="E27" s="285"/>
      <c r="F27" s="280"/>
      <c r="G27" s="286">
        <f t="shared" si="0"/>
        <v>0</v>
      </c>
    </row>
    <row r="28" spans="2:9" x14ac:dyDescent="0.2">
      <c r="B28" s="250"/>
      <c r="C28" s="246"/>
      <c r="D28" s="246"/>
      <c r="E28" s="285"/>
      <c r="F28" s="280"/>
      <c r="G28" s="286">
        <f t="shared" si="0"/>
        <v>0</v>
      </c>
    </row>
    <row r="29" spans="2:9" x14ac:dyDescent="0.2">
      <c r="B29" s="250"/>
      <c r="C29" s="246"/>
      <c r="D29" s="246"/>
      <c r="E29" s="285"/>
      <c r="F29" s="280"/>
      <c r="G29" s="286">
        <f t="shared" si="0"/>
        <v>0</v>
      </c>
    </row>
    <row r="30" spans="2:9" x14ac:dyDescent="0.2">
      <c r="B30" s="250"/>
      <c r="C30" s="246"/>
      <c r="D30" s="246"/>
      <c r="E30" s="285"/>
      <c r="F30" s="280"/>
      <c r="G30" s="286">
        <f t="shared" si="0"/>
        <v>0</v>
      </c>
    </row>
    <row r="31" spans="2:9" x14ac:dyDescent="0.2">
      <c r="B31" s="250"/>
      <c r="C31" s="246"/>
      <c r="D31" s="246"/>
      <c r="E31" s="285"/>
      <c r="F31" s="280"/>
      <c r="G31" s="286">
        <f t="shared" si="0"/>
        <v>0</v>
      </c>
    </row>
    <row r="32" spans="2:9" x14ac:dyDescent="0.2">
      <c r="B32" s="250"/>
      <c r="C32" s="246"/>
      <c r="D32" s="246"/>
      <c r="E32" s="285"/>
      <c r="F32" s="280"/>
      <c r="G32" s="286">
        <f t="shared" si="0"/>
        <v>0</v>
      </c>
    </row>
    <row r="33" spans="2:7" x14ac:dyDescent="0.2">
      <c r="B33" s="250"/>
      <c r="C33" s="246"/>
      <c r="D33" s="246"/>
      <c r="E33" s="285"/>
      <c r="F33" s="280"/>
      <c r="G33" s="286">
        <f t="shared" si="0"/>
        <v>0</v>
      </c>
    </row>
    <row r="34" spans="2:7" x14ac:dyDescent="0.2">
      <c r="B34" s="250"/>
      <c r="C34" s="246"/>
      <c r="D34" s="246"/>
      <c r="E34" s="285"/>
      <c r="F34" s="280"/>
      <c r="G34" s="286">
        <f t="shared" si="0"/>
        <v>0</v>
      </c>
    </row>
    <row r="35" spans="2:7" x14ac:dyDescent="0.2">
      <c r="B35" s="250"/>
      <c r="C35" s="246"/>
      <c r="D35" s="246"/>
      <c r="E35" s="285"/>
      <c r="F35" s="280"/>
      <c r="G35" s="286">
        <f t="shared" si="0"/>
        <v>0</v>
      </c>
    </row>
    <row r="36" spans="2:7" x14ac:dyDescent="0.2">
      <c r="B36" s="250"/>
      <c r="C36" s="246"/>
      <c r="D36" s="246"/>
      <c r="E36" s="285"/>
      <c r="F36" s="280"/>
      <c r="G36" s="286">
        <f t="shared" si="0"/>
        <v>0</v>
      </c>
    </row>
    <row r="37" spans="2:7" x14ac:dyDescent="0.2">
      <c r="B37" s="250"/>
      <c r="C37" s="246"/>
      <c r="D37" s="246"/>
      <c r="E37" s="285"/>
      <c r="F37" s="280"/>
      <c r="G37" s="286">
        <f t="shared" si="0"/>
        <v>0</v>
      </c>
    </row>
    <row r="38" spans="2:7" x14ac:dyDescent="0.2">
      <c r="B38" s="250"/>
      <c r="C38" s="246"/>
      <c r="D38" s="246"/>
      <c r="E38" s="285"/>
      <c r="F38" s="280"/>
      <c r="G38" s="286">
        <f t="shared" si="0"/>
        <v>0</v>
      </c>
    </row>
    <row r="39" spans="2:7" x14ac:dyDescent="0.2">
      <c r="B39" s="250"/>
      <c r="C39" s="246"/>
      <c r="D39" s="246"/>
      <c r="E39" s="285"/>
      <c r="F39" s="280"/>
      <c r="G39" s="286">
        <f t="shared" si="0"/>
        <v>0</v>
      </c>
    </row>
    <row r="40" spans="2:7" x14ac:dyDescent="0.2">
      <c r="B40" s="250"/>
      <c r="C40" s="246"/>
      <c r="D40" s="246"/>
      <c r="E40" s="285"/>
      <c r="F40" s="280"/>
      <c r="G40" s="286">
        <f t="shared" si="0"/>
        <v>0</v>
      </c>
    </row>
    <row r="41" spans="2:7" x14ac:dyDescent="0.2">
      <c r="B41" s="250"/>
      <c r="C41" s="246"/>
      <c r="D41" s="246"/>
      <c r="E41" s="285"/>
      <c r="F41" s="280"/>
      <c r="G41" s="286">
        <f t="shared" si="0"/>
        <v>0</v>
      </c>
    </row>
    <row r="42" spans="2:7" x14ac:dyDescent="0.2">
      <c r="B42" s="250"/>
      <c r="C42" s="246"/>
      <c r="D42" s="246"/>
      <c r="E42" s="285"/>
      <c r="F42" s="280"/>
      <c r="G42" s="286">
        <f t="shared" si="0"/>
        <v>0</v>
      </c>
    </row>
    <row r="43" spans="2:7" x14ac:dyDescent="0.2">
      <c r="B43" s="250"/>
      <c r="C43" s="246"/>
      <c r="D43" s="246"/>
      <c r="E43" s="285"/>
      <c r="F43" s="280"/>
      <c r="G43" s="286">
        <f t="shared" si="0"/>
        <v>0</v>
      </c>
    </row>
    <row r="44" spans="2:7" x14ac:dyDescent="0.2">
      <c r="B44" s="250"/>
      <c r="C44" s="246"/>
      <c r="D44" s="246"/>
      <c r="E44" s="285"/>
      <c r="F44" s="280"/>
      <c r="G44" s="286">
        <f t="shared" si="0"/>
        <v>0</v>
      </c>
    </row>
    <row r="45" spans="2:7" x14ac:dyDescent="0.2">
      <c r="B45" s="250"/>
      <c r="C45" s="246"/>
      <c r="D45" s="246"/>
      <c r="E45" s="285"/>
      <c r="F45" s="280"/>
      <c r="G45" s="286">
        <f t="shared" si="0"/>
        <v>0</v>
      </c>
    </row>
    <row r="46" spans="2:7" x14ac:dyDescent="0.2">
      <c r="B46" s="250"/>
      <c r="C46" s="246"/>
      <c r="D46" s="246"/>
      <c r="E46" s="285"/>
      <c r="F46" s="280"/>
      <c r="G46" s="286">
        <f>E46*F46</f>
        <v>0</v>
      </c>
    </row>
    <row r="47" spans="2:7" x14ac:dyDescent="0.2">
      <c r="B47" s="227" t="s">
        <v>69</v>
      </c>
      <c r="C47" s="408"/>
      <c r="D47" s="409"/>
      <c r="E47" s="286">
        <f>SUM(E15:E46)</f>
        <v>104484663.9319977</v>
      </c>
      <c r="F47" s="16"/>
      <c r="G47" s="286">
        <f>SUM(G15:G46)</f>
        <v>1320567.7956606483</v>
      </c>
    </row>
  </sheetData>
  <sheetProtection sheet="1" insertRows="0" deleteRows="0"/>
  <mergeCells count="2">
    <mergeCell ref="C47:D47"/>
    <mergeCell ref="B6:D8"/>
  </mergeCells>
  <dataValidations count="1">
    <dataValidation type="list" allowBlank="1" showInputMessage="1" showErrorMessage="1" sqref="D15:D46" xr:uid="{A60420B9-F75F-4528-87DC-FE9F84FC8744}">
      <formula1>rSharedAssets</formula1>
    </dataValidation>
  </dataValidations>
  <pageMargins left="0.75" right="0.75" top="1" bottom="1" header="0.5" footer="0.5"/>
  <pageSetup paperSize="9" scale="30" orientation="landscape" r:id="rId1"/>
  <headerFooter alignWithMargins="0">
    <oddFooter>&amp;C_x000D_&amp;1#&amp;"Calibri"&amp;10&amp;K008000 APA-INTERNAL</oddFooter>
  </headerFooter>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89490-BD30-4413-BF43-8FBCDE3249D0}">
  <sheetPr>
    <tabColor theme="9" tint="0.79998168889431442"/>
  </sheetPr>
  <dimension ref="A1"/>
  <sheetViews>
    <sheetView showGridLines="0" workbookViewId="0"/>
  </sheetViews>
  <sheetFormatPr defaultRowHeight="12.75" x14ac:dyDescent="0.2"/>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04F30-1B1E-43E6-BCE2-20910C0D42A5}">
  <sheetPr codeName="Sheet16">
    <tabColor rgb="FF17415D"/>
  </sheetPr>
  <dimension ref="B1:BJ50"/>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RowHeight="12.75" x14ac:dyDescent="0.2"/>
  <cols>
    <col min="1" max="1" width="11.42578125" customWidth="1"/>
    <col min="2" max="2" width="22.28515625" customWidth="1"/>
    <col min="3" max="3" width="47.7109375" customWidth="1"/>
    <col min="4" max="4" width="50.5703125" customWidth="1"/>
    <col min="5" max="5" width="23.7109375" customWidth="1"/>
    <col min="6" max="13" width="9.42578125" customWidth="1"/>
    <col min="29" max="29" width="9.140625" customWidth="1"/>
    <col min="46" max="46" width="9.140625" customWidth="1"/>
    <col min="61" max="61" width="13.5703125" customWidth="1"/>
  </cols>
  <sheetData>
    <row r="1" spans="2:61" ht="20.25" customHeight="1" x14ac:dyDescent="0.2">
      <c r="B1" s="103" t="s">
        <v>66</v>
      </c>
      <c r="C1" s="103"/>
    </row>
    <row r="2" spans="2:61" ht="20.25" x14ac:dyDescent="0.2">
      <c r="B2" s="103" t="str">
        <f>IF(Tradingname=0," ",Tradingname)</f>
        <v>APT PIPELINES (NT) PTY LIMITED</v>
      </c>
      <c r="C2" s="103"/>
    </row>
    <row r="3" spans="2:61" ht="19.5" customHeight="1" x14ac:dyDescent="0.3">
      <c r="B3" s="103" t="s">
        <v>44</v>
      </c>
      <c r="C3" s="80">
        <f>IF(Yearending=0, "01/01/2000", Yearending)</f>
        <v>45838</v>
      </c>
    </row>
    <row r="4" spans="2:61" ht="20.25" x14ac:dyDescent="0.2">
      <c r="B4" s="72" t="s">
        <v>376</v>
      </c>
      <c r="C4" s="72"/>
    </row>
    <row r="6" spans="2:61" ht="15.75" customHeight="1" x14ac:dyDescent="0.2">
      <c r="B6" s="401" t="s">
        <v>377</v>
      </c>
      <c r="C6" s="401"/>
      <c r="D6" s="401"/>
    </row>
    <row r="7" spans="2:61" ht="15.75" customHeight="1" x14ac:dyDescent="0.2">
      <c r="B7" s="401"/>
      <c r="C7" s="401"/>
      <c r="D7" s="401"/>
    </row>
    <row r="9" spans="2:61" ht="15.75" x14ac:dyDescent="0.25">
      <c r="B9" s="162" t="s">
        <v>378</v>
      </c>
    </row>
    <row r="11" spans="2:61" ht="45" customHeight="1" x14ac:dyDescent="0.2">
      <c r="B11" s="52" t="s">
        <v>128</v>
      </c>
      <c r="C11" s="412" t="s">
        <v>334</v>
      </c>
      <c r="D11" s="413"/>
      <c r="E11" s="180" t="s">
        <v>69</v>
      </c>
      <c r="F11" s="410" t="s">
        <v>270</v>
      </c>
      <c r="G11" s="411"/>
      <c r="H11" s="411"/>
      <c r="I11" s="411"/>
      <c r="J11" s="411"/>
      <c r="K11" s="411"/>
      <c r="L11" s="411"/>
      <c r="M11" s="411"/>
      <c r="N11" s="411"/>
      <c r="O11" s="411"/>
      <c r="P11" s="411"/>
      <c r="Q11" s="411"/>
      <c r="R11" s="411"/>
      <c r="S11" s="411"/>
      <c r="T11" s="411"/>
      <c r="U11" s="411"/>
      <c r="V11" s="411"/>
      <c r="W11" s="411"/>
      <c r="X11" s="411"/>
      <c r="Y11" s="411"/>
      <c r="Z11" s="411"/>
      <c r="AA11" s="411"/>
      <c r="AB11" s="411"/>
      <c r="AC11" s="411"/>
      <c r="AD11" s="411"/>
      <c r="AE11" s="411"/>
      <c r="AF11" s="411"/>
      <c r="AG11" s="411"/>
      <c r="AH11" s="411"/>
      <c r="AI11" s="411"/>
      <c r="AJ11" s="411"/>
      <c r="AK11" s="411"/>
      <c r="AL11" s="411"/>
      <c r="AM11" s="411"/>
      <c r="AN11" s="411"/>
      <c r="AO11" s="411"/>
      <c r="AP11" s="411"/>
      <c r="AQ11" s="411"/>
      <c r="AR11" s="411"/>
      <c r="AS11" s="411"/>
      <c r="AT11" s="411"/>
      <c r="AU11" s="411"/>
      <c r="AV11" s="411"/>
      <c r="AW11" s="411"/>
      <c r="AX11" s="411"/>
      <c r="AY11" s="411"/>
      <c r="AZ11" s="411"/>
      <c r="BA11" s="411"/>
      <c r="BB11" s="411"/>
      <c r="BC11" s="411"/>
      <c r="BD11" s="411"/>
      <c r="BE11" s="411"/>
      <c r="BF11" s="411"/>
      <c r="BG11" s="411"/>
      <c r="BH11" s="411"/>
      <c r="BI11" s="181" t="s">
        <v>379</v>
      </c>
    </row>
    <row r="12" spans="2:61" x14ac:dyDescent="0.2">
      <c r="B12" s="236"/>
      <c r="C12" s="55"/>
      <c r="D12" s="55"/>
      <c r="E12" s="55"/>
      <c r="F12" s="57" t="str">
        <f>RIGHT(TEXT(C43,"dd/mm/yyyy"),4)</f>
        <v>1905</v>
      </c>
      <c r="G12" s="58">
        <f>F12+1</f>
        <v>1906</v>
      </c>
      <c r="H12" s="58">
        <f t="shared" ref="H12:BG12" si="0">G12+1</f>
        <v>1907</v>
      </c>
      <c r="I12" s="58">
        <f t="shared" si="0"/>
        <v>1908</v>
      </c>
      <c r="J12" s="58">
        <f t="shared" si="0"/>
        <v>1909</v>
      </c>
      <c r="K12" s="58">
        <f t="shared" si="0"/>
        <v>1910</v>
      </c>
      <c r="L12" s="58">
        <f t="shared" si="0"/>
        <v>1911</v>
      </c>
      <c r="M12" s="58">
        <f t="shared" si="0"/>
        <v>1912</v>
      </c>
      <c r="N12" s="58">
        <f t="shared" si="0"/>
        <v>1913</v>
      </c>
      <c r="O12" s="58">
        <f t="shared" si="0"/>
        <v>1914</v>
      </c>
      <c r="P12" s="58">
        <f t="shared" si="0"/>
        <v>1915</v>
      </c>
      <c r="Q12" s="58">
        <f t="shared" si="0"/>
        <v>1916</v>
      </c>
      <c r="R12" s="58">
        <f t="shared" si="0"/>
        <v>1917</v>
      </c>
      <c r="S12" s="58">
        <f t="shared" si="0"/>
        <v>1918</v>
      </c>
      <c r="T12" s="58">
        <f t="shared" si="0"/>
        <v>1919</v>
      </c>
      <c r="U12" s="58">
        <f t="shared" si="0"/>
        <v>1920</v>
      </c>
      <c r="V12" s="58">
        <f t="shared" si="0"/>
        <v>1921</v>
      </c>
      <c r="W12" s="58">
        <f t="shared" si="0"/>
        <v>1922</v>
      </c>
      <c r="X12" s="58">
        <f t="shared" si="0"/>
        <v>1923</v>
      </c>
      <c r="Y12" s="58">
        <f t="shared" si="0"/>
        <v>1924</v>
      </c>
      <c r="Z12" s="58">
        <f t="shared" si="0"/>
        <v>1925</v>
      </c>
      <c r="AA12" s="58">
        <f t="shared" si="0"/>
        <v>1926</v>
      </c>
      <c r="AB12" s="58">
        <f t="shared" si="0"/>
        <v>1927</v>
      </c>
      <c r="AC12" s="58">
        <f t="shared" si="0"/>
        <v>1928</v>
      </c>
      <c r="AD12" s="58">
        <f t="shared" si="0"/>
        <v>1929</v>
      </c>
      <c r="AE12" s="58">
        <f t="shared" si="0"/>
        <v>1930</v>
      </c>
      <c r="AF12" s="58">
        <f t="shared" si="0"/>
        <v>1931</v>
      </c>
      <c r="AG12" s="58">
        <f t="shared" si="0"/>
        <v>1932</v>
      </c>
      <c r="AH12" s="58">
        <f t="shared" si="0"/>
        <v>1933</v>
      </c>
      <c r="AI12" s="58">
        <f t="shared" si="0"/>
        <v>1934</v>
      </c>
      <c r="AJ12" s="58">
        <f t="shared" si="0"/>
        <v>1935</v>
      </c>
      <c r="AK12" s="58">
        <f t="shared" si="0"/>
        <v>1936</v>
      </c>
      <c r="AL12" s="58">
        <f t="shared" si="0"/>
        <v>1937</v>
      </c>
      <c r="AM12" s="58">
        <f t="shared" si="0"/>
        <v>1938</v>
      </c>
      <c r="AN12" s="58">
        <f t="shared" si="0"/>
        <v>1939</v>
      </c>
      <c r="AO12" s="58">
        <f t="shared" si="0"/>
        <v>1940</v>
      </c>
      <c r="AP12" s="58">
        <f t="shared" si="0"/>
        <v>1941</v>
      </c>
      <c r="AQ12" s="58">
        <f t="shared" si="0"/>
        <v>1942</v>
      </c>
      <c r="AR12" s="58">
        <f t="shared" si="0"/>
        <v>1943</v>
      </c>
      <c r="AS12" s="58">
        <f t="shared" si="0"/>
        <v>1944</v>
      </c>
      <c r="AT12" s="58">
        <f t="shared" si="0"/>
        <v>1945</v>
      </c>
      <c r="AU12" s="58">
        <f t="shared" si="0"/>
        <v>1946</v>
      </c>
      <c r="AV12" s="58">
        <f t="shared" si="0"/>
        <v>1947</v>
      </c>
      <c r="AW12" s="58">
        <f t="shared" si="0"/>
        <v>1948</v>
      </c>
      <c r="AX12" s="58">
        <f t="shared" si="0"/>
        <v>1949</v>
      </c>
      <c r="AY12" s="58">
        <f t="shared" si="0"/>
        <v>1950</v>
      </c>
      <c r="AZ12" s="58">
        <f t="shared" si="0"/>
        <v>1951</v>
      </c>
      <c r="BA12" s="58">
        <f t="shared" si="0"/>
        <v>1952</v>
      </c>
      <c r="BB12" s="58">
        <f t="shared" si="0"/>
        <v>1953</v>
      </c>
      <c r="BC12" s="58">
        <f t="shared" si="0"/>
        <v>1954</v>
      </c>
      <c r="BD12" s="58">
        <f t="shared" si="0"/>
        <v>1955</v>
      </c>
      <c r="BE12" s="58">
        <f t="shared" si="0"/>
        <v>1956</v>
      </c>
      <c r="BF12" s="58">
        <f t="shared" si="0"/>
        <v>1957</v>
      </c>
      <c r="BG12" s="58">
        <f t="shared" si="0"/>
        <v>1958</v>
      </c>
      <c r="BH12" s="58">
        <f>BG12+1</f>
        <v>1959</v>
      </c>
    </row>
    <row r="13" spans="2:61" x14ac:dyDescent="0.2">
      <c r="B13" s="252" t="s">
        <v>380</v>
      </c>
      <c r="C13" s="59" t="s">
        <v>221</v>
      </c>
      <c r="D13" s="60"/>
      <c r="E13" s="286"/>
      <c r="F13" s="307"/>
      <c r="G13" s="307"/>
      <c r="H13" s="307"/>
      <c r="I13" s="307"/>
      <c r="J13" s="307"/>
      <c r="K13" s="307"/>
      <c r="L13" s="307"/>
      <c r="M13" s="307"/>
      <c r="N13" s="307"/>
      <c r="O13" s="307"/>
      <c r="P13" s="307"/>
      <c r="Q13" s="307"/>
      <c r="R13" s="307"/>
      <c r="S13" s="307"/>
      <c r="T13" s="307"/>
      <c r="U13" s="307"/>
      <c r="V13" s="307"/>
      <c r="W13" s="307"/>
      <c r="X13" s="307"/>
      <c r="Y13" s="307"/>
      <c r="Z13" s="307"/>
      <c r="AA13" s="307"/>
      <c r="AB13" s="307"/>
      <c r="AC13" s="307"/>
      <c r="AD13" s="307"/>
      <c r="AE13" s="307"/>
      <c r="AF13" s="307"/>
      <c r="AG13" s="307"/>
      <c r="AH13" s="307"/>
      <c r="AI13" s="307"/>
      <c r="AJ13" s="307"/>
      <c r="AK13" s="307"/>
      <c r="AL13" s="307"/>
      <c r="AM13" s="307"/>
      <c r="AN13" s="307"/>
      <c r="AO13" s="307"/>
      <c r="AP13" s="307"/>
      <c r="AQ13" s="307"/>
      <c r="AR13" s="307"/>
      <c r="AS13" s="307"/>
      <c r="AT13" s="307"/>
      <c r="AU13" s="307"/>
      <c r="AV13" s="307"/>
      <c r="AW13" s="307"/>
      <c r="AX13" s="307"/>
      <c r="AY13" s="307"/>
      <c r="AZ13" s="307"/>
      <c r="BA13" s="307"/>
      <c r="BB13" s="307"/>
      <c r="BC13" s="307"/>
      <c r="BD13" s="307"/>
      <c r="BE13" s="307"/>
      <c r="BF13" s="307"/>
      <c r="BG13" s="307"/>
      <c r="BH13" s="307"/>
    </row>
    <row r="14" spans="2:61" x14ac:dyDescent="0.2">
      <c r="B14" s="252"/>
      <c r="C14" s="59"/>
      <c r="D14" s="60" t="s">
        <v>381</v>
      </c>
      <c r="E14" s="286">
        <f t="shared" ref="E14:E20" si="1">SUM(F14:BH14)</f>
        <v>0</v>
      </c>
      <c r="F14" s="261"/>
      <c r="G14" s="261"/>
      <c r="H14" s="261"/>
      <c r="I14" s="261"/>
      <c r="J14" s="261"/>
      <c r="K14" s="261"/>
      <c r="L14" s="261"/>
      <c r="M14" s="261"/>
      <c r="N14" s="261"/>
      <c r="O14" s="261"/>
      <c r="P14" s="261"/>
      <c r="Q14" s="261"/>
      <c r="R14" s="261"/>
      <c r="S14" s="261"/>
      <c r="T14" s="261"/>
      <c r="U14" s="261"/>
      <c r="V14" s="261"/>
      <c r="W14" s="261"/>
      <c r="X14" s="261"/>
      <c r="Y14" s="261"/>
      <c r="Z14" s="261"/>
      <c r="AA14" s="261"/>
      <c r="AB14" s="261"/>
      <c r="AC14" s="261"/>
      <c r="AD14" s="261"/>
      <c r="AE14" s="261"/>
      <c r="AF14" s="261"/>
      <c r="AG14" s="261"/>
      <c r="AH14" s="261"/>
      <c r="AI14" s="261"/>
      <c r="AJ14" s="261"/>
      <c r="AK14" s="261"/>
      <c r="AL14" s="261"/>
      <c r="AM14" s="261"/>
      <c r="AN14" s="261"/>
      <c r="AO14" s="261"/>
      <c r="AP14" s="261"/>
      <c r="AQ14" s="261"/>
      <c r="AR14" s="261"/>
      <c r="AS14" s="261"/>
      <c r="AT14" s="261"/>
      <c r="AU14" s="261"/>
      <c r="AV14" s="261"/>
      <c r="AW14" s="261"/>
      <c r="AX14" s="261"/>
      <c r="AY14" s="261"/>
      <c r="AZ14" s="261"/>
      <c r="BA14" s="261"/>
      <c r="BB14" s="261"/>
      <c r="BC14" s="261"/>
      <c r="BD14" s="261"/>
      <c r="BE14" s="261"/>
      <c r="BF14" s="261"/>
      <c r="BG14" s="261"/>
      <c r="BH14" s="261"/>
    </row>
    <row r="15" spans="2:61" x14ac:dyDescent="0.2">
      <c r="B15" s="252"/>
      <c r="C15" s="59"/>
      <c r="D15" s="60" t="s">
        <v>382</v>
      </c>
      <c r="E15" s="286">
        <f t="shared" si="1"/>
        <v>0</v>
      </c>
      <c r="F15" s="261"/>
      <c r="G15" s="261"/>
      <c r="H15" s="261"/>
      <c r="I15" s="261"/>
      <c r="J15" s="261"/>
      <c r="K15" s="261"/>
      <c r="L15" s="261"/>
      <c r="M15" s="261"/>
      <c r="N15" s="261"/>
      <c r="O15" s="261"/>
      <c r="P15" s="261"/>
      <c r="Q15" s="261"/>
      <c r="R15" s="261"/>
      <c r="S15" s="261"/>
      <c r="T15" s="261"/>
      <c r="U15" s="261"/>
      <c r="V15" s="261"/>
      <c r="W15" s="261"/>
      <c r="X15" s="261"/>
      <c r="Y15" s="261"/>
      <c r="Z15" s="261"/>
      <c r="AA15" s="261"/>
      <c r="AB15" s="261"/>
      <c r="AC15" s="261"/>
      <c r="AD15" s="261"/>
      <c r="AE15" s="261"/>
      <c r="AF15" s="261"/>
      <c r="AG15" s="261"/>
      <c r="AH15" s="261"/>
      <c r="AI15" s="261"/>
      <c r="AJ15" s="261"/>
      <c r="AK15" s="261"/>
      <c r="AL15" s="261"/>
      <c r="AM15" s="261"/>
      <c r="AN15" s="261"/>
      <c r="AO15" s="261"/>
      <c r="AP15" s="261"/>
      <c r="AQ15" s="261"/>
      <c r="AR15" s="261"/>
      <c r="AS15" s="261"/>
      <c r="AT15" s="261"/>
      <c r="AU15" s="261"/>
      <c r="AV15" s="261"/>
      <c r="AW15" s="261"/>
      <c r="AX15" s="261"/>
      <c r="AY15" s="261"/>
      <c r="AZ15" s="261"/>
      <c r="BA15" s="261"/>
      <c r="BB15" s="261"/>
      <c r="BC15" s="261"/>
      <c r="BD15" s="261"/>
      <c r="BE15" s="261"/>
      <c r="BF15" s="261"/>
      <c r="BG15" s="261"/>
      <c r="BH15" s="261"/>
    </row>
    <row r="16" spans="2:61" x14ac:dyDescent="0.2">
      <c r="B16" s="252"/>
      <c r="C16" s="59"/>
      <c r="D16" s="60" t="s">
        <v>225</v>
      </c>
      <c r="E16" s="286">
        <f t="shared" si="1"/>
        <v>0</v>
      </c>
      <c r="F16" s="261"/>
      <c r="G16" s="261"/>
      <c r="H16" s="261"/>
      <c r="I16" s="261"/>
      <c r="J16" s="261"/>
      <c r="K16" s="261"/>
      <c r="L16" s="261"/>
      <c r="M16" s="261"/>
      <c r="N16" s="261"/>
      <c r="O16" s="261"/>
      <c r="P16" s="261"/>
      <c r="Q16" s="261"/>
      <c r="R16" s="261"/>
      <c r="S16" s="261"/>
      <c r="T16" s="261"/>
      <c r="U16" s="261"/>
      <c r="V16" s="261"/>
      <c r="W16" s="261"/>
      <c r="X16" s="261"/>
      <c r="Y16" s="261"/>
      <c r="Z16" s="261"/>
      <c r="AA16" s="261"/>
      <c r="AB16" s="261"/>
      <c r="AC16" s="261"/>
      <c r="AD16" s="261"/>
      <c r="AE16" s="261"/>
      <c r="AF16" s="261"/>
      <c r="AG16" s="261"/>
      <c r="AH16" s="261"/>
      <c r="AI16" s="261"/>
      <c r="AJ16" s="261"/>
      <c r="AK16" s="261"/>
      <c r="AL16" s="261"/>
      <c r="AM16" s="261"/>
      <c r="AN16" s="261"/>
      <c r="AO16" s="261"/>
      <c r="AP16" s="261"/>
      <c r="AQ16" s="261"/>
      <c r="AR16" s="261"/>
      <c r="AS16" s="261"/>
      <c r="AT16" s="261"/>
      <c r="AU16" s="261"/>
      <c r="AV16" s="261"/>
      <c r="AW16" s="261"/>
      <c r="AX16" s="261"/>
      <c r="AY16" s="261"/>
      <c r="AZ16" s="261"/>
      <c r="BA16" s="261"/>
      <c r="BB16" s="261"/>
      <c r="BC16" s="261"/>
      <c r="BD16" s="261"/>
      <c r="BE16" s="261"/>
      <c r="BF16" s="261"/>
      <c r="BG16" s="261"/>
      <c r="BH16" s="261"/>
    </row>
    <row r="17" spans="2:62" x14ac:dyDescent="0.2">
      <c r="B17" s="252"/>
      <c r="C17" s="59"/>
      <c r="D17" s="60" t="s">
        <v>383</v>
      </c>
      <c r="E17" s="286">
        <f t="shared" si="1"/>
        <v>0</v>
      </c>
      <c r="F17" s="261"/>
      <c r="G17" s="261"/>
      <c r="H17" s="261"/>
      <c r="I17" s="261"/>
      <c r="J17" s="261"/>
      <c r="K17" s="261"/>
      <c r="L17" s="261"/>
      <c r="M17" s="261"/>
      <c r="N17" s="261"/>
      <c r="O17" s="261"/>
      <c r="P17" s="261"/>
      <c r="Q17" s="261"/>
      <c r="R17" s="261"/>
      <c r="S17" s="261"/>
      <c r="T17" s="261"/>
      <c r="U17" s="261"/>
      <c r="V17" s="261"/>
      <c r="W17" s="261"/>
      <c r="X17" s="261"/>
      <c r="Y17" s="261"/>
      <c r="Z17" s="261"/>
      <c r="AA17" s="261"/>
      <c r="AB17" s="261"/>
      <c r="AC17" s="261"/>
      <c r="AD17" s="261"/>
      <c r="AE17" s="261"/>
      <c r="AF17" s="261"/>
      <c r="AG17" s="261"/>
      <c r="AH17" s="261"/>
      <c r="AI17" s="261"/>
      <c r="AJ17" s="261"/>
      <c r="AK17" s="261"/>
      <c r="AL17" s="261"/>
      <c r="AM17" s="261"/>
      <c r="AN17" s="261"/>
      <c r="AO17" s="261"/>
      <c r="AP17" s="261"/>
      <c r="AQ17" s="261"/>
      <c r="AR17" s="261"/>
      <c r="AS17" s="261"/>
      <c r="AT17" s="261"/>
      <c r="AU17" s="261"/>
      <c r="AV17" s="261"/>
      <c r="AW17" s="261"/>
      <c r="AX17" s="261"/>
      <c r="AY17" s="261"/>
      <c r="AZ17" s="261"/>
      <c r="BA17" s="261"/>
      <c r="BB17" s="261"/>
      <c r="BC17" s="261"/>
      <c r="BD17" s="261"/>
      <c r="BE17" s="261"/>
      <c r="BF17" s="261"/>
      <c r="BG17" s="261"/>
      <c r="BH17" s="261"/>
    </row>
    <row r="18" spans="2:62" x14ac:dyDescent="0.2">
      <c r="B18" s="252"/>
      <c r="C18" s="59"/>
      <c r="D18" s="60" t="s">
        <v>384</v>
      </c>
      <c r="E18" s="286">
        <f t="shared" si="1"/>
        <v>0</v>
      </c>
      <c r="F18" s="261"/>
      <c r="G18" s="261"/>
      <c r="H18" s="261"/>
      <c r="I18" s="261"/>
      <c r="J18" s="261"/>
      <c r="K18" s="261"/>
      <c r="L18" s="261"/>
      <c r="M18" s="261"/>
      <c r="N18" s="261"/>
      <c r="O18" s="261"/>
      <c r="P18" s="261"/>
      <c r="Q18" s="261"/>
      <c r="R18" s="261"/>
      <c r="S18" s="261"/>
      <c r="T18" s="261"/>
      <c r="U18" s="261"/>
      <c r="V18" s="261"/>
      <c r="W18" s="261"/>
      <c r="X18" s="261"/>
      <c r="Y18" s="261"/>
      <c r="Z18" s="261"/>
      <c r="AA18" s="261"/>
      <c r="AB18" s="261"/>
      <c r="AC18" s="261"/>
      <c r="AD18" s="261"/>
      <c r="AE18" s="261"/>
      <c r="AF18" s="261"/>
      <c r="AG18" s="261"/>
      <c r="AH18" s="261"/>
      <c r="AI18" s="261"/>
      <c r="AJ18" s="261"/>
      <c r="AK18" s="261"/>
      <c r="AL18" s="261"/>
      <c r="AM18" s="261"/>
      <c r="AN18" s="261"/>
      <c r="AO18" s="261"/>
      <c r="AP18" s="261"/>
      <c r="AQ18" s="261"/>
      <c r="AR18" s="261"/>
      <c r="AS18" s="261"/>
      <c r="AT18" s="261"/>
      <c r="AU18" s="261"/>
      <c r="AV18" s="261"/>
      <c r="AW18" s="261"/>
      <c r="AX18" s="261"/>
      <c r="AY18" s="261"/>
      <c r="AZ18" s="261"/>
      <c r="BA18" s="261"/>
      <c r="BB18" s="261"/>
      <c r="BC18" s="261"/>
      <c r="BD18" s="261"/>
      <c r="BE18" s="261"/>
      <c r="BF18" s="261"/>
      <c r="BG18" s="261"/>
      <c r="BH18" s="261"/>
    </row>
    <row r="19" spans="2:62" x14ac:dyDescent="0.2">
      <c r="B19" s="252"/>
      <c r="C19" s="59"/>
      <c r="D19" s="60" t="s">
        <v>385</v>
      </c>
      <c r="E19" s="286">
        <f t="shared" si="1"/>
        <v>0</v>
      </c>
      <c r="F19" s="261"/>
      <c r="G19" s="261"/>
      <c r="H19" s="261"/>
      <c r="I19" s="261"/>
      <c r="J19" s="261"/>
      <c r="K19" s="261"/>
      <c r="L19" s="261"/>
      <c r="M19" s="261"/>
      <c r="N19" s="261"/>
      <c r="O19" s="261"/>
      <c r="P19" s="261"/>
      <c r="Q19" s="261"/>
      <c r="R19" s="261"/>
      <c r="S19" s="261"/>
      <c r="T19" s="261"/>
      <c r="U19" s="261"/>
      <c r="V19" s="261"/>
      <c r="W19" s="261"/>
      <c r="X19" s="261"/>
      <c r="Y19" s="261"/>
      <c r="Z19" s="261"/>
      <c r="AA19" s="261"/>
      <c r="AB19" s="261"/>
      <c r="AC19" s="261"/>
      <c r="AD19" s="261"/>
      <c r="AE19" s="261"/>
      <c r="AF19" s="261"/>
      <c r="AG19" s="261"/>
      <c r="AH19" s="261"/>
      <c r="AI19" s="261"/>
      <c r="AJ19" s="261"/>
      <c r="AK19" s="261"/>
      <c r="AL19" s="261"/>
      <c r="AM19" s="261"/>
      <c r="AN19" s="261"/>
      <c r="AO19" s="261"/>
      <c r="AP19" s="261"/>
      <c r="AQ19" s="261"/>
      <c r="AR19" s="261"/>
      <c r="AS19" s="261"/>
      <c r="AT19" s="261"/>
      <c r="AU19" s="261"/>
      <c r="AV19" s="261"/>
      <c r="AW19" s="261"/>
      <c r="AX19" s="261"/>
      <c r="AY19" s="261"/>
      <c r="AZ19" s="261"/>
      <c r="BA19" s="261"/>
      <c r="BB19" s="261"/>
      <c r="BC19" s="261"/>
      <c r="BD19" s="261"/>
      <c r="BE19" s="261"/>
      <c r="BF19" s="261"/>
      <c r="BG19" s="261"/>
      <c r="BH19" s="261"/>
    </row>
    <row r="20" spans="2:62" x14ac:dyDescent="0.2">
      <c r="B20" s="252"/>
      <c r="C20" s="59"/>
      <c r="D20" s="173" t="s">
        <v>386</v>
      </c>
      <c r="E20" s="286">
        <f t="shared" si="1"/>
        <v>0</v>
      </c>
      <c r="F20" s="15">
        <f t="shared" ref="F20:AK20" si="2">SUM(F13:F19)</f>
        <v>0</v>
      </c>
      <c r="G20" s="15">
        <f t="shared" si="2"/>
        <v>0</v>
      </c>
      <c r="H20" s="15">
        <f t="shared" si="2"/>
        <v>0</v>
      </c>
      <c r="I20" s="15">
        <f t="shared" si="2"/>
        <v>0</v>
      </c>
      <c r="J20" s="15">
        <f t="shared" si="2"/>
        <v>0</v>
      </c>
      <c r="K20" s="15">
        <f t="shared" si="2"/>
        <v>0</v>
      </c>
      <c r="L20" s="15">
        <f t="shared" si="2"/>
        <v>0</v>
      </c>
      <c r="M20" s="15">
        <f t="shared" si="2"/>
        <v>0</v>
      </c>
      <c r="N20" s="15">
        <f t="shared" si="2"/>
        <v>0</v>
      </c>
      <c r="O20" s="15">
        <f t="shared" si="2"/>
        <v>0</v>
      </c>
      <c r="P20" s="15">
        <f t="shared" si="2"/>
        <v>0</v>
      </c>
      <c r="Q20" s="15">
        <f t="shared" si="2"/>
        <v>0</v>
      </c>
      <c r="R20" s="15">
        <f t="shared" si="2"/>
        <v>0</v>
      </c>
      <c r="S20" s="15">
        <f t="shared" si="2"/>
        <v>0</v>
      </c>
      <c r="T20" s="15">
        <f t="shared" si="2"/>
        <v>0</v>
      </c>
      <c r="U20" s="15">
        <f t="shared" si="2"/>
        <v>0</v>
      </c>
      <c r="V20" s="15">
        <f t="shared" si="2"/>
        <v>0</v>
      </c>
      <c r="W20" s="15">
        <f t="shared" si="2"/>
        <v>0</v>
      </c>
      <c r="X20" s="15">
        <f t="shared" si="2"/>
        <v>0</v>
      </c>
      <c r="Y20" s="15">
        <f t="shared" si="2"/>
        <v>0</v>
      </c>
      <c r="Z20" s="15">
        <f t="shared" si="2"/>
        <v>0</v>
      </c>
      <c r="AA20" s="15">
        <f t="shared" si="2"/>
        <v>0</v>
      </c>
      <c r="AB20" s="15">
        <f t="shared" si="2"/>
        <v>0</v>
      </c>
      <c r="AC20" s="15">
        <f t="shared" si="2"/>
        <v>0</v>
      </c>
      <c r="AD20" s="15">
        <f t="shared" si="2"/>
        <v>0</v>
      </c>
      <c r="AE20" s="15">
        <f t="shared" si="2"/>
        <v>0</v>
      </c>
      <c r="AF20" s="15">
        <f t="shared" si="2"/>
        <v>0</v>
      </c>
      <c r="AG20" s="15">
        <f t="shared" si="2"/>
        <v>0</v>
      </c>
      <c r="AH20" s="15">
        <f t="shared" si="2"/>
        <v>0</v>
      </c>
      <c r="AI20" s="15">
        <f t="shared" si="2"/>
        <v>0</v>
      </c>
      <c r="AJ20" s="15">
        <f t="shared" si="2"/>
        <v>0</v>
      </c>
      <c r="AK20" s="15">
        <f t="shared" si="2"/>
        <v>0</v>
      </c>
      <c r="AL20" s="15">
        <f t="shared" ref="AL20:BH20" si="3">SUM(AL13:AL19)</f>
        <v>0</v>
      </c>
      <c r="AM20" s="15">
        <f t="shared" si="3"/>
        <v>0</v>
      </c>
      <c r="AN20" s="15">
        <f t="shared" si="3"/>
        <v>0</v>
      </c>
      <c r="AO20" s="15">
        <f t="shared" si="3"/>
        <v>0</v>
      </c>
      <c r="AP20" s="15">
        <f t="shared" si="3"/>
        <v>0</v>
      </c>
      <c r="AQ20" s="15">
        <f t="shared" si="3"/>
        <v>0</v>
      </c>
      <c r="AR20" s="15">
        <f t="shared" si="3"/>
        <v>0</v>
      </c>
      <c r="AS20" s="15">
        <f t="shared" si="3"/>
        <v>0</v>
      </c>
      <c r="AT20" s="15">
        <f t="shared" si="3"/>
        <v>0</v>
      </c>
      <c r="AU20" s="15">
        <f t="shared" si="3"/>
        <v>0</v>
      </c>
      <c r="AV20" s="15">
        <f t="shared" si="3"/>
        <v>0</v>
      </c>
      <c r="AW20" s="15">
        <f t="shared" si="3"/>
        <v>0</v>
      </c>
      <c r="AX20" s="15">
        <f t="shared" si="3"/>
        <v>0</v>
      </c>
      <c r="AY20" s="15">
        <f t="shared" si="3"/>
        <v>0</v>
      </c>
      <c r="AZ20" s="15">
        <f t="shared" si="3"/>
        <v>0</v>
      </c>
      <c r="BA20" s="15">
        <f t="shared" si="3"/>
        <v>0</v>
      </c>
      <c r="BB20" s="15">
        <f t="shared" si="3"/>
        <v>0</v>
      </c>
      <c r="BC20" s="15">
        <f t="shared" si="3"/>
        <v>0</v>
      </c>
      <c r="BD20" s="15">
        <f t="shared" si="3"/>
        <v>0</v>
      </c>
      <c r="BE20" s="15">
        <f t="shared" si="3"/>
        <v>0</v>
      </c>
      <c r="BF20" s="15">
        <f t="shared" si="3"/>
        <v>0</v>
      </c>
      <c r="BG20" s="15">
        <f t="shared" si="3"/>
        <v>0</v>
      </c>
      <c r="BH20" s="15">
        <f t="shared" si="3"/>
        <v>0</v>
      </c>
    </row>
    <row r="21" spans="2:62" x14ac:dyDescent="0.2">
      <c r="B21" s="252"/>
      <c r="C21" s="59" t="s">
        <v>387</v>
      </c>
      <c r="D21" s="59"/>
      <c r="E21" s="286"/>
      <c r="F21" s="307"/>
      <c r="G21" s="307"/>
      <c r="H21" s="307"/>
      <c r="I21" s="307"/>
      <c r="J21" s="307"/>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row>
    <row r="22" spans="2:62" ht="25.5" x14ac:dyDescent="0.2">
      <c r="B22" s="252"/>
      <c r="C22" s="59"/>
      <c r="D22" s="60" t="s">
        <v>388</v>
      </c>
      <c r="E22" s="286">
        <f t="shared" ref="E22:E27" si="4">SUM(F22:BH22)</f>
        <v>0</v>
      </c>
      <c r="F22" s="261"/>
      <c r="G22" s="261"/>
      <c r="H22" s="261"/>
      <c r="I22" s="261"/>
      <c r="J22" s="261"/>
      <c r="K22" s="261"/>
      <c r="L22" s="261"/>
      <c r="M22" s="261"/>
      <c r="N22" s="261"/>
      <c r="O22" s="261"/>
      <c r="P22" s="261"/>
      <c r="Q22" s="261"/>
      <c r="R22" s="261"/>
      <c r="S22" s="261"/>
      <c r="T22" s="261"/>
      <c r="U22" s="261"/>
      <c r="V22" s="261"/>
      <c r="W22" s="261"/>
      <c r="X22" s="261"/>
      <c r="Y22" s="261"/>
      <c r="Z22" s="261"/>
      <c r="AA22" s="261"/>
      <c r="AB22" s="261"/>
      <c r="AC22" s="261"/>
      <c r="AD22" s="261"/>
      <c r="AE22" s="261"/>
      <c r="AF22" s="261"/>
      <c r="AG22" s="261"/>
      <c r="AH22" s="261"/>
      <c r="AI22" s="261"/>
      <c r="AJ22" s="261"/>
      <c r="AK22" s="261"/>
      <c r="AL22" s="261"/>
      <c r="AM22" s="261"/>
      <c r="AN22" s="261"/>
      <c r="AO22" s="261"/>
      <c r="AP22" s="261"/>
      <c r="AQ22" s="261"/>
      <c r="AR22" s="261"/>
      <c r="AS22" s="261"/>
      <c r="AT22" s="261"/>
      <c r="AU22" s="261"/>
      <c r="AV22" s="261"/>
      <c r="AW22" s="261"/>
      <c r="AX22" s="261"/>
      <c r="AY22" s="261"/>
      <c r="AZ22" s="261"/>
      <c r="BA22" s="261"/>
      <c r="BB22" s="261"/>
      <c r="BC22" s="261"/>
      <c r="BD22" s="261"/>
      <c r="BE22" s="261"/>
      <c r="BF22" s="261"/>
      <c r="BG22" s="261"/>
      <c r="BH22" s="261"/>
    </row>
    <row r="23" spans="2:62" x14ac:dyDescent="0.2">
      <c r="B23" s="252"/>
      <c r="C23" s="59"/>
      <c r="D23" s="60" t="s">
        <v>382</v>
      </c>
      <c r="E23" s="286">
        <f t="shared" si="4"/>
        <v>0</v>
      </c>
      <c r="F23" s="261"/>
      <c r="G23" s="261"/>
      <c r="H23" s="261"/>
      <c r="I23" s="261"/>
      <c r="J23" s="261"/>
      <c r="K23" s="261"/>
      <c r="L23" s="261"/>
      <c r="M23" s="261"/>
      <c r="N23" s="261"/>
      <c r="O23" s="261"/>
      <c r="P23" s="261"/>
      <c r="Q23" s="261"/>
      <c r="R23" s="261"/>
      <c r="S23" s="261"/>
      <c r="T23" s="261"/>
      <c r="U23" s="261"/>
      <c r="V23" s="261"/>
      <c r="W23" s="261"/>
      <c r="X23" s="261"/>
      <c r="Y23" s="261"/>
      <c r="Z23" s="261"/>
      <c r="AA23" s="261"/>
      <c r="AB23" s="261"/>
      <c r="AC23" s="261"/>
      <c r="AD23" s="261"/>
      <c r="AE23" s="261"/>
      <c r="AF23" s="261"/>
      <c r="AG23" s="261"/>
      <c r="AH23" s="261"/>
      <c r="AI23" s="261"/>
      <c r="AJ23" s="261"/>
      <c r="AK23" s="261"/>
      <c r="AL23" s="261"/>
      <c r="AM23" s="261"/>
      <c r="AN23" s="261"/>
      <c r="AO23" s="261"/>
      <c r="AP23" s="261"/>
      <c r="AQ23" s="261"/>
      <c r="AR23" s="261"/>
      <c r="AS23" s="261"/>
      <c r="AT23" s="261"/>
      <c r="AU23" s="261"/>
      <c r="AV23" s="261"/>
      <c r="AW23" s="261"/>
      <c r="AX23" s="261"/>
      <c r="AY23" s="261"/>
      <c r="AZ23" s="261"/>
      <c r="BA23" s="261"/>
      <c r="BB23" s="261"/>
      <c r="BC23" s="261"/>
      <c r="BD23" s="261"/>
      <c r="BE23" s="261"/>
      <c r="BF23" s="261"/>
      <c r="BG23" s="261"/>
      <c r="BH23" s="261"/>
    </row>
    <row r="24" spans="2:62" x14ac:dyDescent="0.2">
      <c r="B24" s="252"/>
      <c r="C24" s="59"/>
      <c r="D24" s="60" t="s">
        <v>225</v>
      </c>
      <c r="E24" s="286">
        <f t="shared" si="4"/>
        <v>0</v>
      </c>
      <c r="F24" s="261"/>
      <c r="G24" s="261"/>
      <c r="H24" s="261"/>
      <c r="I24" s="261"/>
      <c r="J24" s="261"/>
      <c r="K24" s="261"/>
      <c r="L24" s="261"/>
      <c r="M24" s="261"/>
      <c r="N24" s="261"/>
      <c r="O24" s="261"/>
      <c r="P24" s="261"/>
      <c r="Q24" s="261"/>
      <c r="R24" s="261"/>
      <c r="S24" s="261"/>
      <c r="T24" s="261"/>
      <c r="U24" s="261"/>
      <c r="V24" s="261"/>
      <c r="W24" s="261"/>
      <c r="X24" s="261"/>
      <c r="Y24" s="261"/>
      <c r="Z24" s="261"/>
      <c r="AA24" s="261"/>
      <c r="AB24" s="261"/>
      <c r="AC24" s="261"/>
      <c r="AD24" s="261"/>
      <c r="AE24" s="261"/>
      <c r="AF24" s="261"/>
      <c r="AG24" s="261"/>
      <c r="AH24" s="261"/>
      <c r="AI24" s="261"/>
      <c r="AJ24" s="261"/>
      <c r="AK24" s="261"/>
      <c r="AL24" s="261"/>
      <c r="AM24" s="261"/>
      <c r="AN24" s="261"/>
      <c r="AO24" s="261"/>
      <c r="AP24" s="261"/>
      <c r="AQ24" s="261"/>
      <c r="AR24" s="261"/>
      <c r="AS24" s="261"/>
      <c r="AT24" s="261"/>
      <c r="AU24" s="261"/>
      <c r="AV24" s="261"/>
      <c r="AW24" s="261"/>
      <c r="AX24" s="261"/>
      <c r="AY24" s="261"/>
      <c r="AZ24" s="261"/>
      <c r="BA24" s="261"/>
      <c r="BB24" s="261"/>
      <c r="BC24" s="261"/>
      <c r="BD24" s="261"/>
      <c r="BE24" s="261"/>
      <c r="BF24" s="261"/>
      <c r="BG24" s="261"/>
      <c r="BH24" s="261"/>
    </row>
    <row r="25" spans="2:62" x14ac:dyDescent="0.2">
      <c r="B25" s="252"/>
      <c r="C25" s="59"/>
      <c r="D25" s="60" t="s">
        <v>383</v>
      </c>
      <c r="E25" s="286">
        <f t="shared" si="4"/>
        <v>0</v>
      </c>
      <c r="F25" s="261"/>
      <c r="G25" s="261"/>
      <c r="H25" s="261"/>
      <c r="I25" s="261"/>
      <c r="J25" s="261"/>
      <c r="K25" s="261"/>
      <c r="L25" s="261"/>
      <c r="M25" s="261"/>
      <c r="N25" s="261"/>
      <c r="O25" s="261"/>
      <c r="P25" s="261"/>
      <c r="Q25" s="261"/>
      <c r="R25" s="261"/>
      <c r="S25" s="261"/>
      <c r="T25" s="261"/>
      <c r="U25" s="261"/>
      <c r="V25" s="261"/>
      <c r="W25" s="261"/>
      <c r="X25" s="261"/>
      <c r="Y25" s="261"/>
      <c r="Z25" s="261"/>
      <c r="AA25" s="261"/>
      <c r="AB25" s="261"/>
      <c r="AC25" s="261"/>
      <c r="AD25" s="261"/>
      <c r="AE25" s="261"/>
      <c r="AF25" s="261"/>
      <c r="AG25" s="261"/>
      <c r="AH25" s="261"/>
      <c r="AI25" s="261"/>
      <c r="AJ25" s="261"/>
      <c r="AK25" s="261"/>
      <c r="AL25" s="261"/>
      <c r="AM25" s="261"/>
      <c r="AN25" s="261"/>
      <c r="AO25" s="261"/>
      <c r="AP25" s="261"/>
      <c r="AQ25" s="261"/>
      <c r="AR25" s="261"/>
      <c r="AS25" s="261"/>
      <c r="AT25" s="261"/>
      <c r="AU25" s="261"/>
      <c r="AV25" s="261"/>
      <c r="AW25" s="261"/>
      <c r="AX25" s="261"/>
      <c r="AY25" s="261"/>
      <c r="AZ25" s="261"/>
      <c r="BA25" s="261"/>
      <c r="BB25" s="261"/>
      <c r="BC25" s="261"/>
      <c r="BD25" s="261"/>
      <c r="BE25" s="261"/>
      <c r="BF25" s="261"/>
      <c r="BG25" s="261"/>
      <c r="BH25" s="261"/>
    </row>
    <row r="26" spans="2:62" x14ac:dyDescent="0.2">
      <c r="B26" s="252"/>
      <c r="C26" s="59"/>
      <c r="D26" s="60" t="s">
        <v>384</v>
      </c>
      <c r="E26" s="286">
        <f t="shared" si="4"/>
        <v>0</v>
      </c>
      <c r="F26" s="261"/>
      <c r="G26" s="261"/>
      <c r="H26" s="261"/>
      <c r="I26" s="261"/>
      <c r="J26" s="261"/>
      <c r="K26" s="261"/>
      <c r="L26" s="261"/>
      <c r="M26" s="261"/>
      <c r="N26" s="261"/>
      <c r="O26" s="261"/>
      <c r="P26" s="261"/>
      <c r="Q26" s="261"/>
      <c r="R26" s="261"/>
      <c r="S26" s="261"/>
      <c r="T26" s="261"/>
      <c r="U26" s="261"/>
      <c r="V26" s="261"/>
      <c r="W26" s="261"/>
      <c r="X26" s="261"/>
      <c r="Y26" s="261"/>
      <c r="Z26" s="261"/>
      <c r="AA26" s="261"/>
      <c r="AB26" s="261"/>
      <c r="AC26" s="261"/>
      <c r="AD26" s="261"/>
      <c r="AE26" s="261"/>
      <c r="AF26" s="261"/>
      <c r="AG26" s="261"/>
      <c r="AH26" s="261"/>
      <c r="AI26" s="261"/>
      <c r="AJ26" s="261"/>
      <c r="AK26" s="261"/>
      <c r="AL26" s="261"/>
      <c r="AM26" s="261"/>
      <c r="AN26" s="261"/>
      <c r="AO26" s="261"/>
      <c r="AP26" s="261"/>
      <c r="AQ26" s="261"/>
      <c r="AR26" s="261"/>
      <c r="AS26" s="261"/>
      <c r="AT26" s="261"/>
      <c r="AU26" s="261"/>
      <c r="AV26" s="261"/>
      <c r="AW26" s="261"/>
      <c r="AX26" s="261"/>
      <c r="AY26" s="261"/>
      <c r="AZ26" s="261"/>
      <c r="BA26" s="261"/>
      <c r="BB26" s="261"/>
      <c r="BC26" s="261"/>
      <c r="BD26" s="261"/>
      <c r="BE26" s="261"/>
      <c r="BF26" s="261"/>
      <c r="BG26" s="261"/>
      <c r="BH26" s="261"/>
    </row>
    <row r="27" spans="2:62" x14ac:dyDescent="0.2">
      <c r="B27" s="252"/>
      <c r="C27" s="59"/>
      <c r="D27" s="60" t="s">
        <v>385</v>
      </c>
      <c r="E27" s="286">
        <f t="shared" si="4"/>
        <v>0</v>
      </c>
      <c r="F27" s="261"/>
      <c r="G27" s="261"/>
      <c r="H27" s="261"/>
      <c r="I27" s="261"/>
      <c r="J27" s="261"/>
      <c r="K27" s="261"/>
      <c r="L27" s="261"/>
      <c r="M27" s="261"/>
      <c r="N27" s="261"/>
      <c r="O27" s="261"/>
      <c r="P27" s="261"/>
      <c r="Q27" s="261"/>
      <c r="R27" s="261"/>
      <c r="S27" s="261"/>
      <c r="T27" s="261"/>
      <c r="U27" s="261"/>
      <c r="V27" s="261"/>
      <c r="W27" s="261"/>
      <c r="X27" s="261"/>
      <c r="Y27" s="261"/>
      <c r="Z27" s="261"/>
      <c r="AA27" s="261"/>
      <c r="AB27" s="261"/>
      <c r="AC27" s="261"/>
      <c r="AD27" s="261"/>
      <c r="AE27" s="261"/>
      <c r="AF27" s="261"/>
      <c r="AG27" s="261"/>
      <c r="AH27" s="261"/>
      <c r="AI27" s="261"/>
      <c r="AJ27" s="261"/>
      <c r="AK27" s="261"/>
      <c r="AL27" s="261"/>
      <c r="AM27" s="261"/>
      <c r="AN27" s="261"/>
      <c r="AO27" s="261"/>
      <c r="AP27" s="261"/>
      <c r="AQ27" s="261"/>
      <c r="AR27" s="261"/>
      <c r="AS27" s="261"/>
      <c r="AT27" s="261"/>
      <c r="AU27" s="261"/>
      <c r="AV27" s="261"/>
      <c r="AW27" s="261"/>
      <c r="AX27" s="261"/>
      <c r="AY27" s="261"/>
      <c r="AZ27" s="261"/>
      <c r="BA27" s="261"/>
      <c r="BB27" s="261"/>
      <c r="BC27" s="261"/>
      <c r="BD27" s="261"/>
      <c r="BE27" s="261"/>
      <c r="BF27" s="261"/>
      <c r="BG27" s="261"/>
      <c r="BH27" s="261"/>
    </row>
    <row r="28" spans="2:62" x14ac:dyDescent="0.2">
      <c r="B28" s="252"/>
      <c r="C28" s="59"/>
      <c r="D28" s="173" t="s">
        <v>389</v>
      </c>
      <c r="E28" s="286">
        <f>SUM(F28:BH28)</f>
        <v>0</v>
      </c>
      <c r="F28" s="15">
        <f>SUM(F22:F27)</f>
        <v>0</v>
      </c>
      <c r="G28" s="15">
        <f t="shared" ref="G28:BH28" si="5">SUM(G22:G27)</f>
        <v>0</v>
      </c>
      <c r="H28" s="15">
        <f t="shared" si="5"/>
        <v>0</v>
      </c>
      <c r="I28" s="15">
        <f t="shared" si="5"/>
        <v>0</v>
      </c>
      <c r="J28" s="15">
        <f t="shared" si="5"/>
        <v>0</v>
      </c>
      <c r="K28" s="15">
        <f t="shared" si="5"/>
        <v>0</v>
      </c>
      <c r="L28" s="15">
        <f t="shared" si="5"/>
        <v>0</v>
      </c>
      <c r="M28" s="15">
        <f t="shared" si="5"/>
        <v>0</v>
      </c>
      <c r="N28" s="15">
        <f t="shared" si="5"/>
        <v>0</v>
      </c>
      <c r="O28" s="15">
        <f t="shared" si="5"/>
        <v>0</v>
      </c>
      <c r="P28" s="15">
        <f t="shared" si="5"/>
        <v>0</v>
      </c>
      <c r="Q28" s="15">
        <f t="shared" si="5"/>
        <v>0</v>
      </c>
      <c r="R28" s="15">
        <f t="shared" si="5"/>
        <v>0</v>
      </c>
      <c r="S28" s="15">
        <f t="shared" si="5"/>
        <v>0</v>
      </c>
      <c r="T28" s="15">
        <f t="shared" si="5"/>
        <v>0</v>
      </c>
      <c r="U28" s="15">
        <f t="shared" si="5"/>
        <v>0</v>
      </c>
      <c r="V28" s="15">
        <f t="shared" si="5"/>
        <v>0</v>
      </c>
      <c r="W28" s="15">
        <f t="shared" si="5"/>
        <v>0</v>
      </c>
      <c r="X28" s="15">
        <f t="shared" si="5"/>
        <v>0</v>
      </c>
      <c r="Y28" s="15">
        <f t="shared" si="5"/>
        <v>0</v>
      </c>
      <c r="Z28" s="15">
        <f t="shared" si="5"/>
        <v>0</v>
      </c>
      <c r="AA28" s="15">
        <f t="shared" si="5"/>
        <v>0</v>
      </c>
      <c r="AB28" s="15">
        <f t="shared" si="5"/>
        <v>0</v>
      </c>
      <c r="AC28" s="15">
        <f t="shared" si="5"/>
        <v>0</v>
      </c>
      <c r="AD28" s="15">
        <f t="shared" si="5"/>
        <v>0</v>
      </c>
      <c r="AE28" s="15">
        <f t="shared" si="5"/>
        <v>0</v>
      </c>
      <c r="AF28" s="15">
        <f t="shared" si="5"/>
        <v>0</v>
      </c>
      <c r="AG28" s="15">
        <f t="shared" si="5"/>
        <v>0</v>
      </c>
      <c r="AH28" s="15">
        <f t="shared" si="5"/>
        <v>0</v>
      </c>
      <c r="AI28" s="15">
        <f t="shared" si="5"/>
        <v>0</v>
      </c>
      <c r="AJ28" s="15">
        <f t="shared" si="5"/>
        <v>0</v>
      </c>
      <c r="AK28" s="15">
        <f t="shared" si="5"/>
        <v>0</v>
      </c>
      <c r="AL28" s="15">
        <f t="shared" si="5"/>
        <v>0</v>
      </c>
      <c r="AM28" s="15">
        <f t="shared" si="5"/>
        <v>0</v>
      </c>
      <c r="AN28" s="15">
        <f t="shared" si="5"/>
        <v>0</v>
      </c>
      <c r="AO28" s="15">
        <f t="shared" si="5"/>
        <v>0</v>
      </c>
      <c r="AP28" s="15">
        <f t="shared" si="5"/>
        <v>0</v>
      </c>
      <c r="AQ28" s="15">
        <f t="shared" si="5"/>
        <v>0</v>
      </c>
      <c r="AR28" s="15">
        <f t="shared" si="5"/>
        <v>0</v>
      </c>
      <c r="AS28" s="15">
        <f t="shared" si="5"/>
        <v>0</v>
      </c>
      <c r="AT28" s="15">
        <f t="shared" si="5"/>
        <v>0</v>
      </c>
      <c r="AU28" s="15">
        <f t="shared" si="5"/>
        <v>0</v>
      </c>
      <c r="AV28" s="15">
        <f t="shared" si="5"/>
        <v>0</v>
      </c>
      <c r="AW28" s="15">
        <f t="shared" si="5"/>
        <v>0</v>
      </c>
      <c r="AX28" s="15">
        <f t="shared" si="5"/>
        <v>0</v>
      </c>
      <c r="AY28" s="15">
        <f t="shared" si="5"/>
        <v>0</v>
      </c>
      <c r="AZ28" s="15">
        <f t="shared" si="5"/>
        <v>0</v>
      </c>
      <c r="BA28" s="15">
        <f t="shared" si="5"/>
        <v>0</v>
      </c>
      <c r="BB28" s="15">
        <f t="shared" si="5"/>
        <v>0</v>
      </c>
      <c r="BC28" s="15">
        <f t="shared" si="5"/>
        <v>0</v>
      </c>
      <c r="BD28" s="15">
        <f t="shared" si="5"/>
        <v>0</v>
      </c>
      <c r="BE28" s="15">
        <f t="shared" si="5"/>
        <v>0</v>
      </c>
      <c r="BF28" s="15">
        <f t="shared" si="5"/>
        <v>0</v>
      </c>
      <c r="BG28" s="15">
        <f t="shared" si="5"/>
        <v>0</v>
      </c>
      <c r="BH28" s="15">
        <f t="shared" si="5"/>
        <v>0</v>
      </c>
    </row>
    <row r="29" spans="2:62" x14ac:dyDescent="0.2">
      <c r="B29" s="252"/>
      <c r="C29" s="59"/>
      <c r="D29" s="59" t="s">
        <v>83</v>
      </c>
      <c r="E29" s="286">
        <f>E20+E28</f>
        <v>0</v>
      </c>
      <c r="F29" s="286">
        <f>F20+F28</f>
        <v>0</v>
      </c>
      <c r="G29" s="286">
        <f t="shared" ref="G29:AJ29" si="6">G20+G28</f>
        <v>0</v>
      </c>
      <c r="H29" s="286">
        <f t="shared" si="6"/>
        <v>0</v>
      </c>
      <c r="I29" s="286">
        <f t="shared" si="6"/>
        <v>0</v>
      </c>
      <c r="J29" s="286">
        <f t="shared" si="6"/>
        <v>0</v>
      </c>
      <c r="K29" s="286">
        <f t="shared" si="6"/>
        <v>0</v>
      </c>
      <c r="L29" s="286">
        <f t="shared" si="6"/>
        <v>0</v>
      </c>
      <c r="M29" s="286">
        <f t="shared" si="6"/>
        <v>0</v>
      </c>
      <c r="N29" s="286">
        <f t="shared" si="6"/>
        <v>0</v>
      </c>
      <c r="O29" s="286">
        <f t="shared" si="6"/>
        <v>0</v>
      </c>
      <c r="P29" s="286">
        <f t="shared" si="6"/>
        <v>0</v>
      </c>
      <c r="Q29" s="286">
        <f t="shared" si="6"/>
        <v>0</v>
      </c>
      <c r="R29" s="286">
        <f t="shared" si="6"/>
        <v>0</v>
      </c>
      <c r="S29" s="286">
        <f t="shared" si="6"/>
        <v>0</v>
      </c>
      <c r="T29" s="286">
        <f t="shared" si="6"/>
        <v>0</v>
      </c>
      <c r="U29" s="286">
        <f t="shared" si="6"/>
        <v>0</v>
      </c>
      <c r="V29" s="286">
        <f t="shared" si="6"/>
        <v>0</v>
      </c>
      <c r="W29" s="286">
        <f t="shared" si="6"/>
        <v>0</v>
      </c>
      <c r="X29" s="286">
        <f t="shared" si="6"/>
        <v>0</v>
      </c>
      <c r="Y29" s="286">
        <f t="shared" si="6"/>
        <v>0</v>
      </c>
      <c r="Z29" s="286">
        <f t="shared" si="6"/>
        <v>0</v>
      </c>
      <c r="AA29" s="286">
        <f t="shared" si="6"/>
        <v>0</v>
      </c>
      <c r="AB29" s="286">
        <f t="shared" si="6"/>
        <v>0</v>
      </c>
      <c r="AC29" s="286">
        <f t="shared" si="6"/>
        <v>0</v>
      </c>
      <c r="AD29" s="286">
        <f t="shared" si="6"/>
        <v>0</v>
      </c>
      <c r="AE29" s="286">
        <f t="shared" si="6"/>
        <v>0</v>
      </c>
      <c r="AF29" s="286">
        <f t="shared" si="6"/>
        <v>0</v>
      </c>
      <c r="AG29" s="286">
        <f t="shared" si="6"/>
        <v>0</v>
      </c>
      <c r="AH29" s="286">
        <f t="shared" si="6"/>
        <v>0</v>
      </c>
      <c r="AI29" s="286">
        <f t="shared" si="6"/>
        <v>0</v>
      </c>
      <c r="AJ29" s="286">
        <f t="shared" si="6"/>
        <v>0</v>
      </c>
      <c r="AK29" s="286">
        <f t="shared" ref="AK29:BH29" si="7">AK20+AK28</f>
        <v>0</v>
      </c>
      <c r="AL29" s="286">
        <f t="shared" si="7"/>
        <v>0</v>
      </c>
      <c r="AM29" s="286">
        <f t="shared" si="7"/>
        <v>0</v>
      </c>
      <c r="AN29" s="286">
        <f t="shared" si="7"/>
        <v>0</v>
      </c>
      <c r="AO29" s="286">
        <f t="shared" si="7"/>
        <v>0</v>
      </c>
      <c r="AP29" s="286">
        <f t="shared" si="7"/>
        <v>0</v>
      </c>
      <c r="AQ29" s="286">
        <f t="shared" si="7"/>
        <v>0</v>
      </c>
      <c r="AR29" s="286">
        <f t="shared" si="7"/>
        <v>0</v>
      </c>
      <c r="AS29" s="286">
        <f t="shared" si="7"/>
        <v>0</v>
      </c>
      <c r="AT29" s="286">
        <f t="shared" si="7"/>
        <v>0</v>
      </c>
      <c r="AU29" s="286">
        <f t="shared" si="7"/>
        <v>0</v>
      </c>
      <c r="AV29" s="286">
        <f t="shared" si="7"/>
        <v>0</v>
      </c>
      <c r="AW29" s="286">
        <f t="shared" si="7"/>
        <v>0</v>
      </c>
      <c r="AX29" s="286">
        <f t="shared" si="7"/>
        <v>0</v>
      </c>
      <c r="AY29" s="286">
        <f t="shared" si="7"/>
        <v>0</v>
      </c>
      <c r="AZ29" s="286">
        <f t="shared" si="7"/>
        <v>0</v>
      </c>
      <c r="BA29" s="286">
        <f t="shared" si="7"/>
        <v>0</v>
      </c>
      <c r="BB29" s="286">
        <f t="shared" si="7"/>
        <v>0</v>
      </c>
      <c r="BC29" s="286">
        <f t="shared" si="7"/>
        <v>0</v>
      </c>
      <c r="BD29" s="286">
        <f t="shared" si="7"/>
        <v>0</v>
      </c>
      <c r="BE29" s="286">
        <f t="shared" si="7"/>
        <v>0</v>
      </c>
      <c r="BF29" s="286">
        <f t="shared" si="7"/>
        <v>0</v>
      </c>
      <c r="BG29" s="286">
        <f t="shared" si="7"/>
        <v>0</v>
      </c>
      <c r="BH29" s="286">
        <f t="shared" si="7"/>
        <v>0</v>
      </c>
    </row>
    <row r="30" spans="2:62" x14ac:dyDescent="0.2">
      <c r="B30" s="252"/>
      <c r="C30" s="59" t="s">
        <v>390</v>
      </c>
      <c r="D30" s="59"/>
      <c r="E30" s="286"/>
      <c r="F30" s="307"/>
      <c r="G30" s="307"/>
      <c r="H30" s="307"/>
      <c r="I30" s="307"/>
      <c r="J30" s="307"/>
      <c r="K30" s="307"/>
      <c r="L30" s="307"/>
      <c r="M30" s="307"/>
      <c r="N30" s="307"/>
      <c r="O30" s="307"/>
      <c r="P30" s="307"/>
      <c r="Q30" s="307"/>
      <c r="R30" s="307"/>
      <c r="S30" s="307"/>
      <c r="T30" s="307"/>
      <c r="U30" s="307"/>
      <c r="V30" s="307"/>
      <c r="W30" s="307"/>
      <c r="X30" s="307"/>
      <c r="Y30" s="307"/>
      <c r="Z30" s="307"/>
      <c r="AA30" s="307"/>
      <c r="AB30" s="307"/>
      <c r="AC30" s="307"/>
      <c r="AD30" s="307"/>
      <c r="AE30" s="307"/>
      <c r="AF30" s="307"/>
      <c r="AG30" s="307"/>
      <c r="AH30" s="307"/>
      <c r="AI30" s="307"/>
      <c r="AJ30" s="307"/>
      <c r="AK30" s="307"/>
      <c r="AL30" s="307"/>
      <c r="AM30" s="307"/>
      <c r="AN30" s="307"/>
      <c r="AO30" s="307"/>
      <c r="AP30" s="307"/>
      <c r="AQ30" s="307"/>
      <c r="AR30" s="307"/>
      <c r="AS30" s="307"/>
      <c r="AT30" s="307"/>
      <c r="AU30" s="307"/>
      <c r="AV30" s="307"/>
      <c r="AW30" s="307"/>
      <c r="AX30" s="307"/>
      <c r="AY30" s="307"/>
      <c r="AZ30" s="307"/>
      <c r="BA30" s="307"/>
      <c r="BB30" s="307"/>
      <c r="BC30" s="307"/>
      <c r="BD30" s="307"/>
      <c r="BE30" s="307"/>
      <c r="BF30" s="307"/>
      <c r="BG30" s="307"/>
      <c r="BH30" s="307"/>
    </row>
    <row r="31" spans="2:62" x14ac:dyDescent="0.2">
      <c r="B31" s="252"/>
      <c r="C31" s="59"/>
      <c r="D31" s="61" t="s">
        <v>132</v>
      </c>
      <c r="E31" s="286">
        <f t="shared" ref="E31:E37" si="8">SUM(F31:BH31)</f>
        <v>0</v>
      </c>
      <c r="F31" s="261"/>
      <c r="G31" s="261"/>
      <c r="H31" s="261"/>
      <c r="I31" s="261"/>
      <c r="J31" s="261"/>
      <c r="K31" s="261"/>
      <c r="L31" s="261"/>
      <c r="M31" s="261"/>
      <c r="N31" s="261"/>
      <c r="O31" s="261"/>
      <c r="P31" s="261"/>
      <c r="Q31" s="261"/>
      <c r="R31" s="261"/>
      <c r="S31" s="261"/>
      <c r="T31" s="261"/>
      <c r="U31" s="261"/>
      <c r="V31" s="261"/>
      <c r="W31" s="261"/>
      <c r="X31" s="261"/>
      <c r="Y31" s="261"/>
      <c r="Z31" s="261"/>
      <c r="AA31" s="261"/>
      <c r="AB31" s="261"/>
      <c r="AC31" s="261"/>
      <c r="AD31" s="261"/>
      <c r="AE31" s="261"/>
      <c r="AF31" s="261"/>
      <c r="AG31" s="261"/>
      <c r="AH31" s="261"/>
      <c r="AI31" s="261"/>
      <c r="AJ31" s="261"/>
      <c r="AK31" s="261"/>
      <c r="AL31" s="261"/>
      <c r="AM31" s="261"/>
      <c r="AN31" s="261"/>
      <c r="AO31" s="261"/>
      <c r="AP31" s="261"/>
      <c r="AQ31" s="261"/>
      <c r="AR31" s="261"/>
      <c r="AS31" s="261"/>
      <c r="AT31" s="261"/>
      <c r="AU31" s="261"/>
      <c r="AV31" s="261"/>
      <c r="AW31" s="261"/>
      <c r="AX31" s="261"/>
      <c r="AY31" s="261"/>
      <c r="AZ31" s="261"/>
      <c r="BA31" s="261"/>
      <c r="BB31" s="261"/>
      <c r="BC31" s="261"/>
      <c r="BD31" s="261"/>
      <c r="BE31" s="261"/>
      <c r="BF31" s="261"/>
      <c r="BG31" s="261"/>
      <c r="BH31" s="261"/>
    </row>
    <row r="32" spans="2:62" x14ac:dyDescent="0.2">
      <c r="B32" s="252"/>
      <c r="C32" s="59"/>
      <c r="D32" s="61" t="s">
        <v>391</v>
      </c>
      <c r="E32" s="286">
        <f t="shared" si="8"/>
        <v>0</v>
      </c>
      <c r="F32" s="261"/>
      <c r="G32" s="261"/>
      <c r="H32" s="261"/>
      <c r="I32" s="261"/>
      <c r="J32" s="261"/>
      <c r="K32" s="261"/>
      <c r="L32" s="261"/>
      <c r="M32" s="261"/>
      <c r="N32" s="261"/>
      <c r="O32" s="261"/>
      <c r="P32" s="261"/>
      <c r="Q32" s="261"/>
      <c r="R32" s="261"/>
      <c r="S32" s="261"/>
      <c r="T32" s="261"/>
      <c r="U32" s="261"/>
      <c r="V32" s="261"/>
      <c r="W32" s="261"/>
      <c r="X32" s="261"/>
      <c r="Y32" s="261"/>
      <c r="Z32" s="261"/>
      <c r="AA32" s="261"/>
      <c r="AB32" s="261"/>
      <c r="AC32" s="261"/>
      <c r="AD32" s="261"/>
      <c r="AE32" s="261"/>
      <c r="AF32" s="261"/>
      <c r="AG32" s="261"/>
      <c r="AH32" s="261"/>
      <c r="AI32" s="261"/>
      <c r="AJ32" s="261"/>
      <c r="AK32" s="261"/>
      <c r="AL32" s="261"/>
      <c r="AM32" s="261"/>
      <c r="AN32" s="261"/>
      <c r="AO32" s="261"/>
      <c r="AP32" s="261"/>
      <c r="AQ32" s="261"/>
      <c r="AR32" s="261"/>
      <c r="AS32" s="261"/>
      <c r="AT32" s="261"/>
      <c r="AU32" s="261"/>
      <c r="AV32" s="261"/>
      <c r="AW32" s="261"/>
      <c r="AX32" s="261"/>
      <c r="AY32" s="261"/>
      <c r="AZ32" s="261"/>
      <c r="BA32" s="261"/>
      <c r="BB32" s="261"/>
      <c r="BC32" s="261"/>
      <c r="BD32" s="261"/>
      <c r="BE32" s="261"/>
      <c r="BF32" s="261"/>
      <c r="BG32" s="261"/>
      <c r="BH32" s="261"/>
      <c r="BJ32" s="248"/>
    </row>
    <row r="33" spans="2:60" x14ac:dyDescent="0.2">
      <c r="B33" s="252"/>
      <c r="C33" s="59"/>
      <c r="D33" s="61" t="s">
        <v>392</v>
      </c>
      <c r="E33" s="286">
        <f t="shared" si="8"/>
        <v>0</v>
      </c>
      <c r="F33" s="261"/>
      <c r="G33" s="261"/>
      <c r="H33" s="261"/>
      <c r="I33" s="261"/>
      <c r="J33" s="261"/>
      <c r="K33" s="261"/>
      <c r="L33" s="261"/>
      <c r="M33" s="261"/>
      <c r="N33" s="261"/>
      <c r="O33" s="261"/>
      <c r="P33" s="261"/>
      <c r="Q33" s="261"/>
      <c r="R33" s="261"/>
      <c r="S33" s="261"/>
      <c r="T33" s="261"/>
      <c r="U33" s="261"/>
      <c r="V33" s="261"/>
      <c r="W33" s="261"/>
      <c r="X33" s="261"/>
      <c r="Y33" s="261"/>
      <c r="Z33" s="261"/>
      <c r="AA33" s="261"/>
      <c r="AB33" s="261"/>
      <c r="AC33" s="261"/>
      <c r="AD33" s="261"/>
      <c r="AE33" s="261"/>
      <c r="AF33" s="261"/>
      <c r="AG33" s="261"/>
      <c r="AH33" s="261"/>
      <c r="AI33" s="261"/>
      <c r="AJ33" s="261"/>
      <c r="AK33" s="261"/>
      <c r="AL33" s="261"/>
      <c r="AM33" s="261"/>
      <c r="AN33" s="261"/>
      <c r="AO33" s="261"/>
      <c r="AP33" s="261"/>
      <c r="AQ33" s="261"/>
      <c r="AR33" s="261"/>
      <c r="AS33" s="261"/>
      <c r="AT33" s="261"/>
      <c r="AU33" s="261"/>
      <c r="AV33" s="261"/>
      <c r="AW33" s="261"/>
      <c r="AX33" s="261"/>
      <c r="AY33" s="261"/>
      <c r="AZ33" s="261"/>
      <c r="BA33" s="261"/>
      <c r="BB33" s="261"/>
      <c r="BC33" s="261"/>
      <c r="BD33" s="261"/>
      <c r="BE33" s="261"/>
      <c r="BF33" s="261"/>
      <c r="BG33" s="261"/>
      <c r="BH33" s="261"/>
    </row>
    <row r="34" spans="2:60" x14ac:dyDescent="0.2">
      <c r="B34" s="252"/>
      <c r="C34" s="59"/>
      <c r="D34" s="60" t="s">
        <v>393</v>
      </c>
      <c r="E34" s="286">
        <f t="shared" si="8"/>
        <v>0</v>
      </c>
      <c r="F34" s="261"/>
      <c r="G34" s="261"/>
      <c r="H34" s="261"/>
      <c r="I34" s="261"/>
      <c r="J34" s="261"/>
      <c r="K34" s="261"/>
      <c r="L34" s="261"/>
      <c r="M34" s="261"/>
      <c r="N34" s="261"/>
      <c r="O34" s="261"/>
      <c r="P34" s="261"/>
      <c r="Q34" s="261"/>
      <c r="R34" s="261"/>
      <c r="S34" s="261"/>
      <c r="T34" s="261"/>
      <c r="U34" s="261"/>
      <c r="V34" s="261"/>
      <c r="W34" s="261"/>
      <c r="X34" s="261"/>
      <c r="Y34" s="261"/>
      <c r="Z34" s="261"/>
      <c r="AA34" s="261"/>
      <c r="AB34" s="261"/>
      <c r="AC34" s="261"/>
      <c r="AD34" s="261"/>
      <c r="AE34" s="261"/>
      <c r="AF34" s="261"/>
      <c r="AG34" s="261"/>
      <c r="AH34" s="261"/>
      <c r="AI34" s="261"/>
      <c r="AJ34" s="261"/>
      <c r="AK34" s="261"/>
      <c r="AL34" s="261"/>
      <c r="AM34" s="261"/>
      <c r="AN34" s="261"/>
      <c r="AO34" s="261"/>
      <c r="AP34" s="261"/>
      <c r="AQ34" s="261"/>
      <c r="AR34" s="261"/>
      <c r="AS34" s="261"/>
      <c r="AT34" s="261"/>
      <c r="AU34" s="261"/>
      <c r="AV34" s="261"/>
      <c r="AW34" s="261"/>
      <c r="AX34" s="261"/>
      <c r="AY34" s="261"/>
      <c r="AZ34" s="261"/>
      <c r="BA34" s="261"/>
      <c r="BB34" s="261"/>
      <c r="BC34" s="261"/>
      <c r="BD34" s="261"/>
      <c r="BE34" s="261"/>
      <c r="BF34" s="261"/>
      <c r="BG34" s="261"/>
      <c r="BH34" s="261"/>
    </row>
    <row r="35" spans="2:60" x14ac:dyDescent="0.2">
      <c r="B35" s="252"/>
      <c r="C35" s="59"/>
      <c r="D35" s="61" t="s">
        <v>394</v>
      </c>
      <c r="E35" s="286">
        <f t="shared" si="8"/>
        <v>0</v>
      </c>
      <c r="F35" s="261"/>
      <c r="G35" s="261"/>
      <c r="H35" s="261"/>
      <c r="I35" s="261"/>
      <c r="J35" s="261"/>
      <c r="K35" s="261"/>
      <c r="L35" s="261"/>
      <c r="M35" s="261"/>
      <c r="N35" s="261"/>
      <c r="O35" s="261"/>
      <c r="P35" s="261"/>
      <c r="Q35" s="261"/>
      <c r="R35" s="261"/>
      <c r="S35" s="261"/>
      <c r="T35" s="261"/>
      <c r="U35" s="261"/>
      <c r="V35" s="261"/>
      <c r="W35" s="261"/>
      <c r="X35" s="261"/>
      <c r="Y35" s="261"/>
      <c r="Z35" s="261"/>
      <c r="AA35" s="261"/>
      <c r="AB35" s="261"/>
      <c r="AC35" s="261"/>
      <c r="AD35" s="261"/>
      <c r="AE35" s="261"/>
      <c r="AF35" s="261"/>
      <c r="AG35" s="261"/>
      <c r="AH35" s="261"/>
      <c r="AI35" s="261"/>
      <c r="AJ35" s="261"/>
      <c r="AK35" s="261"/>
      <c r="AL35" s="261"/>
      <c r="AM35" s="261"/>
      <c r="AN35" s="261"/>
      <c r="AO35" s="261"/>
      <c r="AP35" s="261"/>
      <c r="AQ35" s="261"/>
      <c r="AR35" s="261"/>
      <c r="AS35" s="261"/>
      <c r="AT35" s="261"/>
      <c r="AU35" s="261"/>
      <c r="AV35" s="261"/>
      <c r="AW35" s="261"/>
      <c r="AX35" s="261"/>
      <c r="AY35" s="261"/>
      <c r="AZ35" s="261"/>
      <c r="BA35" s="261"/>
      <c r="BB35" s="261"/>
      <c r="BC35" s="261"/>
      <c r="BD35" s="261"/>
      <c r="BE35" s="261"/>
      <c r="BF35" s="261"/>
      <c r="BG35" s="261"/>
      <c r="BH35" s="261"/>
    </row>
    <row r="36" spans="2:60" x14ac:dyDescent="0.2">
      <c r="B36" s="252"/>
      <c r="C36" s="59"/>
      <c r="D36" s="59" t="s">
        <v>395</v>
      </c>
      <c r="E36" s="286">
        <f t="shared" si="8"/>
        <v>0</v>
      </c>
      <c r="F36" s="15">
        <f>SUM(F31:F35)</f>
        <v>0</v>
      </c>
      <c r="G36" s="15">
        <f t="shared" ref="G36:AK36" si="9">SUM(G31:G35)</f>
        <v>0</v>
      </c>
      <c r="H36" s="15">
        <f t="shared" si="9"/>
        <v>0</v>
      </c>
      <c r="I36" s="15">
        <f t="shared" si="9"/>
        <v>0</v>
      </c>
      <c r="J36" s="15">
        <f t="shared" si="9"/>
        <v>0</v>
      </c>
      <c r="K36" s="15">
        <f t="shared" si="9"/>
        <v>0</v>
      </c>
      <c r="L36" s="15">
        <f t="shared" si="9"/>
        <v>0</v>
      </c>
      <c r="M36" s="15">
        <f t="shared" si="9"/>
        <v>0</v>
      </c>
      <c r="N36" s="15">
        <f t="shared" si="9"/>
        <v>0</v>
      </c>
      <c r="O36" s="15">
        <f t="shared" si="9"/>
        <v>0</v>
      </c>
      <c r="P36" s="15">
        <f t="shared" si="9"/>
        <v>0</v>
      </c>
      <c r="Q36" s="15">
        <f t="shared" si="9"/>
        <v>0</v>
      </c>
      <c r="R36" s="15">
        <f t="shared" si="9"/>
        <v>0</v>
      </c>
      <c r="S36" s="15">
        <f t="shared" si="9"/>
        <v>0</v>
      </c>
      <c r="T36" s="15">
        <f t="shared" si="9"/>
        <v>0</v>
      </c>
      <c r="U36" s="15">
        <f t="shared" si="9"/>
        <v>0</v>
      </c>
      <c r="V36" s="15">
        <f t="shared" si="9"/>
        <v>0</v>
      </c>
      <c r="W36" s="15">
        <f t="shared" si="9"/>
        <v>0</v>
      </c>
      <c r="X36" s="15">
        <f t="shared" si="9"/>
        <v>0</v>
      </c>
      <c r="Y36" s="15">
        <f t="shared" si="9"/>
        <v>0</v>
      </c>
      <c r="Z36" s="15">
        <f t="shared" si="9"/>
        <v>0</v>
      </c>
      <c r="AA36" s="15">
        <f t="shared" si="9"/>
        <v>0</v>
      </c>
      <c r="AB36" s="15">
        <f t="shared" si="9"/>
        <v>0</v>
      </c>
      <c r="AC36" s="15">
        <f t="shared" si="9"/>
        <v>0</v>
      </c>
      <c r="AD36" s="15">
        <f t="shared" si="9"/>
        <v>0</v>
      </c>
      <c r="AE36" s="15">
        <f t="shared" si="9"/>
        <v>0</v>
      </c>
      <c r="AF36" s="15">
        <f t="shared" si="9"/>
        <v>0</v>
      </c>
      <c r="AG36" s="15">
        <f t="shared" si="9"/>
        <v>0</v>
      </c>
      <c r="AH36" s="15">
        <f t="shared" si="9"/>
        <v>0</v>
      </c>
      <c r="AI36" s="15">
        <f t="shared" si="9"/>
        <v>0</v>
      </c>
      <c r="AJ36" s="15">
        <f t="shared" si="9"/>
        <v>0</v>
      </c>
      <c r="AK36" s="15">
        <f t="shared" si="9"/>
        <v>0</v>
      </c>
      <c r="AL36" s="15">
        <f t="shared" ref="AL36:BH36" si="10">SUM(AL31:AL35)</f>
        <v>0</v>
      </c>
      <c r="AM36" s="15">
        <f t="shared" si="10"/>
        <v>0</v>
      </c>
      <c r="AN36" s="15">
        <f t="shared" si="10"/>
        <v>0</v>
      </c>
      <c r="AO36" s="15">
        <f t="shared" si="10"/>
        <v>0</v>
      </c>
      <c r="AP36" s="15">
        <f t="shared" si="10"/>
        <v>0</v>
      </c>
      <c r="AQ36" s="15">
        <f t="shared" si="10"/>
        <v>0</v>
      </c>
      <c r="AR36" s="15">
        <f t="shared" si="10"/>
        <v>0</v>
      </c>
      <c r="AS36" s="15">
        <f t="shared" si="10"/>
        <v>0</v>
      </c>
      <c r="AT36" s="15">
        <f t="shared" si="10"/>
        <v>0</v>
      </c>
      <c r="AU36" s="15">
        <f t="shared" si="10"/>
        <v>0</v>
      </c>
      <c r="AV36" s="15">
        <f t="shared" si="10"/>
        <v>0</v>
      </c>
      <c r="AW36" s="15">
        <f t="shared" si="10"/>
        <v>0</v>
      </c>
      <c r="AX36" s="15">
        <f t="shared" si="10"/>
        <v>0</v>
      </c>
      <c r="AY36" s="15">
        <f t="shared" si="10"/>
        <v>0</v>
      </c>
      <c r="AZ36" s="15">
        <f t="shared" si="10"/>
        <v>0</v>
      </c>
      <c r="BA36" s="15">
        <f t="shared" si="10"/>
        <v>0</v>
      </c>
      <c r="BB36" s="15">
        <f t="shared" si="10"/>
        <v>0</v>
      </c>
      <c r="BC36" s="15">
        <f t="shared" si="10"/>
        <v>0</v>
      </c>
      <c r="BD36" s="15">
        <f t="shared" si="10"/>
        <v>0</v>
      </c>
      <c r="BE36" s="15">
        <f t="shared" si="10"/>
        <v>0</v>
      </c>
      <c r="BF36" s="15">
        <f t="shared" si="10"/>
        <v>0</v>
      </c>
      <c r="BG36" s="15">
        <f t="shared" si="10"/>
        <v>0</v>
      </c>
      <c r="BH36" s="15">
        <f t="shared" si="10"/>
        <v>0</v>
      </c>
    </row>
    <row r="37" spans="2:60" ht="23.25" customHeight="1" x14ac:dyDescent="0.2">
      <c r="B37" s="252"/>
      <c r="C37" s="70"/>
      <c r="D37" s="64" t="s">
        <v>396</v>
      </c>
      <c r="E37" s="279">
        <f t="shared" si="8"/>
        <v>0</v>
      </c>
      <c r="F37" s="15">
        <f>F20+F28-F36</f>
        <v>0</v>
      </c>
      <c r="G37" s="15">
        <f t="shared" ref="G37:AK37" si="11">G20+G28-G36</f>
        <v>0</v>
      </c>
      <c r="H37" s="15">
        <f t="shared" si="11"/>
        <v>0</v>
      </c>
      <c r="I37" s="15">
        <f t="shared" si="11"/>
        <v>0</v>
      </c>
      <c r="J37" s="15">
        <f t="shared" si="11"/>
        <v>0</v>
      </c>
      <c r="K37" s="15">
        <f t="shared" si="11"/>
        <v>0</v>
      </c>
      <c r="L37" s="15">
        <f t="shared" si="11"/>
        <v>0</v>
      </c>
      <c r="M37" s="15">
        <f t="shared" si="11"/>
        <v>0</v>
      </c>
      <c r="N37" s="15">
        <f t="shared" si="11"/>
        <v>0</v>
      </c>
      <c r="O37" s="15">
        <f t="shared" si="11"/>
        <v>0</v>
      </c>
      <c r="P37" s="15">
        <f t="shared" si="11"/>
        <v>0</v>
      </c>
      <c r="Q37" s="15">
        <f t="shared" si="11"/>
        <v>0</v>
      </c>
      <c r="R37" s="15">
        <f t="shared" si="11"/>
        <v>0</v>
      </c>
      <c r="S37" s="15">
        <f t="shared" si="11"/>
        <v>0</v>
      </c>
      <c r="T37" s="15">
        <f t="shared" si="11"/>
        <v>0</v>
      </c>
      <c r="U37" s="15">
        <f t="shared" si="11"/>
        <v>0</v>
      </c>
      <c r="V37" s="15">
        <f t="shared" si="11"/>
        <v>0</v>
      </c>
      <c r="W37" s="15">
        <f t="shared" si="11"/>
        <v>0</v>
      </c>
      <c r="X37" s="15">
        <f t="shared" si="11"/>
        <v>0</v>
      </c>
      <c r="Y37" s="15">
        <f t="shared" si="11"/>
        <v>0</v>
      </c>
      <c r="Z37" s="15">
        <f t="shared" si="11"/>
        <v>0</v>
      </c>
      <c r="AA37" s="15">
        <f t="shared" si="11"/>
        <v>0</v>
      </c>
      <c r="AB37" s="15">
        <f t="shared" si="11"/>
        <v>0</v>
      </c>
      <c r="AC37" s="15">
        <f t="shared" si="11"/>
        <v>0</v>
      </c>
      <c r="AD37" s="15">
        <f t="shared" si="11"/>
        <v>0</v>
      </c>
      <c r="AE37" s="15">
        <f t="shared" si="11"/>
        <v>0</v>
      </c>
      <c r="AF37" s="15">
        <f t="shared" si="11"/>
        <v>0</v>
      </c>
      <c r="AG37" s="15">
        <f t="shared" si="11"/>
        <v>0</v>
      </c>
      <c r="AH37" s="15">
        <f t="shared" si="11"/>
        <v>0</v>
      </c>
      <c r="AI37" s="15">
        <f t="shared" si="11"/>
        <v>0</v>
      </c>
      <c r="AJ37" s="15">
        <f t="shared" si="11"/>
        <v>0</v>
      </c>
      <c r="AK37" s="15">
        <f t="shared" si="11"/>
        <v>0</v>
      </c>
      <c r="AL37" s="15">
        <f t="shared" ref="AL37:BH37" si="12">AL20+AL28-AL36</f>
        <v>0</v>
      </c>
      <c r="AM37" s="15">
        <f t="shared" si="12"/>
        <v>0</v>
      </c>
      <c r="AN37" s="15">
        <f t="shared" si="12"/>
        <v>0</v>
      </c>
      <c r="AO37" s="15">
        <f t="shared" si="12"/>
        <v>0</v>
      </c>
      <c r="AP37" s="15">
        <f t="shared" si="12"/>
        <v>0</v>
      </c>
      <c r="AQ37" s="15">
        <f t="shared" si="12"/>
        <v>0</v>
      </c>
      <c r="AR37" s="15">
        <f t="shared" si="12"/>
        <v>0</v>
      </c>
      <c r="AS37" s="15">
        <f t="shared" si="12"/>
        <v>0</v>
      </c>
      <c r="AT37" s="15">
        <f t="shared" si="12"/>
        <v>0</v>
      </c>
      <c r="AU37" s="15">
        <f t="shared" si="12"/>
        <v>0</v>
      </c>
      <c r="AV37" s="15">
        <f t="shared" si="12"/>
        <v>0</v>
      </c>
      <c r="AW37" s="15">
        <f t="shared" si="12"/>
        <v>0</v>
      </c>
      <c r="AX37" s="15">
        <f t="shared" si="12"/>
        <v>0</v>
      </c>
      <c r="AY37" s="15">
        <f t="shared" si="12"/>
        <v>0</v>
      </c>
      <c r="AZ37" s="15">
        <f t="shared" si="12"/>
        <v>0</v>
      </c>
      <c r="BA37" s="15">
        <f t="shared" si="12"/>
        <v>0</v>
      </c>
      <c r="BB37" s="15">
        <f t="shared" si="12"/>
        <v>0</v>
      </c>
      <c r="BC37" s="15">
        <f t="shared" si="12"/>
        <v>0</v>
      </c>
      <c r="BD37" s="15">
        <f t="shared" si="12"/>
        <v>0</v>
      </c>
      <c r="BE37" s="15">
        <f t="shared" si="12"/>
        <v>0</v>
      </c>
      <c r="BF37" s="15">
        <f t="shared" si="12"/>
        <v>0</v>
      </c>
      <c r="BG37" s="15">
        <f t="shared" si="12"/>
        <v>0</v>
      </c>
      <c r="BH37" s="15">
        <f t="shared" si="12"/>
        <v>0</v>
      </c>
    </row>
    <row r="38" spans="2:60" x14ac:dyDescent="0.2">
      <c r="B38" s="252"/>
      <c r="C38" s="70" t="s">
        <v>397</v>
      </c>
      <c r="D38" s="62" t="s">
        <v>398</v>
      </c>
      <c r="E38" s="286"/>
      <c r="F38" s="286"/>
      <c r="G38" s="286">
        <f>F29+F38-F36</f>
        <v>0</v>
      </c>
      <c r="H38" s="286">
        <f t="shared" ref="H38:AL38" si="13">G29+G38-G36</f>
        <v>0</v>
      </c>
      <c r="I38" s="286">
        <f t="shared" si="13"/>
        <v>0</v>
      </c>
      <c r="J38" s="286">
        <f t="shared" si="13"/>
        <v>0</v>
      </c>
      <c r="K38" s="286">
        <f t="shared" si="13"/>
        <v>0</v>
      </c>
      <c r="L38" s="286">
        <f t="shared" si="13"/>
        <v>0</v>
      </c>
      <c r="M38" s="286">
        <f t="shared" si="13"/>
        <v>0</v>
      </c>
      <c r="N38" s="286">
        <f t="shared" si="13"/>
        <v>0</v>
      </c>
      <c r="O38" s="286">
        <f t="shared" si="13"/>
        <v>0</v>
      </c>
      <c r="P38" s="286">
        <f t="shared" si="13"/>
        <v>0</v>
      </c>
      <c r="Q38" s="286">
        <f t="shared" si="13"/>
        <v>0</v>
      </c>
      <c r="R38" s="286">
        <f t="shared" si="13"/>
        <v>0</v>
      </c>
      <c r="S38" s="286">
        <f t="shared" si="13"/>
        <v>0</v>
      </c>
      <c r="T38" s="286">
        <f t="shared" si="13"/>
        <v>0</v>
      </c>
      <c r="U38" s="286">
        <f t="shared" si="13"/>
        <v>0</v>
      </c>
      <c r="V38" s="286">
        <f t="shared" si="13"/>
        <v>0</v>
      </c>
      <c r="W38" s="286">
        <f t="shared" si="13"/>
        <v>0</v>
      </c>
      <c r="X38" s="286">
        <f t="shared" si="13"/>
        <v>0</v>
      </c>
      <c r="Y38" s="286">
        <f t="shared" si="13"/>
        <v>0</v>
      </c>
      <c r="Z38" s="286">
        <f t="shared" si="13"/>
        <v>0</v>
      </c>
      <c r="AA38" s="286">
        <f t="shared" si="13"/>
        <v>0</v>
      </c>
      <c r="AB38" s="286">
        <f t="shared" si="13"/>
        <v>0</v>
      </c>
      <c r="AC38" s="286">
        <f t="shared" si="13"/>
        <v>0</v>
      </c>
      <c r="AD38" s="286">
        <f t="shared" si="13"/>
        <v>0</v>
      </c>
      <c r="AE38" s="286">
        <f t="shared" si="13"/>
        <v>0</v>
      </c>
      <c r="AF38" s="286">
        <f t="shared" si="13"/>
        <v>0</v>
      </c>
      <c r="AG38" s="286">
        <f t="shared" si="13"/>
        <v>0</v>
      </c>
      <c r="AH38" s="286">
        <f t="shared" si="13"/>
        <v>0</v>
      </c>
      <c r="AI38" s="286">
        <f t="shared" si="13"/>
        <v>0</v>
      </c>
      <c r="AJ38" s="286">
        <f t="shared" si="13"/>
        <v>0</v>
      </c>
      <c r="AK38" s="286">
        <f t="shared" si="13"/>
        <v>0</v>
      </c>
      <c r="AL38" s="286">
        <f t="shared" si="13"/>
        <v>0</v>
      </c>
      <c r="AM38" s="286">
        <f t="shared" ref="AM38:BG38" si="14">AL29+AL38-AL36</f>
        <v>0</v>
      </c>
      <c r="AN38" s="286">
        <f t="shared" si="14"/>
        <v>0</v>
      </c>
      <c r="AO38" s="286">
        <f t="shared" si="14"/>
        <v>0</v>
      </c>
      <c r="AP38" s="286">
        <f t="shared" si="14"/>
        <v>0</v>
      </c>
      <c r="AQ38" s="286">
        <f t="shared" si="14"/>
        <v>0</v>
      </c>
      <c r="AR38" s="286">
        <f t="shared" si="14"/>
        <v>0</v>
      </c>
      <c r="AS38" s="286">
        <f t="shared" si="14"/>
        <v>0</v>
      </c>
      <c r="AT38" s="286">
        <f t="shared" si="14"/>
        <v>0</v>
      </c>
      <c r="AU38" s="286">
        <f t="shared" si="14"/>
        <v>0</v>
      </c>
      <c r="AV38" s="286">
        <f t="shared" si="14"/>
        <v>0</v>
      </c>
      <c r="AW38" s="286">
        <f t="shared" si="14"/>
        <v>0</v>
      </c>
      <c r="AX38" s="286">
        <f t="shared" si="14"/>
        <v>0</v>
      </c>
      <c r="AY38" s="286">
        <f t="shared" si="14"/>
        <v>0</v>
      </c>
      <c r="AZ38" s="286">
        <f t="shared" si="14"/>
        <v>0</v>
      </c>
      <c r="BA38" s="286">
        <f t="shared" si="14"/>
        <v>0</v>
      </c>
      <c r="BB38" s="286">
        <f t="shared" si="14"/>
        <v>0</v>
      </c>
      <c r="BC38" s="286">
        <f t="shared" si="14"/>
        <v>0</v>
      </c>
      <c r="BD38" s="286">
        <f t="shared" si="14"/>
        <v>0</v>
      </c>
      <c r="BE38" s="286">
        <f t="shared" si="14"/>
        <v>0</v>
      </c>
      <c r="BF38" s="286">
        <f t="shared" si="14"/>
        <v>0</v>
      </c>
      <c r="BG38" s="286">
        <f t="shared" si="14"/>
        <v>0</v>
      </c>
      <c r="BH38" s="286">
        <f>BG29+BG38-BG36</f>
        <v>0</v>
      </c>
    </row>
    <row r="39" spans="2:60" x14ac:dyDescent="0.2">
      <c r="B39" s="252"/>
      <c r="C39" s="70" t="s">
        <v>397</v>
      </c>
      <c r="D39" s="62" t="s">
        <v>399</v>
      </c>
      <c r="E39" s="286"/>
      <c r="F39" s="313"/>
      <c r="G39" s="313"/>
      <c r="H39" s="313"/>
      <c r="I39" s="313"/>
      <c r="J39" s="313"/>
      <c r="K39" s="313"/>
      <c r="L39" s="313"/>
      <c r="M39" s="313"/>
      <c r="N39" s="313"/>
      <c r="O39" s="313"/>
      <c r="P39" s="313"/>
      <c r="Q39" s="313"/>
      <c r="R39" s="313"/>
      <c r="S39" s="313"/>
      <c r="T39" s="313"/>
      <c r="U39" s="313"/>
      <c r="V39" s="313"/>
      <c r="W39" s="313"/>
      <c r="X39" s="313"/>
      <c r="Y39" s="313"/>
      <c r="Z39" s="313"/>
      <c r="AA39" s="313"/>
      <c r="AB39" s="313"/>
      <c r="AC39" s="313"/>
      <c r="AD39" s="313"/>
      <c r="AE39" s="313"/>
      <c r="AF39" s="313"/>
      <c r="AG39" s="313"/>
      <c r="AH39" s="313"/>
      <c r="AI39" s="313"/>
      <c r="AJ39" s="313"/>
      <c r="AK39" s="313"/>
      <c r="AL39" s="313"/>
      <c r="AM39" s="313"/>
      <c r="AN39" s="313"/>
      <c r="AO39" s="313"/>
      <c r="AP39" s="313"/>
      <c r="AQ39" s="313"/>
      <c r="AR39" s="313"/>
      <c r="AS39" s="313"/>
      <c r="AT39" s="313"/>
      <c r="AU39" s="313"/>
      <c r="AV39" s="313"/>
      <c r="AW39" s="313"/>
      <c r="AX39" s="313"/>
      <c r="AY39" s="313"/>
      <c r="AZ39" s="313"/>
      <c r="BA39" s="313"/>
      <c r="BB39" s="313"/>
      <c r="BC39" s="313"/>
      <c r="BD39" s="313"/>
      <c r="BE39" s="313"/>
      <c r="BF39" s="313"/>
      <c r="BG39" s="313"/>
      <c r="BH39" s="313"/>
    </row>
    <row r="40" spans="2:60" ht="29.25" customHeight="1" x14ac:dyDescent="0.2">
      <c r="D40" s="174"/>
    </row>
    <row r="41" spans="2:60" ht="15.75" x14ac:dyDescent="0.25">
      <c r="B41" s="175" t="s">
        <v>400</v>
      </c>
      <c r="C41" s="4"/>
    </row>
    <row r="42" spans="2:60" x14ac:dyDescent="0.2">
      <c r="B42" s="176"/>
      <c r="C42" s="264"/>
    </row>
    <row r="43" spans="2:60" x14ac:dyDescent="0.2">
      <c r="B43" s="24" t="s">
        <v>112</v>
      </c>
      <c r="C43" s="314" t="str">
        <f>IF( '1. Pipeline information'!C14=0, "0/01/1960", '1. Pipeline information'!C14)</f>
        <v>1986</v>
      </c>
    </row>
    <row r="48" spans="2:60" x14ac:dyDescent="0.2">
      <c r="C48" s="177"/>
    </row>
    <row r="49" spans="3:3" x14ac:dyDescent="0.2">
      <c r="C49" s="177"/>
    </row>
    <row r="50" spans="3:3" x14ac:dyDescent="0.2">
      <c r="C50" s="248"/>
    </row>
  </sheetData>
  <sheetProtection sheet="1" insertColumns="0" deleteColumns="0"/>
  <mergeCells count="3">
    <mergeCell ref="F11:BH11"/>
    <mergeCell ref="C11:D11"/>
    <mergeCell ref="B6:D7"/>
  </mergeCells>
  <conditionalFormatting sqref="F35">
    <cfRule type="cellIs" dxfId="57" priority="55" stopIfTrue="1" operator="greaterThan">
      <formula>F$31</formula>
    </cfRule>
  </conditionalFormatting>
  <conditionalFormatting sqref="G35">
    <cfRule type="cellIs" dxfId="56" priority="54" stopIfTrue="1" operator="greaterThan">
      <formula>$G$31</formula>
    </cfRule>
  </conditionalFormatting>
  <conditionalFormatting sqref="H35">
    <cfRule type="cellIs" dxfId="55" priority="53" stopIfTrue="1" operator="greaterThan">
      <formula>$H$31</formula>
    </cfRule>
  </conditionalFormatting>
  <conditionalFormatting sqref="I35">
    <cfRule type="cellIs" dxfId="54" priority="52" stopIfTrue="1" operator="greaterThan">
      <formula>$I$31</formula>
    </cfRule>
  </conditionalFormatting>
  <conditionalFormatting sqref="J35">
    <cfRule type="cellIs" dxfId="53" priority="51" stopIfTrue="1" operator="greaterThan">
      <formula>$J$31</formula>
    </cfRule>
  </conditionalFormatting>
  <conditionalFormatting sqref="K35">
    <cfRule type="cellIs" dxfId="52" priority="50" stopIfTrue="1" operator="greaterThan">
      <formula>$K$31</formula>
    </cfRule>
  </conditionalFormatting>
  <conditionalFormatting sqref="L35">
    <cfRule type="cellIs" dxfId="51" priority="49" stopIfTrue="1" operator="greaterThan">
      <formula>$L$31</formula>
    </cfRule>
  </conditionalFormatting>
  <conditionalFormatting sqref="M35">
    <cfRule type="cellIs" dxfId="50" priority="48" stopIfTrue="1" operator="greaterThan">
      <formula>$M$31</formula>
    </cfRule>
  </conditionalFormatting>
  <conditionalFormatting sqref="N35">
    <cfRule type="cellIs" dxfId="49" priority="47" stopIfTrue="1" operator="greaterThan">
      <formula>$N$31</formula>
    </cfRule>
  </conditionalFormatting>
  <conditionalFormatting sqref="O35">
    <cfRule type="cellIs" dxfId="48" priority="46" stopIfTrue="1" operator="greaterThan">
      <formula>$O$31</formula>
    </cfRule>
  </conditionalFormatting>
  <conditionalFormatting sqref="P35">
    <cfRule type="cellIs" dxfId="47" priority="45" stopIfTrue="1" operator="greaterThan">
      <formula>$P$31</formula>
    </cfRule>
  </conditionalFormatting>
  <conditionalFormatting sqref="Q35">
    <cfRule type="cellIs" dxfId="46" priority="44" stopIfTrue="1" operator="greaterThan">
      <formula>$Q$31</formula>
    </cfRule>
  </conditionalFormatting>
  <conditionalFormatting sqref="R35">
    <cfRule type="cellIs" dxfId="45" priority="43" stopIfTrue="1" operator="greaterThan">
      <formula>$R$31</formula>
    </cfRule>
  </conditionalFormatting>
  <conditionalFormatting sqref="S35">
    <cfRule type="cellIs" dxfId="44" priority="42" stopIfTrue="1" operator="greaterThan">
      <formula>$S$31</formula>
    </cfRule>
  </conditionalFormatting>
  <conditionalFormatting sqref="T35">
    <cfRule type="cellIs" dxfId="43" priority="41" stopIfTrue="1" operator="greaterThan">
      <formula>$T$31</formula>
    </cfRule>
  </conditionalFormatting>
  <conditionalFormatting sqref="U35">
    <cfRule type="cellIs" dxfId="42" priority="40" stopIfTrue="1" operator="greaterThan">
      <formula>$U$31</formula>
    </cfRule>
  </conditionalFormatting>
  <conditionalFormatting sqref="V35">
    <cfRule type="cellIs" dxfId="41" priority="39" stopIfTrue="1" operator="greaterThan">
      <formula>$V$31</formula>
    </cfRule>
  </conditionalFormatting>
  <conditionalFormatting sqref="W35">
    <cfRule type="cellIs" dxfId="40" priority="38" stopIfTrue="1" operator="greaterThan">
      <formula>$W$31</formula>
    </cfRule>
  </conditionalFormatting>
  <conditionalFormatting sqref="X35">
    <cfRule type="cellIs" dxfId="39" priority="37" stopIfTrue="1" operator="greaterThan">
      <formula>$X$31</formula>
    </cfRule>
  </conditionalFormatting>
  <conditionalFormatting sqref="Y35">
    <cfRule type="cellIs" dxfId="38" priority="36" stopIfTrue="1" operator="greaterThan">
      <formula>$Y$31</formula>
    </cfRule>
  </conditionalFormatting>
  <conditionalFormatting sqref="Z35">
    <cfRule type="cellIs" dxfId="37" priority="35" stopIfTrue="1" operator="greaterThan">
      <formula>$Z$31</formula>
    </cfRule>
  </conditionalFormatting>
  <conditionalFormatting sqref="AA35">
    <cfRule type="cellIs" dxfId="36" priority="34" stopIfTrue="1" operator="greaterThan">
      <formula>$AA$31</formula>
    </cfRule>
  </conditionalFormatting>
  <conditionalFormatting sqref="AB35">
    <cfRule type="cellIs" dxfId="35" priority="33" stopIfTrue="1" operator="greaterThan">
      <formula>$AB$31</formula>
    </cfRule>
  </conditionalFormatting>
  <conditionalFormatting sqref="AC35">
    <cfRule type="cellIs" dxfId="34" priority="32" stopIfTrue="1" operator="greaterThan">
      <formula>$AC$31</formula>
    </cfRule>
  </conditionalFormatting>
  <conditionalFormatting sqref="AD35">
    <cfRule type="cellIs" dxfId="33" priority="31" stopIfTrue="1" operator="greaterThan">
      <formula>$AD$31</formula>
    </cfRule>
  </conditionalFormatting>
  <conditionalFormatting sqref="AE35">
    <cfRule type="cellIs" dxfId="32" priority="30" stopIfTrue="1" operator="greaterThan">
      <formula>$AE$31</formula>
    </cfRule>
  </conditionalFormatting>
  <conditionalFormatting sqref="AF35">
    <cfRule type="cellIs" dxfId="31" priority="29" stopIfTrue="1" operator="greaterThan">
      <formula>$AF$31</formula>
    </cfRule>
  </conditionalFormatting>
  <conditionalFormatting sqref="AG35">
    <cfRule type="cellIs" dxfId="30" priority="28" stopIfTrue="1" operator="greaterThan">
      <formula>$AG$31</formula>
    </cfRule>
  </conditionalFormatting>
  <conditionalFormatting sqref="AH35">
    <cfRule type="cellIs" dxfId="29" priority="27" stopIfTrue="1" operator="greaterThan">
      <formula>$AH$31</formula>
    </cfRule>
  </conditionalFormatting>
  <conditionalFormatting sqref="AI35">
    <cfRule type="cellIs" dxfId="28" priority="26" stopIfTrue="1" operator="greaterThan">
      <formula>$AI$31</formula>
    </cfRule>
  </conditionalFormatting>
  <conditionalFormatting sqref="AJ35">
    <cfRule type="cellIs" dxfId="27" priority="25" stopIfTrue="1" operator="greaterThan">
      <formula>$AJ$31</formula>
    </cfRule>
  </conditionalFormatting>
  <conditionalFormatting sqref="AK35">
    <cfRule type="cellIs" dxfId="26" priority="24" stopIfTrue="1" operator="greaterThan">
      <formula>$AK$31</formula>
    </cfRule>
  </conditionalFormatting>
  <conditionalFormatting sqref="AL35">
    <cfRule type="cellIs" dxfId="25" priority="23" stopIfTrue="1" operator="greaterThan">
      <formula>$AL$31</formula>
    </cfRule>
  </conditionalFormatting>
  <conditionalFormatting sqref="AM35">
    <cfRule type="cellIs" dxfId="24" priority="22" stopIfTrue="1" operator="greaterThan">
      <formula>$AM$31</formula>
    </cfRule>
  </conditionalFormatting>
  <conditionalFormatting sqref="AN35">
    <cfRule type="cellIs" dxfId="23" priority="21" stopIfTrue="1" operator="greaterThan">
      <formula>$AN$31</formula>
    </cfRule>
  </conditionalFormatting>
  <conditionalFormatting sqref="AO35">
    <cfRule type="cellIs" dxfId="22" priority="20" stopIfTrue="1" operator="greaterThan">
      <formula>$AO$31</formula>
    </cfRule>
  </conditionalFormatting>
  <conditionalFormatting sqref="AP35">
    <cfRule type="cellIs" dxfId="21" priority="19" stopIfTrue="1" operator="greaterThan">
      <formula>$AP$31</formula>
    </cfRule>
  </conditionalFormatting>
  <conditionalFormatting sqref="AQ35">
    <cfRule type="cellIs" dxfId="20" priority="18" stopIfTrue="1" operator="greaterThan">
      <formula>$AQ$31</formula>
    </cfRule>
  </conditionalFormatting>
  <conditionalFormatting sqref="AR35">
    <cfRule type="cellIs" dxfId="19" priority="17" stopIfTrue="1" operator="greaterThan">
      <formula>$AR$31</formula>
    </cfRule>
  </conditionalFormatting>
  <conditionalFormatting sqref="AS35">
    <cfRule type="cellIs" dxfId="18" priority="16" stopIfTrue="1" operator="greaterThan">
      <formula>$AS$31</formula>
    </cfRule>
  </conditionalFormatting>
  <conditionalFormatting sqref="AT35">
    <cfRule type="cellIs" dxfId="17" priority="15" stopIfTrue="1" operator="greaterThan">
      <formula>$AT$31</formula>
    </cfRule>
  </conditionalFormatting>
  <conditionalFormatting sqref="AU35">
    <cfRule type="cellIs" dxfId="16" priority="14" stopIfTrue="1" operator="greaterThan">
      <formula>$AU$31</formula>
    </cfRule>
  </conditionalFormatting>
  <conditionalFormatting sqref="AV35">
    <cfRule type="cellIs" dxfId="15" priority="13" stopIfTrue="1" operator="greaterThan">
      <formula>$AV$31</formula>
    </cfRule>
  </conditionalFormatting>
  <conditionalFormatting sqref="AW35">
    <cfRule type="cellIs" dxfId="14" priority="12" stopIfTrue="1" operator="greaterThan">
      <formula>$AW$31</formula>
    </cfRule>
  </conditionalFormatting>
  <conditionalFormatting sqref="AX35">
    <cfRule type="cellIs" dxfId="13" priority="11" stopIfTrue="1" operator="greaterThan">
      <formula>$AX$31</formula>
    </cfRule>
  </conditionalFormatting>
  <conditionalFormatting sqref="AY35">
    <cfRule type="cellIs" dxfId="12" priority="10" stopIfTrue="1" operator="greaterThan">
      <formula>$AY$31</formula>
    </cfRule>
  </conditionalFormatting>
  <conditionalFormatting sqref="AZ35">
    <cfRule type="cellIs" dxfId="11" priority="9" stopIfTrue="1" operator="greaterThan">
      <formula>$AZ$31</formula>
    </cfRule>
  </conditionalFormatting>
  <conditionalFormatting sqref="BA35">
    <cfRule type="cellIs" dxfId="10" priority="8" stopIfTrue="1" operator="greaterThan">
      <formula>$BA$31</formula>
    </cfRule>
  </conditionalFormatting>
  <conditionalFormatting sqref="BB35">
    <cfRule type="cellIs" dxfId="9" priority="7" stopIfTrue="1" operator="greaterThan">
      <formula>$BB$31</formula>
    </cfRule>
  </conditionalFormatting>
  <conditionalFormatting sqref="BC35">
    <cfRule type="cellIs" dxfId="8" priority="6" stopIfTrue="1" operator="greaterThan">
      <formula>$BC$31</formula>
    </cfRule>
  </conditionalFormatting>
  <conditionalFormatting sqref="BD35">
    <cfRule type="cellIs" dxfId="7" priority="5" stopIfTrue="1" operator="greaterThan">
      <formula>$BD$31</formula>
    </cfRule>
  </conditionalFormatting>
  <conditionalFormatting sqref="BE35">
    <cfRule type="cellIs" dxfId="6" priority="4" stopIfTrue="1" operator="greaterThan">
      <formula>$BE$31</formula>
    </cfRule>
  </conditionalFormatting>
  <conditionalFormatting sqref="BF35">
    <cfRule type="cellIs" dxfId="5" priority="3" stopIfTrue="1" operator="greaterThan">
      <formula>$BF$31</formula>
    </cfRule>
  </conditionalFormatting>
  <conditionalFormatting sqref="BG35">
    <cfRule type="cellIs" dxfId="4" priority="2" stopIfTrue="1" operator="greaterThan">
      <formula>$BG$31</formula>
    </cfRule>
  </conditionalFormatting>
  <conditionalFormatting sqref="BH35">
    <cfRule type="cellIs" dxfId="3" priority="1" stopIfTrue="1" operator="greaterThan">
      <formula>$BH$31</formula>
    </cfRule>
  </conditionalFormatting>
  <dataValidations count="1">
    <dataValidation operator="lessThan" allowBlank="1" showInputMessage="1" showErrorMessage="1" errorTitle="Error" error="Return on capital should be less than Revenue." sqref="AK35" xr:uid="{F1B850CC-41CE-4A3D-8773-265F4E858304}"/>
  </dataValidations>
  <pageMargins left="0.75" right="0.75" top="1" bottom="1" header="0.5" footer="0.5"/>
  <pageSetup paperSize="9" scale="30" orientation="landscape" r:id="rId1"/>
  <headerFooter alignWithMargins="0">
    <oddFooter>&amp;C_x000D_&amp;1#&amp;"Calibri"&amp;10&amp;K008000 APA-INTERNAL</oddFooter>
  </headerFooter>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44D28-4A92-4DBC-BE82-77A93082D888}">
  <sheetPr codeName="Sheet17">
    <tabColor rgb="FF17415D"/>
  </sheetPr>
  <dimension ref="B1:G98"/>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defaultColWidth="9.140625" defaultRowHeight="12.75" x14ac:dyDescent="0.2"/>
  <cols>
    <col min="1" max="1" width="12.140625" style="169" customWidth="1"/>
    <col min="2" max="2" width="21" style="169" customWidth="1"/>
    <col min="3" max="3" width="64.7109375" style="169" customWidth="1"/>
    <col min="4" max="5" width="42.28515625" style="169" customWidth="1"/>
    <col min="6" max="6" width="34.85546875" style="169" customWidth="1"/>
    <col min="7" max="7" width="44" style="169" customWidth="1"/>
    <col min="8" max="16384" width="9.140625" style="169"/>
  </cols>
  <sheetData>
    <row r="1" spans="2:5" ht="20.25" customHeight="1" x14ac:dyDescent="0.3">
      <c r="B1" s="103" t="s">
        <v>66</v>
      </c>
      <c r="C1" s="103"/>
      <c r="D1" s="168"/>
      <c r="E1" s="168"/>
    </row>
    <row r="2" spans="2:5" ht="20.25" x14ac:dyDescent="0.3">
      <c r="B2" s="103" t="str">
        <f>IF(Tradingname=0," ",Tradingname)</f>
        <v>APT PIPELINES (NT) PTY LIMITED</v>
      </c>
      <c r="C2" s="103"/>
      <c r="D2" s="170"/>
    </row>
    <row r="3" spans="2:5" ht="22.7" customHeight="1" x14ac:dyDescent="0.3">
      <c r="B3" s="103" t="s">
        <v>44</v>
      </c>
      <c r="C3" s="80">
        <f>IF(Yearending=0, "01/01/2000", Yearending)</f>
        <v>45838</v>
      </c>
    </row>
    <row r="4" spans="2:5" ht="20.25" x14ac:dyDescent="0.2">
      <c r="B4" s="72" t="s">
        <v>401</v>
      </c>
      <c r="C4" s="72"/>
    </row>
    <row r="6" spans="2:5" x14ac:dyDescent="0.2">
      <c r="B6" s="401" t="s">
        <v>402</v>
      </c>
      <c r="C6" s="401"/>
      <c r="D6" s="401"/>
      <c r="E6" s="401"/>
    </row>
    <row r="7" spans="2:5" ht="12.75" customHeight="1" x14ac:dyDescent="0.2">
      <c r="B7" s="401"/>
      <c r="C7" s="401"/>
      <c r="D7" s="401"/>
      <c r="E7" s="401"/>
    </row>
    <row r="8" spans="2:5" ht="12.75" customHeight="1" x14ac:dyDescent="0.2">
      <c r="B8" s="401"/>
      <c r="C8" s="401"/>
      <c r="D8" s="401"/>
      <c r="E8" s="401"/>
    </row>
    <row r="9" spans="2:5" ht="12.75" customHeight="1" x14ac:dyDescent="0.2">
      <c r="B9" s="401"/>
      <c r="C9" s="401"/>
      <c r="D9" s="401"/>
      <c r="E9" s="401"/>
    </row>
    <row r="12" spans="2:5" ht="15.75" x14ac:dyDescent="0.25">
      <c r="B12" s="171" t="s">
        <v>403</v>
      </c>
      <c r="C12" s="263"/>
      <c r="D12" s="263"/>
      <c r="E12" s="263"/>
    </row>
    <row r="13" spans="2:5" ht="15.75" x14ac:dyDescent="0.25">
      <c r="B13" s="171"/>
      <c r="C13" s="263"/>
      <c r="D13" s="263"/>
      <c r="E13" s="263"/>
    </row>
    <row r="14" spans="2:5" ht="25.5" x14ac:dyDescent="0.2">
      <c r="B14" s="39" t="s">
        <v>128</v>
      </c>
      <c r="C14" s="39" t="s">
        <v>404</v>
      </c>
      <c r="D14" s="39" t="s">
        <v>405</v>
      </c>
      <c r="E14" s="39" t="s">
        <v>406</v>
      </c>
    </row>
    <row r="15" spans="2:5" x14ac:dyDescent="0.2">
      <c r="B15" s="260" t="s">
        <v>409</v>
      </c>
      <c r="C15" s="315"/>
      <c r="D15" s="244"/>
      <c r="E15" s="285"/>
    </row>
    <row r="16" spans="2:5" x14ac:dyDescent="0.2">
      <c r="B16" s="250"/>
      <c r="C16" s="315"/>
      <c r="D16" s="316"/>
      <c r="E16" s="285"/>
    </row>
    <row r="17" spans="2:5" x14ac:dyDescent="0.2">
      <c r="B17" s="250"/>
      <c r="C17" s="315"/>
      <c r="D17" s="316"/>
      <c r="E17" s="285"/>
    </row>
    <row r="18" spans="2:5" x14ac:dyDescent="0.2">
      <c r="B18" s="250"/>
      <c r="C18" s="315"/>
      <c r="D18" s="316"/>
      <c r="E18" s="285"/>
    </row>
    <row r="19" spans="2:5" x14ac:dyDescent="0.2">
      <c r="B19" s="250"/>
      <c r="C19" s="315"/>
      <c r="D19" s="316"/>
      <c r="E19" s="285"/>
    </row>
    <row r="20" spans="2:5" x14ac:dyDescent="0.2">
      <c r="B20" s="250"/>
      <c r="C20" s="315"/>
      <c r="D20" s="316"/>
      <c r="E20" s="285"/>
    </row>
    <row r="21" spans="2:5" x14ac:dyDescent="0.2">
      <c r="B21" s="250"/>
      <c r="C21" s="315"/>
      <c r="D21" s="316"/>
      <c r="E21" s="285"/>
    </row>
    <row r="22" spans="2:5" x14ac:dyDescent="0.2">
      <c r="B22" s="250"/>
      <c r="C22" s="315"/>
      <c r="D22" s="316"/>
      <c r="E22" s="285"/>
    </row>
    <row r="23" spans="2:5" x14ac:dyDescent="0.2">
      <c r="B23" s="250"/>
      <c r="C23" s="315"/>
      <c r="D23" s="316"/>
      <c r="E23" s="285"/>
    </row>
    <row r="24" spans="2:5" x14ac:dyDescent="0.2">
      <c r="B24" s="250"/>
      <c r="C24" s="315"/>
      <c r="D24" s="316"/>
      <c r="E24" s="285"/>
    </row>
    <row r="25" spans="2:5" x14ac:dyDescent="0.2">
      <c r="B25" s="250"/>
      <c r="C25" s="315"/>
      <c r="D25" s="316"/>
      <c r="E25" s="285"/>
    </row>
    <row r="26" spans="2:5" x14ac:dyDescent="0.2">
      <c r="B26" s="250"/>
      <c r="C26" s="315"/>
      <c r="D26" s="316"/>
      <c r="E26" s="285"/>
    </row>
    <row r="27" spans="2:5" x14ac:dyDescent="0.2">
      <c r="B27" s="250"/>
      <c r="C27" s="315"/>
      <c r="D27" s="316"/>
      <c r="E27" s="285"/>
    </row>
    <row r="28" spans="2:5" x14ac:dyDescent="0.2">
      <c r="B28" s="250"/>
      <c r="C28" s="315"/>
      <c r="D28" s="316"/>
      <c r="E28" s="285"/>
    </row>
    <row r="29" spans="2:5" x14ac:dyDescent="0.2">
      <c r="B29" s="250"/>
      <c r="C29" s="315"/>
      <c r="D29" s="316"/>
      <c r="E29" s="285"/>
    </row>
    <row r="30" spans="2:5" x14ac:dyDescent="0.2">
      <c r="B30" s="250"/>
      <c r="C30" s="315"/>
      <c r="D30" s="316"/>
      <c r="E30" s="285"/>
    </row>
    <row r="31" spans="2:5" x14ac:dyDescent="0.2">
      <c r="B31" s="250"/>
      <c r="C31" s="315"/>
      <c r="D31" s="316"/>
      <c r="E31" s="285"/>
    </row>
    <row r="32" spans="2:5" x14ac:dyDescent="0.2">
      <c r="B32" s="250"/>
      <c r="C32" s="315"/>
      <c r="D32" s="316"/>
      <c r="E32" s="285"/>
    </row>
    <row r="33" spans="2:5" x14ac:dyDescent="0.2">
      <c r="B33" s="250"/>
      <c r="C33" s="315"/>
      <c r="D33" s="316"/>
      <c r="E33" s="285"/>
    </row>
    <row r="34" spans="2:5" x14ac:dyDescent="0.2">
      <c r="B34" s="250"/>
      <c r="C34" s="315"/>
      <c r="D34" s="316"/>
      <c r="E34" s="285"/>
    </row>
    <row r="35" spans="2:5" x14ac:dyDescent="0.2">
      <c r="B35" s="250"/>
      <c r="C35" s="315"/>
      <c r="D35" s="316"/>
      <c r="E35" s="285"/>
    </row>
    <row r="36" spans="2:5" x14ac:dyDescent="0.2">
      <c r="B36" s="250"/>
      <c r="C36" s="315"/>
      <c r="D36" s="316"/>
      <c r="E36" s="285"/>
    </row>
    <row r="37" spans="2:5" x14ac:dyDescent="0.2">
      <c r="B37" s="250"/>
      <c r="C37" s="315"/>
      <c r="D37" s="316"/>
      <c r="E37" s="285"/>
    </row>
    <row r="38" spans="2:5" x14ac:dyDescent="0.2">
      <c r="B38" s="250"/>
      <c r="C38" s="315"/>
      <c r="D38" s="316"/>
      <c r="E38" s="285"/>
    </row>
    <row r="39" spans="2:5" x14ac:dyDescent="0.2">
      <c r="B39" s="250"/>
      <c r="C39" s="315"/>
      <c r="D39" s="316"/>
      <c r="E39" s="285"/>
    </row>
    <row r="40" spans="2:5" x14ac:dyDescent="0.2">
      <c r="B40" s="250"/>
      <c r="C40" s="315"/>
      <c r="D40" s="316"/>
      <c r="E40" s="285"/>
    </row>
    <row r="41" spans="2:5" x14ac:dyDescent="0.2">
      <c r="B41" s="416" t="s">
        <v>407</v>
      </c>
      <c r="C41" s="417"/>
      <c r="D41" s="418"/>
      <c r="E41" s="317">
        <f>SUM(E15:E40)</f>
        <v>0</v>
      </c>
    </row>
    <row r="44" spans="2:5" ht="15.75" x14ac:dyDescent="0.25">
      <c r="B44" s="171" t="s">
        <v>408</v>
      </c>
      <c r="C44" s="263"/>
      <c r="D44" s="263"/>
      <c r="E44" s="263"/>
    </row>
    <row r="45" spans="2:5" ht="15.75" x14ac:dyDescent="0.25">
      <c r="B45" s="171"/>
      <c r="C45" s="263"/>
      <c r="D45" s="263"/>
      <c r="E45" s="263"/>
    </row>
    <row r="46" spans="2:5" ht="25.5" x14ac:dyDescent="0.2">
      <c r="B46" s="39" t="s">
        <v>128</v>
      </c>
      <c r="C46" s="39" t="s">
        <v>404</v>
      </c>
      <c r="D46" s="39" t="s">
        <v>405</v>
      </c>
      <c r="E46" s="39" t="s">
        <v>406</v>
      </c>
    </row>
    <row r="47" spans="2:5" x14ac:dyDescent="0.2">
      <c r="B47" s="298" t="s">
        <v>409</v>
      </c>
      <c r="C47" s="315" t="s">
        <v>744</v>
      </c>
      <c r="D47" s="244" t="s">
        <v>517</v>
      </c>
      <c r="E47" s="285">
        <v>1243694.097865728</v>
      </c>
    </row>
    <row r="48" spans="2:5" x14ac:dyDescent="0.2">
      <c r="B48" s="298" t="s">
        <v>409</v>
      </c>
      <c r="C48" s="315" t="s">
        <v>745</v>
      </c>
      <c r="D48" s="244" t="s">
        <v>746</v>
      </c>
      <c r="E48" s="285">
        <v>2341762.5899284123</v>
      </c>
    </row>
    <row r="49" spans="2:5" x14ac:dyDescent="0.2">
      <c r="B49" s="298" t="s">
        <v>409</v>
      </c>
      <c r="C49" s="315" t="s">
        <v>747</v>
      </c>
      <c r="D49" s="244" t="s">
        <v>516</v>
      </c>
      <c r="E49" s="285">
        <v>745245.10385462269</v>
      </c>
    </row>
    <row r="50" spans="2:5" x14ac:dyDescent="0.2">
      <c r="B50" s="298" t="s">
        <v>409</v>
      </c>
      <c r="C50" s="315" t="s">
        <v>748</v>
      </c>
      <c r="D50" s="244" t="s">
        <v>749</v>
      </c>
      <c r="E50" s="285">
        <v>622482.10911362397</v>
      </c>
    </row>
    <row r="51" spans="2:5" x14ac:dyDescent="0.2">
      <c r="B51" s="298"/>
      <c r="C51" s="315"/>
      <c r="D51" s="244"/>
      <c r="E51" s="285"/>
    </row>
    <row r="52" spans="2:5" x14ac:dyDescent="0.2">
      <c r="B52" s="298"/>
      <c r="C52" s="315"/>
      <c r="D52" s="244"/>
      <c r="E52" s="285"/>
    </row>
    <row r="53" spans="2:5" x14ac:dyDescent="0.2">
      <c r="B53" s="298"/>
      <c r="C53" s="315"/>
      <c r="D53" s="244"/>
      <c r="E53" s="285"/>
    </row>
    <row r="54" spans="2:5" x14ac:dyDescent="0.2">
      <c r="B54" s="298"/>
      <c r="C54" s="315"/>
      <c r="D54" s="244"/>
      <c r="E54" s="285"/>
    </row>
    <row r="55" spans="2:5" x14ac:dyDescent="0.2">
      <c r="B55" s="298"/>
      <c r="C55" s="315"/>
      <c r="D55" s="244"/>
      <c r="E55" s="285"/>
    </row>
    <row r="56" spans="2:5" x14ac:dyDescent="0.2">
      <c r="B56" s="298"/>
      <c r="C56" s="315"/>
      <c r="D56" s="244"/>
      <c r="E56" s="285"/>
    </row>
    <row r="57" spans="2:5" x14ac:dyDescent="0.2">
      <c r="B57" s="298"/>
      <c r="C57" s="315"/>
      <c r="D57" s="244"/>
      <c r="E57" s="285"/>
    </row>
    <row r="58" spans="2:5" x14ac:dyDescent="0.2">
      <c r="B58" s="298"/>
      <c r="C58" s="315"/>
      <c r="D58" s="244"/>
      <c r="E58" s="285"/>
    </row>
    <row r="59" spans="2:5" x14ac:dyDescent="0.2">
      <c r="B59" s="298"/>
      <c r="C59" s="315"/>
      <c r="D59" s="316"/>
      <c r="E59" s="285"/>
    </row>
    <row r="60" spans="2:5" x14ac:dyDescent="0.2">
      <c r="B60" s="298"/>
      <c r="C60" s="315"/>
      <c r="D60" s="316"/>
      <c r="E60" s="285"/>
    </row>
    <row r="61" spans="2:5" x14ac:dyDescent="0.2">
      <c r="B61" s="298"/>
      <c r="C61" s="315"/>
      <c r="D61" s="316"/>
      <c r="E61" s="285"/>
    </row>
    <row r="62" spans="2:5" x14ac:dyDescent="0.2">
      <c r="B62" s="298"/>
      <c r="C62" s="315"/>
      <c r="D62" s="316"/>
      <c r="E62" s="285"/>
    </row>
    <row r="63" spans="2:5" x14ac:dyDescent="0.2">
      <c r="B63" s="298"/>
      <c r="C63" s="315"/>
      <c r="D63" s="316"/>
      <c r="E63" s="285"/>
    </row>
    <row r="64" spans="2:5" x14ac:dyDescent="0.2">
      <c r="B64" s="298"/>
      <c r="C64" s="315"/>
      <c r="D64" s="316"/>
      <c r="E64" s="285"/>
    </row>
    <row r="65" spans="2:7" x14ac:dyDescent="0.2">
      <c r="B65" s="298"/>
      <c r="C65" s="315"/>
      <c r="D65" s="316"/>
      <c r="E65" s="285"/>
    </row>
    <row r="66" spans="2:7" x14ac:dyDescent="0.2">
      <c r="B66" s="298"/>
      <c r="C66" s="315"/>
      <c r="D66" s="316"/>
      <c r="E66" s="285"/>
    </row>
    <row r="67" spans="2:7" x14ac:dyDescent="0.2">
      <c r="B67" s="298"/>
      <c r="C67" s="315"/>
      <c r="D67" s="316"/>
      <c r="E67" s="285"/>
    </row>
    <row r="68" spans="2:7" x14ac:dyDescent="0.2">
      <c r="B68" s="298"/>
      <c r="C68" s="315"/>
      <c r="D68" s="316"/>
      <c r="E68" s="285"/>
    </row>
    <row r="69" spans="2:7" x14ac:dyDescent="0.2">
      <c r="B69" s="298"/>
      <c r="C69" s="315"/>
      <c r="D69" s="316"/>
      <c r="E69" s="285"/>
    </row>
    <row r="70" spans="2:7" x14ac:dyDescent="0.2">
      <c r="B70" s="298"/>
      <c r="C70" s="315"/>
      <c r="D70" s="316"/>
      <c r="E70" s="285"/>
    </row>
    <row r="71" spans="2:7" x14ac:dyDescent="0.2">
      <c r="B71" s="298"/>
      <c r="C71" s="315"/>
      <c r="D71" s="316"/>
      <c r="E71" s="285"/>
    </row>
    <row r="72" spans="2:7" x14ac:dyDescent="0.2">
      <c r="B72" s="298"/>
      <c r="C72" s="315"/>
      <c r="D72" s="316"/>
      <c r="E72" s="285"/>
    </row>
    <row r="73" spans="2:7" x14ac:dyDescent="0.2">
      <c r="B73" s="416" t="s">
        <v>407</v>
      </c>
      <c r="C73" s="417"/>
      <c r="D73" s="418"/>
      <c r="E73" s="317">
        <f>SUM(E47:E72)</f>
        <v>4953183.9007623876</v>
      </c>
    </row>
    <row r="76" spans="2:7" ht="15.75" x14ac:dyDescent="0.25">
      <c r="B76" s="172" t="s">
        <v>410</v>
      </c>
      <c r="C76" s="263"/>
      <c r="D76" s="263"/>
      <c r="E76" s="263"/>
      <c r="F76" s="284"/>
      <c r="G76" s="263"/>
    </row>
    <row r="77" spans="2:7" ht="15.75" x14ac:dyDescent="0.25">
      <c r="B77" s="171"/>
      <c r="C77" s="263"/>
      <c r="D77" s="263"/>
      <c r="E77" s="263"/>
      <c r="F77" s="284"/>
      <c r="G77" s="263"/>
    </row>
    <row r="78" spans="2:7" ht="42" customHeight="1" x14ac:dyDescent="0.2">
      <c r="B78" s="39" t="s">
        <v>128</v>
      </c>
      <c r="C78" s="39" t="s">
        <v>411</v>
      </c>
      <c r="D78" s="39" t="s">
        <v>412</v>
      </c>
      <c r="E78" s="51" t="s">
        <v>413</v>
      </c>
      <c r="F78" s="51" t="s">
        <v>414</v>
      </c>
      <c r="G78" s="51" t="s">
        <v>415</v>
      </c>
    </row>
    <row r="79" spans="2:7" x14ac:dyDescent="0.2">
      <c r="B79" s="71"/>
      <c r="C79" s="39"/>
      <c r="D79" s="55"/>
      <c r="E79" s="55"/>
      <c r="F79" s="55" t="s">
        <v>416</v>
      </c>
      <c r="G79" s="55" t="s">
        <v>131</v>
      </c>
    </row>
    <row r="80" spans="2:7" x14ac:dyDescent="0.2">
      <c r="B80" s="246" t="s">
        <v>409</v>
      </c>
      <c r="C80" s="318"/>
      <c r="D80" s="285"/>
      <c r="E80" s="285"/>
      <c r="F80" s="280"/>
      <c r="G80" s="261"/>
    </row>
    <row r="81" spans="2:7" x14ac:dyDescent="0.2">
      <c r="B81" s="246"/>
      <c r="C81" s="318"/>
      <c r="D81" s="285"/>
      <c r="E81" s="285"/>
      <c r="F81" s="280"/>
      <c r="G81" s="261"/>
    </row>
    <row r="82" spans="2:7" x14ac:dyDescent="0.2">
      <c r="B82" s="246"/>
      <c r="C82" s="318"/>
      <c r="D82" s="285"/>
      <c r="E82" s="285"/>
      <c r="F82" s="280"/>
      <c r="G82" s="261"/>
    </row>
    <row r="83" spans="2:7" x14ac:dyDescent="0.2">
      <c r="B83" s="246"/>
      <c r="C83" s="318"/>
      <c r="D83" s="285"/>
      <c r="E83" s="285"/>
      <c r="F83" s="280"/>
      <c r="G83" s="261"/>
    </row>
    <row r="84" spans="2:7" x14ac:dyDescent="0.2">
      <c r="B84" s="246"/>
      <c r="C84" s="318"/>
      <c r="D84" s="285"/>
      <c r="E84" s="285"/>
      <c r="F84" s="280"/>
      <c r="G84" s="261"/>
    </row>
    <row r="85" spans="2:7" x14ac:dyDescent="0.2">
      <c r="B85" s="246"/>
      <c r="C85" s="318"/>
      <c r="D85" s="285"/>
      <c r="E85" s="285"/>
      <c r="F85" s="280"/>
      <c r="G85" s="261"/>
    </row>
    <row r="86" spans="2:7" x14ac:dyDescent="0.2">
      <c r="B86" s="246"/>
      <c r="C86" s="318"/>
      <c r="D86" s="285"/>
      <c r="E86" s="285"/>
      <c r="F86" s="280"/>
      <c r="G86" s="261"/>
    </row>
    <row r="87" spans="2:7" x14ac:dyDescent="0.2">
      <c r="B87" s="246"/>
      <c r="C87" s="318"/>
      <c r="D87" s="285"/>
      <c r="E87" s="285"/>
      <c r="F87" s="280"/>
      <c r="G87" s="261"/>
    </row>
    <row r="88" spans="2:7" x14ac:dyDescent="0.2">
      <c r="B88" s="246"/>
      <c r="C88" s="318"/>
      <c r="D88" s="285"/>
      <c r="E88" s="285"/>
      <c r="F88" s="280"/>
      <c r="G88" s="261"/>
    </row>
    <row r="89" spans="2:7" x14ac:dyDescent="0.2">
      <c r="B89" s="246"/>
      <c r="C89" s="318"/>
      <c r="D89" s="285"/>
      <c r="E89" s="285"/>
      <c r="F89" s="280"/>
      <c r="G89" s="261"/>
    </row>
    <row r="90" spans="2:7" x14ac:dyDescent="0.2">
      <c r="B90" s="246"/>
      <c r="C90" s="318"/>
      <c r="D90" s="285"/>
      <c r="E90" s="285"/>
      <c r="F90" s="280"/>
      <c r="G90" s="261"/>
    </row>
    <row r="91" spans="2:7" x14ac:dyDescent="0.2">
      <c r="B91" s="246"/>
      <c r="C91" s="318"/>
      <c r="D91" s="285"/>
      <c r="E91" s="285"/>
      <c r="F91" s="280"/>
      <c r="G91" s="261"/>
    </row>
    <row r="92" spans="2:7" x14ac:dyDescent="0.2">
      <c r="B92" s="246"/>
      <c r="C92" s="318"/>
      <c r="D92" s="285"/>
      <c r="E92" s="285"/>
      <c r="F92" s="280"/>
      <c r="G92" s="261"/>
    </row>
    <row r="93" spans="2:7" x14ac:dyDescent="0.2">
      <c r="B93" s="246"/>
      <c r="C93" s="318"/>
      <c r="D93" s="285"/>
      <c r="E93" s="285"/>
      <c r="F93" s="280"/>
      <c r="G93" s="261"/>
    </row>
    <row r="94" spans="2:7" x14ac:dyDescent="0.2">
      <c r="B94" s="246"/>
      <c r="C94" s="318"/>
      <c r="D94" s="285"/>
      <c r="E94" s="285"/>
      <c r="F94" s="280"/>
      <c r="G94" s="261"/>
    </row>
    <row r="95" spans="2:7" x14ac:dyDescent="0.2">
      <c r="B95" s="246"/>
      <c r="C95" s="318"/>
      <c r="D95" s="285"/>
      <c r="E95" s="285"/>
      <c r="F95" s="280"/>
      <c r="G95" s="261"/>
    </row>
    <row r="96" spans="2:7" x14ac:dyDescent="0.2">
      <c r="B96" s="246"/>
      <c r="C96" s="318"/>
      <c r="D96" s="285"/>
      <c r="E96" s="285"/>
      <c r="F96" s="280"/>
      <c r="G96" s="261"/>
    </row>
    <row r="97" spans="2:7" x14ac:dyDescent="0.2">
      <c r="B97" s="246"/>
      <c r="C97" s="318"/>
      <c r="D97" s="285"/>
      <c r="E97" s="285"/>
      <c r="F97" s="280"/>
      <c r="G97" s="261"/>
    </row>
    <row r="98" spans="2:7" x14ac:dyDescent="0.2">
      <c r="B98" s="414" t="s">
        <v>417</v>
      </c>
      <c r="C98" s="415"/>
      <c r="D98" s="415"/>
      <c r="E98" s="415"/>
      <c r="F98" s="415"/>
      <c r="G98" s="279">
        <f>SUM(G80:G97)</f>
        <v>0</v>
      </c>
    </row>
  </sheetData>
  <sheetProtection sheet="1" insertRows="0" deleteRows="0"/>
  <mergeCells count="4">
    <mergeCell ref="B98:F98"/>
    <mergeCell ref="B41:D41"/>
    <mergeCell ref="B6:E9"/>
    <mergeCell ref="B73:D73"/>
  </mergeCells>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EBE96-CE1B-4C92-A600-ABEFD6967242}">
  <sheetPr>
    <tabColor theme="9" tint="0.79998168889431442"/>
  </sheetPr>
  <dimension ref="A1"/>
  <sheetViews>
    <sheetView showGridLines="0" workbookViewId="0"/>
  </sheetViews>
  <sheetFormatPr defaultRowHeight="12.75" x14ac:dyDescent="0.2"/>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1A140-A72A-46DF-B55B-F5A8F2F37EA2}">
  <sheetPr codeName="Sheet26">
    <tabColor rgb="FF17415D"/>
  </sheetPr>
  <dimension ref="B1:I408"/>
  <sheetViews>
    <sheetView showGridLines="0" zoomScaleNormal="100" workbookViewId="0">
      <pane xSplit="1" ySplit="9" topLeftCell="B10" activePane="bottomRight" state="frozen"/>
      <selection pane="topRight" activeCell="B1" sqref="B1"/>
      <selection pane="bottomLeft" activeCell="A10" sqref="A10"/>
      <selection pane="bottomRight"/>
    </sheetView>
  </sheetViews>
  <sheetFormatPr defaultRowHeight="12.75" x14ac:dyDescent="0.2"/>
  <cols>
    <col min="1" max="1" width="11.42578125" customWidth="1"/>
    <col min="2" max="2" width="47.42578125" customWidth="1"/>
    <col min="3" max="9" width="30.7109375" customWidth="1"/>
    <col min="10" max="60" width="10.7109375" customWidth="1"/>
    <col min="62" max="62" width="13.5703125" customWidth="1"/>
  </cols>
  <sheetData>
    <row r="1" spans="2:4" ht="20.25" x14ac:dyDescent="0.2">
      <c r="B1" s="103" t="s">
        <v>66</v>
      </c>
      <c r="C1" s="103"/>
    </row>
    <row r="2" spans="2:4" ht="25.5" customHeight="1" x14ac:dyDescent="0.2">
      <c r="B2" s="103" t="str">
        <f>IF(Tradingname=0," ",Tradingname)</f>
        <v>APT PIPELINES (NT) PTY LIMITED</v>
      </c>
      <c r="C2" s="103"/>
    </row>
    <row r="3" spans="2:4" ht="19.5" customHeight="1" x14ac:dyDescent="0.3">
      <c r="B3" s="103" t="s">
        <v>44</v>
      </c>
      <c r="C3" s="80">
        <f>IF(Yearending=0, "01/01/2000", Yearending)</f>
        <v>45838</v>
      </c>
    </row>
    <row r="4" spans="2:4" ht="20.25" x14ac:dyDescent="0.2">
      <c r="B4" s="72" t="s">
        <v>85</v>
      </c>
      <c r="C4" s="72"/>
    </row>
    <row r="5" spans="2:4" ht="12" customHeight="1" x14ac:dyDescent="0.2"/>
    <row r="6" spans="2:4" ht="12" customHeight="1" x14ac:dyDescent="0.2">
      <c r="B6" s="401" t="s">
        <v>418</v>
      </c>
      <c r="C6" s="401"/>
      <c r="D6" s="401"/>
    </row>
    <row r="7" spans="2:4" ht="12" customHeight="1" x14ac:dyDescent="0.2">
      <c r="B7" s="401"/>
      <c r="C7" s="401"/>
      <c r="D7" s="401"/>
    </row>
    <row r="8" spans="2:4" ht="12" customHeight="1" x14ac:dyDescent="0.2">
      <c r="B8" s="401"/>
      <c r="C8" s="401"/>
      <c r="D8" s="401"/>
    </row>
    <row r="9" spans="2:4" ht="12" customHeight="1" x14ac:dyDescent="0.2">
      <c r="B9" s="401"/>
      <c r="C9" s="401"/>
      <c r="D9" s="401"/>
    </row>
    <row r="10" spans="2:4" ht="12" customHeight="1" x14ac:dyDescent="0.2"/>
    <row r="11" spans="2:4" ht="12" customHeight="1" x14ac:dyDescent="0.2"/>
    <row r="12" spans="2:4" ht="15.75" x14ac:dyDescent="0.25">
      <c r="B12" s="162" t="s">
        <v>419</v>
      </c>
    </row>
    <row r="14" spans="2:4" ht="25.5" x14ac:dyDescent="0.2">
      <c r="B14" s="53" t="s">
        <v>128</v>
      </c>
      <c r="C14" s="52" t="s">
        <v>420</v>
      </c>
      <c r="D14" s="52" t="s">
        <v>421</v>
      </c>
    </row>
    <row r="15" spans="2:4" x14ac:dyDescent="0.2">
      <c r="B15" s="249" t="s">
        <v>422</v>
      </c>
      <c r="C15" s="247" t="s">
        <v>423</v>
      </c>
      <c r="D15" s="247" t="s">
        <v>424</v>
      </c>
    </row>
    <row r="16" spans="2:4" x14ac:dyDescent="0.2">
      <c r="B16" s="249" t="s">
        <v>422</v>
      </c>
      <c r="C16" s="247" t="s">
        <v>111</v>
      </c>
      <c r="D16" s="247" t="s">
        <v>424</v>
      </c>
    </row>
    <row r="17" spans="2:6" x14ac:dyDescent="0.2">
      <c r="B17" s="249"/>
      <c r="C17" s="247"/>
      <c r="D17" s="247"/>
    </row>
    <row r="18" spans="2:6" x14ac:dyDescent="0.2">
      <c r="B18" s="249"/>
      <c r="C18" s="319"/>
      <c r="D18" s="319"/>
    </row>
    <row r="19" spans="2:6" x14ac:dyDescent="0.2">
      <c r="B19" s="249"/>
      <c r="C19" s="319"/>
      <c r="D19" s="319"/>
    </row>
    <row r="22" spans="2:6" ht="15.75" x14ac:dyDescent="0.25">
      <c r="B22" s="162" t="s">
        <v>425</v>
      </c>
    </row>
    <row r="24" spans="2:6" s="9" customFormat="1" x14ac:dyDescent="0.2">
      <c r="B24" s="82"/>
      <c r="C24" s="83" t="s">
        <v>426</v>
      </c>
    </row>
    <row r="25" spans="2:6" s="9" customFormat="1" x14ac:dyDescent="0.2">
      <c r="B25" s="82"/>
      <c r="C25" s="82" t="s">
        <v>427</v>
      </c>
      <c r="D25" s="161"/>
    </row>
    <row r="26" spans="2:6" ht="14.25" x14ac:dyDescent="0.2">
      <c r="B26" s="91" t="s">
        <v>91</v>
      </c>
      <c r="C26" s="285">
        <f>SUM(C43:C407)/365</f>
        <v>149.74367123287664</v>
      </c>
      <c r="D26" s="160"/>
      <c r="E26" s="248"/>
      <c r="F26" s="248"/>
    </row>
    <row r="27" spans="2:6" ht="14.25" x14ac:dyDescent="0.2">
      <c r="B27" s="91" t="s">
        <v>93</v>
      </c>
      <c r="C27" s="285"/>
      <c r="D27" s="160"/>
      <c r="E27" s="248"/>
      <c r="F27" s="248"/>
    </row>
    <row r="28" spans="2:6" ht="14.25" x14ac:dyDescent="0.2">
      <c r="B28" s="91" t="s">
        <v>94</v>
      </c>
      <c r="C28" s="285"/>
      <c r="D28" s="160"/>
      <c r="E28" s="248"/>
      <c r="F28" s="248"/>
    </row>
    <row r="29" spans="2:6" ht="14.25" x14ac:dyDescent="0.2">
      <c r="B29" s="91" t="s">
        <v>95</v>
      </c>
      <c r="C29" s="285"/>
      <c r="D29" s="160"/>
      <c r="E29" s="248"/>
      <c r="F29" s="248"/>
    </row>
    <row r="30" spans="2:6" ht="25.5" x14ac:dyDescent="0.2">
      <c r="B30" s="159" t="s">
        <v>96</v>
      </c>
      <c r="C30" s="285"/>
      <c r="D30" s="160"/>
      <c r="E30" s="248"/>
      <c r="F30" s="248"/>
    </row>
    <row r="31" spans="2:6" ht="14.25" x14ac:dyDescent="0.2">
      <c r="B31" s="91" t="s">
        <v>97</v>
      </c>
      <c r="C31" s="285"/>
      <c r="D31" s="160"/>
      <c r="E31" s="248"/>
      <c r="F31" s="248"/>
    </row>
    <row r="32" spans="2:6" ht="14.25" x14ac:dyDescent="0.2">
      <c r="B32" s="91" t="s">
        <v>98</v>
      </c>
      <c r="C32" s="285"/>
      <c r="D32" s="160"/>
      <c r="E32" s="248"/>
      <c r="F32" s="248"/>
    </row>
    <row r="33" spans="2:9" x14ac:dyDescent="0.2">
      <c r="B33" s="91" t="s">
        <v>99</v>
      </c>
      <c r="C33" s="285"/>
      <c r="D33" s="248"/>
      <c r="E33" s="248"/>
      <c r="F33" s="248"/>
    </row>
    <row r="34" spans="2:9" x14ac:dyDescent="0.2">
      <c r="B34" s="91" t="s">
        <v>101</v>
      </c>
      <c r="C34" s="285"/>
      <c r="D34" s="248"/>
      <c r="E34" s="248"/>
      <c r="F34" s="248"/>
    </row>
    <row r="35" spans="2:9" x14ac:dyDescent="0.2">
      <c r="B35" s="91" t="s">
        <v>103</v>
      </c>
      <c r="C35" s="285"/>
    </row>
    <row r="38" spans="2:9" ht="15.75" x14ac:dyDescent="0.25">
      <c r="B38" s="162" t="s">
        <v>428</v>
      </c>
    </row>
    <row r="40" spans="2:9" s="9" customFormat="1" ht="25.5" x14ac:dyDescent="0.2">
      <c r="B40" s="82"/>
      <c r="C40" s="83" t="s">
        <v>429</v>
      </c>
      <c r="D40" s="83" t="s">
        <v>430</v>
      </c>
      <c r="E40" s="83" t="s">
        <v>431</v>
      </c>
      <c r="F40" s="83" t="s">
        <v>111</v>
      </c>
      <c r="G40" s="83" t="s">
        <v>432</v>
      </c>
      <c r="H40" s="83" t="s">
        <v>433</v>
      </c>
      <c r="I40" s="83" t="s">
        <v>434</v>
      </c>
    </row>
    <row r="41" spans="2:9" s="9" customFormat="1" x14ac:dyDescent="0.2">
      <c r="B41" s="82"/>
      <c r="C41" s="84" t="s">
        <v>427</v>
      </c>
      <c r="D41" s="84" t="s">
        <v>427</v>
      </c>
      <c r="E41" s="84" t="s">
        <v>427</v>
      </c>
      <c r="F41" s="84" t="s">
        <v>427</v>
      </c>
      <c r="G41" s="83"/>
      <c r="H41" s="83"/>
      <c r="I41" s="83"/>
    </row>
    <row r="42" spans="2:9" x14ac:dyDescent="0.2">
      <c r="B42" s="158" t="s">
        <v>69</v>
      </c>
      <c r="C42" s="15">
        <f>SUM(C43:C408)</f>
        <v>54656.439999999973</v>
      </c>
      <c r="D42" s="15">
        <f>SUM(D43:D408)</f>
        <v>0</v>
      </c>
      <c r="E42" s="15">
        <f>SUM(E43:E408)</f>
        <v>22123.080999999998</v>
      </c>
      <c r="F42" s="15" t="s">
        <v>435</v>
      </c>
      <c r="G42" s="15">
        <f>SUM(G43:G408)</f>
        <v>38101.919000000016</v>
      </c>
      <c r="H42" s="15">
        <f>SUM(H43:H408)</f>
        <v>5568.5599999999949</v>
      </c>
      <c r="I42" s="15">
        <f>SUM(I43:I408)</f>
        <v>32533.358999999986</v>
      </c>
    </row>
    <row r="43" spans="2:9" x14ac:dyDescent="0.2">
      <c r="B43" s="157">
        <f>IF(Yearstart=0, "1/01/1999", Yearstart)</f>
        <v>45474</v>
      </c>
      <c r="C43" s="320">
        <v>154.41</v>
      </c>
      <c r="D43" s="320"/>
      <c r="E43" s="320">
        <v>55.63</v>
      </c>
      <c r="F43" s="320">
        <v>165</v>
      </c>
      <c r="G43" s="15">
        <f>F43-E43</f>
        <v>109.37</v>
      </c>
      <c r="H43" s="15">
        <f>'5. Historical demand'!F43-'5. Historical demand'!C43-'5. Historical demand'!D43</f>
        <v>10.590000000000003</v>
      </c>
      <c r="I43" s="15">
        <f>C43+D43-E43</f>
        <v>98.78</v>
      </c>
    </row>
    <row r="44" spans="2:9" x14ac:dyDescent="0.2">
      <c r="B44" s="157">
        <f t="shared" ref="B44:B107" si="0">IFERROR(IF(Yearending&gt;B43, B43+1, ""),"")</f>
        <v>45475</v>
      </c>
      <c r="C44" s="320">
        <v>154.41</v>
      </c>
      <c r="D44" s="320"/>
      <c r="E44" s="320">
        <v>57.230000000000004</v>
      </c>
      <c r="F44" s="320">
        <v>165</v>
      </c>
      <c r="G44" s="15">
        <f t="shared" ref="G44:G107" si="1">IFERROR(IF(Yearending&gt;B43,F44-E44,""),"")</f>
        <v>107.77</v>
      </c>
      <c r="H44" s="15">
        <f>IFERROR(IF(Yearending&gt;B43,'5. Historical demand'!F44-'5. Historical demand'!C44-'5. Historical demand'!D44,""),"")</f>
        <v>10.590000000000003</v>
      </c>
      <c r="I44" s="15">
        <f t="shared" ref="I44:I107" si="2">IFERROR(IF(Yearending&gt;B43,C44+D44-E44,""),"")</f>
        <v>97.179999999999993</v>
      </c>
    </row>
    <row r="45" spans="2:9" x14ac:dyDescent="0.2">
      <c r="B45" s="157">
        <f t="shared" si="0"/>
        <v>45476</v>
      </c>
      <c r="C45" s="320">
        <v>154.41</v>
      </c>
      <c r="D45" s="320"/>
      <c r="E45" s="320">
        <v>54.939</v>
      </c>
      <c r="F45" s="320">
        <v>165</v>
      </c>
      <c r="G45" s="15">
        <f t="shared" si="1"/>
        <v>110.06100000000001</v>
      </c>
      <c r="H45" s="15">
        <f>IFERROR(IF(Yearending&gt;B44,'5. Historical demand'!F45-'5. Historical demand'!C45-'5. Historical demand'!D45,""),"")</f>
        <v>10.590000000000003</v>
      </c>
      <c r="I45" s="15">
        <f t="shared" si="2"/>
        <v>99.471000000000004</v>
      </c>
    </row>
    <row r="46" spans="2:9" x14ac:dyDescent="0.2">
      <c r="B46" s="157">
        <f t="shared" si="0"/>
        <v>45477</v>
      </c>
      <c r="C46" s="320">
        <v>154.41</v>
      </c>
      <c r="D46" s="320"/>
      <c r="E46" s="320">
        <v>51.091999999999999</v>
      </c>
      <c r="F46" s="320">
        <v>165</v>
      </c>
      <c r="G46" s="15">
        <f t="shared" si="1"/>
        <v>113.908</v>
      </c>
      <c r="H46" s="15">
        <f>IFERROR(IF(Yearending&gt;B45,'5. Historical demand'!F46-'5. Historical demand'!C46-'5. Historical demand'!D46,""),"")</f>
        <v>10.590000000000003</v>
      </c>
      <c r="I46" s="15">
        <f t="shared" si="2"/>
        <v>103.318</v>
      </c>
    </row>
    <row r="47" spans="2:9" x14ac:dyDescent="0.2">
      <c r="B47" s="157">
        <f t="shared" si="0"/>
        <v>45478</v>
      </c>
      <c r="C47" s="320">
        <v>154.41</v>
      </c>
      <c r="D47" s="320"/>
      <c r="E47" s="320">
        <v>53.337000000000003</v>
      </c>
      <c r="F47" s="320">
        <v>165</v>
      </c>
      <c r="G47" s="15">
        <f t="shared" si="1"/>
        <v>111.663</v>
      </c>
      <c r="H47" s="15">
        <f>IFERROR(IF(Yearending&gt;B46,'5. Historical demand'!F47-'5. Historical demand'!C47-'5. Historical demand'!D47,""),"")</f>
        <v>10.590000000000003</v>
      </c>
      <c r="I47" s="15">
        <f t="shared" si="2"/>
        <v>101.07299999999999</v>
      </c>
    </row>
    <row r="48" spans="2:9" x14ac:dyDescent="0.2">
      <c r="B48" s="157">
        <f t="shared" si="0"/>
        <v>45479</v>
      </c>
      <c r="C48" s="320">
        <v>154.41</v>
      </c>
      <c r="D48" s="320"/>
      <c r="E48" s="320">
        <v>51.966000000000001</v>
      </c>
      <c r="F48" s="320">
        <v>165</v>
      </c>
      <c r="G48" s="15">
        <f t="shared" si="1"/>
        <v>113.03399999999999</v>
      </c>
      <c r="H48" s="15">
        <f>IFERROR(IF(Yearending&gt;B47,'5. Historical demand'!F48-'5. Historical demand'!C48-'5. Historical demand'!D48,""),"")</f>
        <v>10.590000000000003</v>
      </c>
      <c r="I48" s="15">
        <f t="shared" si="2"/>
        <v>102.44399999999999</v>
      </c>
    </row>
    <row r="49" spans="2:9" x14ac:dyDescent="0.2">
      <c r="B49" s="157">
        <f t="shared" si="0"/>
        <v>45480</v>
      </c>
      <c r="C49" s="320">
        <v>154.41</v>
      </c>
      <c r="D49" s="320"/>
      <c r="E49" s="320">
        <v>50.904000000000003</v>
      </c>
      <c r="F49" s="320">
        <v>165</v>
      </c>
      <c r="G49" s="15">
        <f t="shared" si="1"/>
        <v>114.096</v>
      </c>
      <c r="H49" s="15">
        <f>IFERROR(IF(Yearending&gt;B48,'5. Historical demand'!F49-'5. Historical demand'!C49-'5. Historical demand'!D49,""),"")</f>
        <v>10.590000000000003</v>
      </c>
      <c r="I49" s="15">
        <f t="shared" si="2"/>
        <v>103.506</v>
      </c>
    </row>
    <row r="50" spans="2:9" x14ac:dyDescent="0.2">
      <c r="B50" s="157">
        <f t="shared" si="0"/>
        <v>45481</v>
      </c>
      <c r="C50" s="320">
        <v>154.41</v>
      </c>
      <c r="D50" s="320"/>
      <c r="E50" s="320">
        <v>58.762</v>
      </c>
      <c r="F50" s="320">
        <v>165</v>
      </c>
      <c r="G50" s="15">
        <f t="shared" si="1"/>
        <v>106.238</v>
      </c>
      <c r="H50" s="15">
        <f>IFERROR(IF(Yearending&gt;B49,'5. Historical demand'!F50-'5. Historical demand'!C50-'5. Historical demand'!D50,""),"")</f>
        <v>10.590000000000003</v>
      </c>
      <c r="I50" s="15">
        <f t="shared" si="2"/>
        <v>95.647999999999996</v>
      </c>
    </row>
    <row r="51" spans="2:9" x14ac:dyDescent="0.2">
      <c r="B51" s="157">
        <f t="shared" si="0"/>
        <v>45482</v>
      </c>
      <c r="C51" s="320">
        <v>154.41</v>
      </c>
      <c r="D51" s="320"/>
      <c r="E51" s="320">
        <v>57.271000000000001</v>
      </c>
      <c r="F51" s="320">
        <v>165</v>
      </c>
      <c r="G51" s="15">
        <f t="shared" si="1"/>
        <v>107.729</v>
      </c>
      <c r="H51" s="15">
        <f>IFERROR(IF(Yearending&gt;B50,'5. Historical demand'!F51-'5. Historical demand'!C51-'5. Historical demand'!D51,""),"")</f>
        <v>10.590000000000003</v>
      </c>
      <c r="I51" s="15">
        <f t="shared" si="2"/>
        <v>97.138999999999996</v>
      </c>
    </row>
    <row r="52" spans="2:9" x14ac:dyDescent="0.2">
      <c r="B52" s="157">
        <f t="shared" si="0"/>
        <v>45483</v>
      </c>
      <c r="C52" s="320">
        <v>154.41</v>
      </c>
      <c r="D52" s="320"/>
      <c r="E52" s="320">
        <v>54.713000000000001</v>
      </c>
      <c r="F52" s="320">
        <v>165</v>
      </c>
      <c r="G52" s="15">
        <f t="shared" si="1"/>
        <v>110.28700000000001</v>
      </c>
      <c r="H52" s="15">
        <f>IFERROR(IF(Yearending&gt;B51,'5. Historical demand'!F52-'5. Historical demand'!C52-'5. Historical demand'!D52,""),"")</f>
        <v>10.590000000000003</v>
      </c>
      <c r="I52" s="15">
        <f t="shared" si="2"/>
        <v>99.697000000000003</v>
      </c>
    </row>
    <row r="53" spans="2:9" x14ac:dyDescent="0.2">
      <c r="B53" s="157">
        <f t="shared" si="0"/>
        <v>45484</v>
      </c>
      <c r="C53" s="320">
        <v>154.41</v>
      </c>
      <c r="D53" s="320"/>
      <c r="E53" s="320">
        <v>53.808999999999997</v>
      </c>
      <c r="F53" s="320">
        <v>165</v>
      </c>
      <c r="G53" s="15">
        <f t="shared" si="1"/>
        <v>111.191</v>
      </c>
      <c r="H53" s="15">
        <f>IFERROR(IF(Yearending&gt;B52,'5. Historical demand'!F53-'5. Historical demand'!C53-'5. Historical demand'!D53,""),"")</f>
        <v>10.590000000000003</v>
      </c>
      <c r="I53" s="15">
        <f t="shared" si="2"/>
        <v>100.601</v>
      </c>
    </row>
    <row r="54" spans="2:9" x14ac:dyDescent="0.2">
      <c r="B54" s="157">
        <f t="shared" si="0"/>
        <v>45485</v>
      </c>
      <c r="C54" s="320">
        <v>154.41</v>
      </c>
      <c r="D54" s="320"/>
      <c r="E54" s="320">
        <v>47.784999999999997</v>
      </c>
      <c r="F54" s="320">
        <v>165</v>
      </c>
      <c r="G54" s="15">
        <f t="shared" si="1"/>
        <v>117.215</v>
      </c>
      <c r="H54" s="15">
        <f>IFERROR(IF(Yearending&gt;B53,'5. Historical demand'!F54-'5. Historical demand'!C54-'5. Historical demand'!D54,""),"")</f>
        <v>10.590000000000003</v>
      </c>
      <c r="I54" s="15">
        <f t="shared" si="2"/>
        <v>106.625</v>
      </c>
    </row>
    <row r="55" spans="2:9" x14ac:dyDescent="0.2">
      <c r="B55" s="157">
        <f t="shared" si="0"/>
        <v>45486</v>
      </c>
      <c r="C55" s="320">
        <v>154.41</v>
      </c>
      <c r="D55" s="320"/>
      <c r="E55" s="320">
        <v>46.278999999999996</v>
      </c>
      <c r="F55" s="320">
        <v>165</v>
      </c>
      <c r="G55" s="15">
        <f t="shared" si="1"/>
        <v>118.721</v>
      </c>
      <c r="H55" s="15">
        <f>IFERROR(IF(Yearending&gt;B54,'5. Historical demand'!F55-'5. Historical demand'!C55-'5. Historical demand'!D55,""),"")</f>
        <v>10.590000000000003</v>
      </c>
      <c r="I55" s="15">
        <f t="shared" si="2"/>
        <v>108.131</v>
      </c>
    </row>
    <row r="56" spans="2:9" x14ac:dyDescent="0.2">
      <c r="B56" s="157">
        <f t="shared" si="0"/>
        <v>45487</v>
      </c>
      <c r="C56" s="320">
        <v>154.41</v>
      </c>
      <c r="D56" s="320"/>
      <c r="E56" s="320">
        <v>45.56</v>
      </c>
      <c r="F56" s="320">
        <v>165</v>
      </c>
      <c r="G56" s="15">
        <f t="shared" si="1"/>
        <v>119.44</v>
      </c>
      <c r="H56" s="15">
        <f>IFERROR(IF(Yearending&gt;B55,'5. Historical demand'!F56-'5. Historical demand'!C56-'5. Historical demand'!D56,""),"")</f>
        <v>10.590000000000003</v>
      </c>
      <c r="I56" s="15">
        <f t="shared" si="2"/>
        <v>108.85</v>
      </c>
    </row>
    <row r="57" spans="2:9" x14ac:dyDescent="0.2">
      <c r="B57" s="157">
        <f t="shared" si="0"/>
        <v>45488</v>
      </c>
      <c r="C57" s="320">
        <v>154.41</v>
      </c>
      <c r="D57" s="320"/>
      <c r="E57" s="320">
        <v>50.064000000000007</v>
      </c>
      <c r="F57" s="320">
        <v>165</v>
      </c>
      <c r="G57" s="15">
        <f t="shared" si="1"/>
        <v>114.93599999999999</v>
      </c>
      <c r="H57" s="15">
        <f>IFERROR(IF(Yearending&gt;B56,'5. Historical demand'!F57-'5. Historical demand'!C57-'5. Historical demand'!D57,""),"")</f>
        <v>10.590000000000003</v>
      </c>
      <c r="I57" s="15">
        <f t="shared" si="2"/>
        <v>104.34599999999999</v>
      </c>
    </row>
    <row r="58" spans="2:9" x14ac:dyDescent="0.2">
      <c r="B58" s="157">
        <f t="shared" si="0"/>
        <v>45489</v>
      </c>
      <c r="C58" s="320">
        <v>154.41</v>
      </c>
      <c r="D58" s="320"/>
      <c r="E58" s="320">
        <v>49.865000000000002</v>
      </c>
      <c r="F58" s="320">
        <v>165</v>
      </c>
      <c r="G58" s="15">
        <f t="shared" si="1"/>
        <v>115.13499999999999</v>
      </c>
      <c r="H58" s="15">
        <f>IFERROR(IF(Yearending&gt;B57,'5. Historical demand'!F58-'5. Historical demand'!C58-'5. Historical demand'!D58,""),"")</f>
        <v>10.590000000000003</v>
      </c>
      <c r="I58" s="15">
        <f t="shared" si="2"/>
        <v>104.54499999999999</v>
      </c>
    </row>
    <row r="59" spans="2:9" x14ac:dyDescent="0.2">
      <c r="B59" s="157">
        <f t="shared" si="0"/>
        <v>45490</v>
      </c>
      <c r="C59" s="320">
        <v>154.41</v>
      </c>
      <c r="D59" s="320"/>
      <c r="E59" s="320">
        <v>46.540999999999997</v>
      </c>
      <c r="F59" s="320">
        <v>165</v>
      </c>
      <c r="G59" s="15">
        <f t="shared" si="1"/>
        <v>118.459</v>
      </c>
      <c r="H59" s="15">
        <f>IFERROR(IF(Yearending&gt;B58,'5. Historical demand'!F59-'5. Historical demand'!C59-'5. Historical demand'!D59,""),"")</f>
        <v>10.590000000000003</v>
      </c>
      <c r="I59" s="15">
        <f t="shared" si="2"/>
        <v>107.869</v>
      </c>
    </row>
    <row r="60" spans="2:9" x14ac:dyDescent="0.2">
      <c r="B60" s="157">
        <f t="shared" si="0"/>
        <v>45491</v>
      </c>
      <c r="C60" s="320">
        <v>154.41</v>
      </c>
      <c r="D60" s="320"/>
      <c r="E60" s="320">
        <v>44.536000000000001</v>
      </c>
      <c r="F60" s="320">
        <v>165</v>
      </c>
      <c r="G60" s="15">
        <f t="shared" si="1"/>
        <v>120.464</v>
      </c>
      <c r="H60" s="15">
        <f>IFERROR(IF(Yearending&gt;B59,'5. Historical demand'!F60-'5. Historical demand'!C60-'5. Historical demand'!D60,""),"")</f>
        <v>10.590000000000003</v>
      </c>
      <c r="I60" s="15">
        <f t="shared" si="2"/>
        <v>109.874</v>
      </c>
    </row>
    <row r="61" spans="2:9" x14ac:dyDescent="0.2">
      <c r="B61" s="157">
        <f t="shared" si="0"/>
        <v>45492</v>
      </c>
      <c r="C61" s="320">
        <v>154.41</v>
      </c>
      <c r="D61" s="320"/>
      <c r="E61" s="320">
        <v>50.302999999999997</v>
      </c>
      <c r="F61" s="320">
        <v>165</v>
      </c>
      <c r="G61" s="15">
        <f t="shared" si="1"/>
        <v>114.697</v>
      </c>
      <c r="H61" s="15">
        <f>IFERROR(IF(Yearending&gt;B60,'5. Historical demand'!F61-'5. Historical demand'!C61-'5. Historical demand'!D61,""),"")</f>
        <v>10.590000000000003</v>
      </c>
      <c r="I61" s="15">
        <f t="shared" si="2"/>
        <v>104.107</v>
      </c>
    </row>
    <row r="62" spans="2:9" x14ac:dyDescent="0.2">
      <c r="B62" s="157">
        <f t="shared" si="0"/>
        <v>45493</v>
      </c>
      <c r="C62" s="320">
        <v>154.41</v>
      </c>
      <c r="D62" s="320"/>
      <c r="E62" s="320">
        <v>45.132000000000005</v>
      </c>
      <c r="F62" s="320">
        <v>165</v>
      </c>
      <c r="G62" s="15">
        <f t="shared" si="1"/>
        <v>119.86799999999999</v>
      </c>
      <c r="H62" s="15">
        <f>IFERROR(IF(Yearending&gt;B61,'5. Historical demand'!F62-'5. Historical demand'!C62-'5. Historical demand'!D62,""),"")</f>
        <v>10.590000000000003</v>
      </c>
      <c r="I62" s="15">
        <f t="shared" si="2"/>
        <v>109.27799999999999</v>
      </c>
    </row>
    <row r="63" spans="2:9" x14ac:dyDescent="0.2">
      <c r="B63" s="157">
        <f t="shared" si="0"/>
        <v>45494</v>
      </c>
      <c r="C63" s="320">
        <v>154.41</v>
      </c>
      <c r="D63" s="320"/>
      <c r="E63" s="320">
        <v>42.780999999999999</v>
      </c>
      <c r="F63" s="320">
        <v>165</v>
      </c>
      <c r="G63" s="15">
        <f t="shared" si="1"/>
        <v>122.21899999999999</v>
      </c>
      <c r="H63" s="15">
        <f>IFERROR(IF(Yearending&gt;B62,'5. Historical demand'!F63-'5. Historical demand'!C63-'5. Historical demand'!D63,""),"")</f>
        <v>10.590000000000003</v>
      </c>
      <c r="I63" s="15">
        <f t="shared" si="2"/>
        <v>111.62899999999999</v>
      </c>
    </row>
    <row r="64" spans="2:9" x14ac:dyDescent="0.2">
      <c r="B64" s="157">
        <f t="shared" si="0"/>
        <v>45495</v>
      </c>
      <c r="C64" s="320">
        <v>154.41</v>
      </c>
      <c r="D64" s="320"/>
      <c r="E64" s="320">
        <v>41.957999999999998</v>
      </c>
      <c r="F64" s="320">
        <v>165</v>
      </c>
      <c r="G64" s="15">
        <f t="shared" si="1"/>
        <v>123.042</v>
      </c>
      <c r="H64" s="15">
        <f>IFERROR(IF(Yearending&gt;B63,'5. Historical demand'!F64-'5. Historical demand'!C64-'5. Historical demand'!D64,""),"")</f>
        <v>10.590000000000003</v>
      </c>
      <c r="I64" s="15">
        <f t="shared" si="2"/>
        <v>112.452</v>
      </c>
    </row>
    <row r="65" spans="2:9" x14ac:dyDescent="0.2">
      <c r="B65" s="157">
        <f t="shared" si="0"/>
        <v>45496</v>
      </c>
      <c r="C65" s="320">
        <v>154.41</v>
      </c>
      <c r="D65" s="320"/>
      <c r="E65" s="320">
        <v>44.283999999999999</v>
      </c>
      <c r="F65" s="320">
        <v>165</v>
      </c>
      <c r="G65" s="15">
        <f t="shared" si="1"/>
        <v>120.71600000000001</v>
      </c>
      <c r="H65" s="15">
        <f>IFERROR(IF(Yearending&gt;B64,'5. Historical demand'!F65-'5. Historical demand'!C65-'5. Historical demand'!D65,""),"")</f>
        <v>10.590000000000003</v>
      </c>
      <c r="I65" s="15">
        <f t="shared" si="2"/>
        <v>110.126</v>
      </c>
    </row>
    <row r="66" spans="2:9" x14ac:dyDescent="0.2">
      <c r="B66" s="157">
        <f t="shared" si="0"/>
        <v>45497</v>
      </c>
      <c r="C66" s="320">
        <v>154.41</v>
      </c>
      <c r="D66" s="320"/>
      <c r="E66" s="320">
        <v>49.405000000000001</v>
      </c>
      <c r="F66" s="320">
        <v>165</v>
      </c>
      <c r="G66" s="15">
        <f t="shared" si="1"/>
        <v>115.595</v>
      </c>
      <c r="H66" s="15">
        <f>IFERROR(IF(Yearending&gt;B65,'5. Historical demand'!F66-'5. Historical demand'!C66-'5. Historical demand'!D66,""),"")</f>
        <v>10.590000000000003</v>
      </c>
      <c r="I66" s="15">
        <f t="shared" si="2"/>
        <v>105.005</v>
      </c>
    </row>
    <row r="67" spans="2:9" x14ac:dyDescent="0.2">
      <c r="B67" s="157">
        <f t="shared" si="0"/>
        <v>45498</v>
      </c>
      <c r="C67" s="320">
        <v>154.41</v>
      </c>
      <c r="D67" s="320"/>
      <c r="E67" s="320">
        <v>52.854999999999997</v>
      </c>
      <c r="F67" s="320">
        <v>165</v>
      </c>
      <c r="G67" s="15">
        <f t="shared" si="1"/>
        <v>112.14500000000001</v>
      </c>
      <c r="H67" s="15">
        <f>IFERROR(IF(Yearending&gt;B66,'5. Historical demand'!F67-'5. Historical demand'!C67-'5. Historical demand'!D67,""),"")</f>
        <v>10.590000000000003</v>
      </c>
      <c r="I67" s="15">
        <f t="shared" si="2"/>
        <v>101.55500000000001</v>
      </c>
    </row>
    <row r="68" spans="2:9" x14ac:dyDescent="0.2">
      <c r="B68" s="157">
        <f t="shared" si="0"/>
        <v>45499</v>
      </c>
      <c r="C68" s="320">
        <v>154.41</v>
      </c>
      <c r="D68" s="320"/>
      <c r="E68" s="320">
        <v>53.233999999999995</v>
      </c>
      <c r="F68" s="320">
        <v>165</v>
      </c>
      <c r="G68" s="15">
        <f t="shared" si="1"/>
        <v>111.76600000000001</v>
      </c>
      <c r="H68" s="15">
        <f>IFERROR(IF(Yearending&gt;B67,'5. Historical demand'!F68-'5. Historical demand'!C68-'5. Historical demand'!D68,""),"")</f>
        <v>10.590000000000003</v>
      </c>
      <c r="I68" s="15">
        <f t="shared" si="2"/>
        <v>101.176</v>
      </c>
    </row>
    <row r="69" spans="2:9" x14ac:dyDescent="0.2">
      <c r="B69" s="157">
        <f t="shared" si="0"/>
        <v>45500</v>
      </c>
      <c r="C69" s="320">
        <v>154.41</v>
      </c>
      <c r="D69" s="320"/>
      <c r="E69" s="320">
        <v>52.887</v>
      </c>
      <c r="F69" s="320">
        <v>165</v>
      </c>
      <c r="G69" s="15">
        <f t="shared" si="1"/>
        <v>112.113</v>
      </c>
      <c r="H69" s="15">
        <f>IFERROR(IF(Yearending&gt;B68,'5. Historical demand'!F69-'5. Historical demand'!C69-'5. Historical demand'!D69,""),"")</f>
        <v>10.590000000000003</v>
      </c>
      <c r="I69" s="15">
        <f t="shared" si="2"/>
        <v>101.523</v>
      </c>
    </row>
    <row r="70" spans="2:9" x14ac:dyDescent="0.2">
      <c r="B70" s="157">
        <f t="shared" si="0"/>
        <v>45501</v>
      </c>
      <c r="C70" s="320">
        <v>154.41</v>
      </c>
      <c r="D70" s="320"/>
      <c r="E70" s="320">
        <v>52.478000000000002</v>
      </c>
      <c r="F70" s="320">
        <v>165</v>
      </c>
      <c r="G70" s="15">
        <f t="shared" si="1"/>
        <v>112.52199999999999</v>
      </c>
      <c r="H70" s="15">
        <f>IFERROR(IF(Yearending&gt;B69,'5. Historical demand'!F70-'5. Historical demand'!C70-'5. Historical demand'!D70,""),"")</f>
        <v>10.590000000000003</v>
      </c>
      <c r="I70" s="15">
        <f t="shared" si="2"/>
        <v>101.93199999999999</v>
      </c>
    </row>
    <row r="71" spans="2:9" x14ac:dyDescent="0.2">
      <c r="B71" s="157">
        <f t="shared" si="0"/>
        <v>45502</v>
      </c>
      <c r="C71" s="320">
        <v>154.41</v>
      </c>
      <c r="D71" s="320"/>
      <c r="E71" s="320">
        <v>38.710999999999999</v>
      </c>
      <c r="F71" s="320">
        <v>165</v>
      </c>
      <c r="G71" s="15">
        <f t="shared" si="1"/>
        <v>126.289</v>
      </c>
      <c r="H71" s="15">
        <f>IFERROR(IF(Yearending&gt;B70,'5. Historical demand'!F71-'5. Historical demand'!C71-'5. Historical demand'!D71,""),"")</f>
        <v>10.590000000000003</v>
      </c>
      <c r="I71" s="15">
        <f t="shared" si="2"/>
        <v>115.699</v>
      </c>
    </row>
    <row r="72" spans="2:9" x14ac:dyDescent="0.2">
      <c r="B72" s="157">
        <f t="shared" si="0"/>
        <v>45503</v>
      </c>
      <c r="C72" s="320">
        <v>154.41</v>
      </c>
      <c r="D72" s="320"/>
      <c r="E72" s="320">
        <v>41.622</v>
      </c>
      <c r="F72" s="320">
        <v>165</v>
      </c>
      <c r="G72" s="15">
        <f t="shared" si="1"/>
        <v>123.378</v>
      </c>
      <c r="H72" s="15">
        <f>IFERROR(IF(Yearending&gt;B71,'5. Historical demand'!F72-'5. Historical demand'!C72-'5. Historical demand'!D72,""),"")</f>
        <v>10.590000000000003</v>
      </c>
      <c r="I72" s="15">
        <f t="shared" si="2"/>
        <v>112.788</v>
      </c>
    </row>
    <row r="73" spans="2:9" x14ac:dyDescent="0.2">
      <c r="B73" s="157">
        <f t="shared" si="0"/>
        <v>45504</v>
      </c>
      <c r="C73" s="320">
        <v>154.41</v>
      </c>
      <c r="D73" s="320"/>
      <c r="E73" s="320">
        <v>35.713999999999999</v>
      </c>
      <c r="F73" s="320">
        <v>165</v>
      </c>
      <c r="G73" s="15">
        <f t="shared" si="1"/>
        <v>129.286</v>
      </c>
      <c r="H73" s="15">
        <f>IFERROR(IF(Yearending&gt;B72,'5. Historical demand'!F73-'5. Historical demand'!C73-'5. Historical demand'!D73,""),"")</f>
        <v>10.590000000000003</v>
      </c>
      <c r="I73" s="15">
        <f t="shared" si="2"/>
        <v>118.696</v>
      </c>
    </row>
    <row r="74" spans="2:9" x14ac:dyDescent="0.2">
      <c r="B74" s="157">
        <f t="shared" si="0"/>
        <v>45505</v>
      </c>
      <c r="C74" s="320">
        <v>154.41</v>
      </c>
      <c r="D74" s="320"/>
      <c r="E74" s="320">
        <v>39.823999999999998</v>
      </c>
      <c r="F74" s="320">
        <v>165</v>
      </c>
      <c r="G74" s="15">
        <f t="shared" si="1"/>
        <v>125.176</v>
      </c>
      <c r="H74" s="15">
        <f>IFERROR(IF(Yearending&gt;B73,'5. Historical demand'!F74-'5. Historical demand'!C74-'5. Historical demand'!D74,""),"")</f>
        <v>10.590000000000003</v>
      </c>
      <c r="I74" s="15">
        <f t="shared" si="2"/>
        <v>114.586</v>
      </c>
    </row>
    <row r="75" spans="2:9" x14ac:dyDescent="0.2">
      <c r="B75" s="157">
        <f t="shared" si="0"/>
        <v>45506</v>
      </c>
      <c r="C75" s="320">
        <v>154.41</v>
      </c>
      <c r="D75" s="320"/>
      <c r="E75" s="320">
        <v>39.414999999999999</v>
      </c>
      <c r="F75" s="320">
        <v>165</v>
      </c>
      <c r="G75" s="15">
        <f t="shared" si="1"/>
        <v>125.58500000000001</v>
      </c>
      <c r="H75" s="15">
        <f>IFERROR(IF(Yearending&gt;B74,'5. Historical demand'!F75-'5. Historical demand'!C75-'5. Historical demand'!D75,""),"")</f>
        <v>10.590000000000003</v>
      </c>
      <c r="I75" s="15">
        <f t="shared" si="2"/>
        <v>114.995</v>
      </c>
    </row>
    <row r="76" spans="2:9" x14ac:dyDescent="0.2">
      <c r="B76" s="157">
        <f t="shared" si="0"/>
        <v>45507</v>
      </c>
      <c r="C76" s="320">
        <v>154.41</v>
      </c>
      <c r="D76" s="320"/>
      <c r="E76" s="320">
        <v>40.947000000000003</v>
      </c>
      <c r="F76" s="320">
        <v>165</v>
      </c>
      <c r="G76" s="15">
        <f t="shared" si="1"/>
        <v>124.053</v>
      </c>
      <c r="H76" s="15">
        <f>IFERROR(IF(Yearending&gt;B75,'5. Historical demand'!F76-'5. Historical demand'!C76-'5. Historical demand'!D76,""),"")</f>
        <v>10.590000000000003</v>
      </c>
      <c r="I76" s="15">
        <f t="shared" si="2"/>
        <v>113.46299999999999</v>
      </c>
    </row>
    <row r="77" spans="2:9" x14ac:dyDescent="0.2">
      <c r="B77" s="157">
        <f t="shared" si="0"/>
        <v>45508</v>
      </c>
      <c r="C77" s="320">
        <v>154.41</v>
      </c>
      <c r="D77" s="320"/>
      <c r="E77" s="320">
        <v>41.287000000000006</v>
      </c>
      <c r="F77" s="320">
        <v>165</v>
      </c>
      <c r="G77" s="15">
        <f t="shared" si="1"/>
        <v>123.71299999999999</v>
      </c>
      <c r="H77" s="15">
        <f>IFERROR(IF(Yearending&gt;B76,'5. Historical demand'!F77-'5. Historical demand'!C77-'5. Historical demand'!D77,""),"")</f>
        <v>10.590000000000003</v>
      </c>
      <c r="I77" s="15">
        <f t="shared" si="2"/>
        <v>113.12299999999999</v>
      </c>
    </row>
    <row r="78" spans="2:9" x14ac:dyDescent="0.2">
      <c r="B78" s="157">
        <f t="shared" si="0"/>
        <v>45509</v>
      </c>
      <c r="C78" s="320">
        <v>154.41</v>
      </c>
      <c r="D78" s="320"/>
      <c r="E78" s="320">
        <v>42.349000000000004</v>
      </c>
      <c r="F78" s="320">
        <v>165</v>
      </c>
      <c r="G78" s="15">
        <f t="shared" si="1"/>
        <v>122.651</v>
      </c>
      <c r="H78" s="15">
        <f>IFERROR(IF(Yearending&gt;B77,'5. Historical demand'!F78-'5. Historical demand'!C78-'5. Historical demand'!D78,""),"")</f>
        <v>10.590000000000003</v>
      </c>
      <c r="I78" s="15">
        <f t="shared" si="2"/>
        <v>112.06099999999999</v>
      </c>
    </row>
    <row r="79" spans="2:9" x14ac:dyDescent="0.2">
      <c r="B79" s="157">
        <f t="shared" si="0"/>
        <v>45510</v>
      </c>
      <c r="C79" s="320">
        <v>154.41</v>
      </c>
      <c r="D79" s="320"/>
      <c r="E79" s="320">
        <v>43.945999999999998</v>
      </c>
      <c r="F79" s="320">
        <v>165</v>
      </c>
      <c r="G79" s="15">
        <f t="shared" si="1"/>
        <v>121.054</v>
      </c>
      <c r="H79" s="15">
        <f>IFERROR(IF(Yearending&gt;B78,'5. Historical demand'!F79-'5. Historical demand'!C79-'5. Historical demand'!D79,""),"")</f>
        <v>10.590000000000003</v>
      </c>
      <c r="I79" s="15">
        <f t="shared" si="2"/>
        <v>110.464</v>
      </c>
    </row>
    <row r="80" spans="2:9" x14ac:dyDescent="0.2">
      <c r="B80" s="157">
        <f t="shared" si="0"/>
        <v>45511</v>
      </c>
      <c r="C80" s="320">
        <v>154.41</v>
      </c>
      <c r="D80" s="320"/>
      <c r="E80" s="320">
        <v>54.478000000000002</v>
      </c>
      <c r="F80" s="320">
        <v>165</v>
      </c>
      <c r="G80" s="15">
        <f t="shared" si="1"/>
        <v>110.52199999999999</v>
      </c>
      <c r="H80" s="15">
        <f>IFERROR(IF(Yearending&gt;B79,'5. Historical demand'!F80-'5. Historical demand'!C80-'5. Historical demand'!D80,""),"")</f>
        <v>10.590000000000003</v>
      </c>
      <c r="I80" s="15">
        <f t="shared" si="2"/>
        <v>99.931999999999988</v>
      </c>
    </row>
    <row r="81" spans="2:9" x14ac:dyDescent="0.2">
      <c r="B81" s="157">
        <f t="shared" si="0"/>
        <v>45512</v>
      </c>
      <c r="C81" s="320">
        <v>154.41</v>
      </c>
      <c r="D81" s="320"/>
      <c r="E81" s="320">
        <v>54.512</v>
      </c>
      <c r="F81" s="320">
        <v>165</v>
      </c>
      <c r="G81" s="15">
        <f t="shared" si="1"/>
        <v>110.488</v>
      </c>
      <c r="H81" s="15">
        <f>IFERROR(IF(Yearending&gt;B80,'5. Historical demand'!F81-'5. Historical demand'!C81-'5. Historical demand'!D81,""),"")</f>
        <v>10.590000000000003</v>
      </c>
      <c r="I81" s="15">
        <f t="shared" si="2"/>
        <v>99.897999999999996</v>
      </c>
    </row>
    <row r="82" spans="2:9" x14ac:dyDescent="0.2">
      <c r="B82" s="157">
        <f t="shared" si="0"/>
        <v>45513</v>
      </c>
      <c r="C82" s="320">
        <v>154.41</v>
      </c>
      <c r="D82" s="320"/>
      <c r="E82" s="320">
        <v>51.266000000000005</v>
      </c>
      <c r="F82" s="320">
        <v>165</v>
      </c>
      <c r="G82" s="15">
        <f t="shared" si="1"/>
        <v>113.73399999999999</v>
      </c>
      <c r="H82" s="15">
        <f>IFERROR(IF(Yearending&gt;B81,'5. Historical demand'!F82-'5. Historical demand'!C82-'5. Historical demand'!D82,""),"")</f>
        <v>10.590000000000003</v>
      </c>
      <c r="I82" s="15">
        <f t="shared" si="2"/>
        <v>103.14399999999999</v>
      </c>
    </row>
    <row r="83" spans="2:9" x14ac:dyDescent="0.2">
      <c r="B83" s="157">
        <f t="shared" si="0"/>
        <v>45514</v>
      </c>
      <c r="C83" s="320">
        <v>154.41</v>
      </c>
      <c r="D83" s="320"/>
      <c r="E83" s="320">
        <v>63.055999999999997</v>
      </c>
      <c r="F83" s="320">
        <v>165</v>
      </c>
      <c r="G83" s="15">
        <f t="shared" si="1"/>
        <v>101.944</v>
      </c>
      <c r="H83" s="15">
        <f>IFERROR(IF(Yearending&gt;B82,'5. Historical demand'!F83-'5. Historical demand'!C83-'5. Historical demand'!D83,""),"")</f>
        <v>10.590000000000003</v>
      </c>
      <c r="I83" s="15">
        <f t="shared" si="2"/>
        <v>91.353999999999999</v>
      </c>
    </row>
    <row r="84" spans="2:9" x14ac:dyDescent="0.2">
      <c r="B84" s="157">
        <f t="shared" si="0"/>
        <v>45515</v>
      </c>
      <c r="C84" s="320">
        <v>154.41</v>
      </c>
      <c r="D84" s="320"/>
      <c r="E84" s="320">
        <v>63.676000000000002</v>
      </c>
      <c r="F84" s="320">
        <v>165</v>
      </c>
      <c r="G84" s="15">
        <f t="shared" si="1"/>
        <v>101.324</v>
      </c>
      <c r="H84" s="15">
        <f>IFERROR(IF(Yearending&gt;B83,'5. Historical demand'!F84-'5. Historical demand'!C84-'5. Historical demand'!D84,""),"")</f>
        <v>10.590000000000003</v>
      </c>
      <c r="I84" s="15">
        <f t="shared" si="2"/>
        <v>90.733999999999995</v>
      </c>
    </row>
    <row r="85" spans="2:9" x14ac:dyDescent="0.2">
      <c r="B85" s="157">
        <f t="shared" si="0"/>
        <v>45516</v>
      </c>
      <c r="C85" s="320">
        <v>154.41</v>
      </c>
      <c r="D85" s="320"/>
      <c r="E85" s="320">
        <v>63.302</v>
      </c>
      <c r="F85" s="320">
        <v>165</v>
      </c>
      <c r="G85" s="15">
        <f t="shared" si="1"/>
        <v>101.69800000000001</v>
      </c>
      <c r="H85" s="15">
        <f>IFERROR(IF(Yearending&gt;B84,'5. Historical demand'!F85-'5. Historical demand'!C85-'5. Historical demand'!D85,""),"")</f>
        <v>10.590000000000003</v>
      </c>
      <c r="I85" s="15">
        <f t="shared" si="2"/>
        <v>91.108000000000004</v>
      </c>
    </row>
    <row r="86" spans="2:9" x14ac:dyDescent="0.2">
      <c r="B86" s="157">
        <f t="shared" si="0"/>
        <v>45517</v>
      </c>
      <c r="C86" s="320">
        <v>154.41</v>
      </c>
      <c r="D86" s="320"/>
      <c r="E86" s="320">
        <v>72.680000000000007</v>
      </c>
      <c r="F86" s="320">
        <v>165</v>
      </c>
      <c r="G86" s="15">
        <f t="shared" si="1"/>
        <v>92.32</v>
      </c>
      <c r="H86" s="15">
        <f>IFERROR(IF(Yearending&gt;B85,'5. Historical demand'!F86-'5. Historical demand'!C86-'5. Historical demand'!D86,""),"")</f>
        <v>10.590000000000003</v>
      </c>
      <c r="I86" s="15">
        <f t="shared" si="2"/>
        <v>81.72999999999999</v>
      </c>
    </row>
    <row r="87" spans="2:9" x14ac:dyDescent="0.2">
      <c r="B87" s="157">
        <f t="shared" si="0"/>
        <v>45518</v>
      </c>
      <c r="C87" s="320">
        <v>154.41</v>
      </c>
      <c r="D87" s="320"/>
      <c r="E87" s="320">
        <v>51.120999999999995</v>
      </c>
      <c r="F87" s="320">
        <v>165</v>
      </c>
      <c r="G87" s="15">
        <f t="shared" si="1"/>
        <v>113.879</v>
      </c>
      <c r="H87" s="15">
        <f>IFERROR(IF(Yearending&gt;B86,'5. Historical demand'!F87-'5. Historical demand'!C87-'5. Historical demand'!D87,""),"")</f>
        <v>10.590000000000003</v>
      </c>
      <c r="I87" s="15">
        <f t="shared" si="2"/>
        <v>103.289</v>
      </c>
    </row>
    <row r="88" spans="2:9" x14ac:dyDescent="0.2">
      <c r="B88" s="157">
        <f t="shared" si="0"/>
        <v>45519</v>
      </c>
      <c r="C88" s="320">
        <v>154.41</v>
      </c>
      <c r="D88" s="320"/>
      <c r="E88" s="320">
        <v>44.96</v>
      </c>
      <c r="F88" s="320">
        <v>165</v>
      </c>
      <c r="G88" s="15">
        <f t="shared" si="1"/>
        <v>120.03999999999999</v>
      </c>
      <c r="H88" s="15">
        <f>IFERROR(IF(Yearending&gt;B87,'5. Historical demand'!F88-'5. Historical demand'!C88-'5. Historical demand'!D88,""),"")</f>
        <v>10.590000000000003</v>
      </c>
      <c r="I88" s="15">
        <f t="shared" si="2"/>
        <v>109.44999999999999</v>
      </c>
    </row>
    <row r="89" spans="2:9" x14ac:dyDescent="0.2">
      <c r="B89" s="157">
        <f t="shared" si="0"/>
        <v>45520</v>
      </c>
      <c r="C89" s="320">
        <v>154.41</v>
      </c>
      <c r="D89" s="320"/>
      <c r="E89" s="320">
        <v>46.298000000000002</v>
      </c>
      <c r="F89" s="320">
        <v>165</v>
      </c>
      <c r="G89" s="15">
        <f t="shared" si="1"/>
        <v>118.702</v>
      </c>
      <c r="H89" s="15">
        <f>IFERROR(IF(Yearending&gt;B88,'5. Historical demand'!F89-'5. Historical demand'!C89-'5. Historical demand'!D89,""),"")</f>
        <v>10.590000000000003</v>
      </c>
      <c r="I89" s="15">
        <f t="shared" si="2"/>
        <v>108.11199999999999</v>
      </c>
    </row>
    <row r="90" spans="2:9" x14ac:dyDescent="0.2">
      <c r="B90" s="157">
        <f t="shared" si="0"/>
        <v>45521</v>
      </c>
      <c r="C90" s="320">
        <v>154.41</v>
      </c>
      <c r="D90" s="320"/>
      <c r="E90" s="320">
        <v>41.028000000000006</v>
      </c>
      <c r="F90" s="320">
        <v>165</v>
      </c>
      <c r="G90" s="15">
        <f t="shared" si="1"/>
        <v>123.97199999999999</v>
      </c>
      <c r="H90" s="15">
        <f>IFERROR(IF(Yearending&gt;B89,'5. Historical demand'!F90-'5. Historical demand'!C90-'5. Historical demand'!D90,""),"")</f>
        <v>10.590000000000003</v>
      </c>
      <c r="I90" s="15">
        <f t="shared" si="2"/>
        <v>113.38199999999999</v>
      </c>
    </row>
    <row r="91" spans="2:9" x14ac:dyDescent="0.2">
      <c r="B91" s="157">
        <f t="shared" si="0"/>
        <v>45522</v>
      </c>
      <c r="C91" s="320">
        <v>154.41</v>
      </c>
      <c r="D91" s="320"/>
      <c r="E91" s="320">
        <v>41.563000000000002</v>
      </c>
      <c r="F91" s="320">
        <v>165</v>
      </c>
      <c r="G91" s="15">
        <f t="shared" si="1"/>
        <v>123.437</v>
      </c>
      <c r="H91" s="15">
        <f>IFERROR(IF(Yearending&gt;B90,'5. Historical demand'!F91-'5. Historical demand'!C91-'5. Historical demand'!D91,""),"")</f>
        <v>10.590000000000003</v>
      </c>
      <c r="I91" s="15">
        <f t="shared" si="2"/>
        <v>112.84699999999999</v>
      </c>
    </row>
    <row r="92" spans="2:9" x14ac:dyDescent="0.2">
      <c r="B92" s="157">
        <f t="shared" si="0"/>
        <v>45523</v>
      </c>
      <c r="C92" s="320">
        <v>154.41</v>
      </c>
      <c r="D92" s="320"/>
      <c r="E92" s="320">
        <v>45.471999999999994</v>
      </c>
      <c r="F92" s="320">
        <v>165</v>
      </c>
      <c r="G92" s="15">
        <f t="shared" si="1"/>
        <v>119.52800000000001</v>
      </c>
      <c r="H92" s="15">
        <f>IFERROR(IF(Yearending&gt;B91,'5. Historical demand'!F92-'5. Historical demand'!C92-'5. Historical demand'!D92,""),"")</f>
        <v>10.590000000000003</v>
      </c>
      <c r="I92" s="15">
        <f t="shared" si="2"/>
        <v>108.938</v>
      </c>
    </row>
    <row r="93" spans="2:9" x14ac:dyDescent="0.2">
      <c r="B93" s="157">
        <f t="shared" si="0"/>
        <v>45524</v>
      </c>
      <c r="C93" s="320">
        <v>154.41</v>
      </c>
      <c r="D93" s="320"/>
      <c r="E93" s="320">
        <v>45.89</v>
      </c>
      <c r="F93" s="320">
        <v>165</v>
      </c>
      <c r="G93" s="15">
        <f t="shared" si="1"/>
        <v>119.11</v>
      </c>
      <c r="H93" s="15">
        <f>IFERROR(IF(Yearending&gt;B92,'5. Historical demand'!F93-'5. Historical demand'!C93-'5. Historical demand'!D93,""),"")</f>
        <v>10.590000000000003</v>
      </c>
      <c r="I93" s="15">
        <f t="shared" si="2"/>
        <v>108.52</v>
      </c>
    </row>
    <row r="94" spans="2:9" x14ac:dyDescent="0.2">
      <c r="B94" s="157">
        <f t="shared" si="0"/>
        <v>45525</v>
      </c>
      <c r="C94" s="320">
        <v>154.41</v>
      </c>
      <c r="D94" s="320"/>
      <c r="E94" s="320">
        <v>48.97</v>
      </c>
      <c r="F94" s="320">
        <v>165</v>
      </c>
      <c r="G94" s="15">
        <f t="shared" si="1"/>
        <v>116.03</v>
      </c>
      <c r="H94" s="15">
        <f>IFERROR(IF(Yearending&gt;B93,'5. Historical demand'!F94-'5. Historical demand'!C94-'5. Historical demand'!D94,""),"")</f>
        <v>10.590000000000003</v>
      </c>
      <c r="I94" s="15">
        <f t="shared" si="2"/>
        <v>105.44</v>
      </c>
    </row>
    <row r="95" spans="2:9" x14ac:dyDescent="0.2">
      <c r="B95" s="157">
        <f t="shared" si="0"/>
        <v>45526</v>
      </c>
      <c r="C95" s="320">
        <v>154.41</v>
      </c>
      <c r="D95" s="320"/>
      <c r="E95" s="320">
        <v>51.138999999999996</v>
      </c>
      <c r="F95" s="320">
        <v>165</v>
      </c>
      <c r="G95" s="15">
        <f t="shared" si="1"/>
        <v>113.861</v>
      </c>
      <c r="H95" s="15">
        <f>IFERROR(IF(Yearending&gt;B94,'5. Historical demand'!F95-'5. Historical demand'!C95-'5. Historical demand'!D95,""),"")</f>
        <v>10.590000000000003</v>
      </c>
      <c r="I95" s="15">
        <f t="shared" si="2"/>
        <v>103.271</v>
      </c>
    </row>
    <row r="96" spans="2:9" x14ac:dyDescent="0.2">
      <c r="B96" s="157">
        <f t="shared" si="0"/>
        <v>45527</v>
      </c>
      <c r="C96" s="320">
        <v>154.41</v>
      </c>
      <c r="D96" s="320"/>
      <c r="E96" s="320">
        <v>46.253</v>
      </c>
      <c r="F96" s="320">
        <v>165</v>
      </c>
      <c r="G96" s="15">
        <f t="shared" si="1"/>
        <v>118.747</v>
      </c>
      <c r="H96" s="15">
        <f>IFERROR(IF(Yearending&gt;B95,'5. Historical demand'!F96-'5. Historical demand'!C96-'5. Historical demand'!D96,""),"")</f>
        <v>10.590000000000003</v>
      </c>
      <c r="I96" s="15">
        <f t="shared" si="2"/>
        <v>108.157</v>
      </c>
    </row>
    <row r="97" spans="2:9" x14ac:dyDescent="0.2">
      <c r="B97" s="157">
        <f t="shared" si="0"/>
        <v>45528</v>
      </c>
      <c r="C97" s="320">
        <v>154.41</v>
      </c>
      <c r="D97" s="320"/>
      <c r="E97" s="320">
        <v>45.145000000000003</v>
      </c>
      <c r="F97" s="320">
        <v>165</v>
      </c>
      <c r="G97" s="15">
        <f t="shared" si="1"/>
        <v>119.85499999999999</v>
      </c>
      <c r="H97" s="15">
        <f>IFERROR(IF(Yearending&gt;B96,'5. Historical demand'!F97-'5. Historical demand'!C97-'5. Historical demand'!D97,""),"")</f>
        <v>10.590000000000003</v>
      </c>
      <c r="I97" s="15">
        <f t="shared" si="2"/>
        <v>109.26499999999999</v>
      </c>
    </row>
    <row r="98" spans="2:9" x14ac:dyDescent="0.2">
      <c r="B98" s="157">
        <f t="shared" si="0"/>
        <v>45529</v>
      </c>
      <c r="C98" s="320">
        <v>154.41</v>
      </c>
      <c r="D98" s="320"/>
      <c r="E98" s="320">
        <v>48.192</v>
      </c>
      <c r="F98" s="320">
        <v>165</v>
      </c>
      <c r="G98" s="15">
        <f t="shared" si="1"/>
        <v>116.80799999999999</v>
      </c>
      <c r="H98" s="15">
        <f>IFERROR(IF(Yearending&gt;B97,'5. Historical demand'!F98-'5. Historical demand'!C98-'5. Historical demand'!D98,""),"")</f>
        <v>10.590000000000003</v>
      </c>
      <c r="I98" s="15">
        <f t="shared" si="2"/>
        <v>106.21799999999999</v>
      </c>
    </row>
    <row r="99" spans="2:9" x14ac:dyDescent="0.2">
      <c r="B99" s="157">
        <f t="shared" si="0"/>
        <v>45530</v>
      </c>
      <c r="C99" s="320">
        <v>154.41</v>
      </c>
      <c r="D99" s="320"/>
      <c r="E99" s="320">
        <v>49.073999999999998</v>
      </c>
      <c r="F99" s="320">
        <v>165</v>
      </c>
      <c r="G99" s="15">
        <f t="shared" si="1"/>
        <v>115.926</v>
      </c>
      <c r="H99" s="15">
        <f>IFERROR(IF(Yearending&gt;B98,'5. Historical demand'!F99-'5. Historical demand'!C99-'5. Historical demand'!D99,""),"")</f>
        <v>10.590000000000003</v>
      </c>
      <c r="I99" s="15">
        <f t="shared" si="2"/>
        <v>105.336</v>
      </c>
    </row>
    <row r="100" spans="2:9" x14ac:dyDescent="0.2">
      <c r="B100" s="157">
        <f t="shared" si="0"/>
        <v>45531</v>
      </c>
      <c r="C100" s="320">
        <v>154.41</v>
      </c>
      <c r="D100" s="320"/>
      <c r="E100" s="320">
        <v>48.373000000000005</v>
      </c>
      <c r="F100" s="320">
        <v>165</v>
      </c>
      <c r="G100" s="15">
        <f t="shared" si="1"/>
        <v>116.627</v>
      </c>
      <c r="H100" s="15">
        <f>IFERROR(IF(Yearending&gt;B99,'5. Historical demand'!F100-'5. Historical demand'!C100-'5. Historical demand'!D100,""),"")</f>
        <v>10.590000000000003</v>
      </c>
      <c r="I100" s="15">
        <f t="shared" si="2"/>
        <v>106.03699999999999</v>
      </c>
    </row>
    <row r="101" spans="2:9" x14ac:dyDescent="0.2">
      <c r="B101" s="157">
        <f t="shared" si="0"/>
        <v>45532</v>
      </c>
      <c r="C101" s="320">
        <v>154.41</v>
      </c>
      <c r="D101" s="320"/>
      <c r="E101" s="320">
        <v>49.521000000000001</v>
      </c>
      <c r="F101" s="320">
        <v>165</v>
      </c>
      <c r="G101" s="15">
        <f t="shared" si="1"/>
        <v>115.479</v>
      </c>
      <c r="H101" s="15">
        <f>IFERROR(IF(Yearending&gt;B100,'5. Historical demand'!F101-'5. Historical demand'!C101-'5. Historical demand'!D101,""),"")</f>
        <v>10.590000000000003</v>
      </c>
      <c r="I101" s="15">
        <f t="shared" si="2"/>
        <v>104.889</v>
      </c>
    </row>
    <row r="102" spans="2:9" x14ac:dyDescent="0.2">
      <c r="B102" s="157">
        <f t="shared" si="0"/>
        <v>45533</v>
      </c>
      <c r="C102" s="320">
        <v>154.41</v>
      </c>
      <c r="D102" s="320"/>
      <c r="E102" s="320">
        <v>52.174999999999997</v>
      </c>
      <c r="F102" s="320">
        <v>165</v>
      </c>
      <c r="G102" s="15">
        <f t="shared" si="1"/>
        <v>112.825</v>
      </c>
      <c r="H102" s="15">
        <f>IFERROR(IF(Yearending&gt;B101,'5. Historical demand'!F102-'5. Historical demand'!C102-'5. Historical demand'!D102,""),"")</f>
        <v>10.590000000000003</v>
      </c>
      <c r="I102" s="15">
        <f t="shared" si="2"/>
        <v>102.235</v>
      </c>
    </row>
    <row r="103" spans="2:9" x14ac:dyDescent="0.2">
      <c r="B103" s="157">
        <f t="shared" si="0"/>
        <v>45534</v>
      </c>
      <c r="C103" s="320">
        <v>154.41</v>
      </c>
      <c r="D103" s="320"/>
      <c r="E103" s="320">
        <v>51.994</v>
      </c>
      <c r="F103" s="320">
        <v>165</v>
      </c>
      <c r="G103" s="15">
        <f t="shared" si="1"/>
        <v>113.006</v>
      </c>
      <c r="H103" s="15">
        <f>IFERROR(IF(Yearending&gt;B102,'5. Historical demand'!F103-'5. Historical demand'!C103-'5. Historical demand'!D103,""),"")</f>
        <v>10.590000000000003</v>
      </c>
      <c r="I103" s="15">
        <f t="shared" si="2"/>
        <v>102.416</v>
      </c>
    </row>
    <row r="104" spans="2:9" x14ac:dyDescent="0.2">
      <c r="B104" s="157">
        <f t="shared" si="0"/>
        <v>45535</v>
      </c>
      <c r="C104" s="320">
        <v>154.41</v>
      </c>
      <c r="D104" s="320"/>
      <c r="E104" s="320">
        <v>49.343999999999994</v>
      </c>
      <c r="F104" s="320">
        <v>165</v>
      </c>
      <c r="G104" s="15">
        <f t="shared" si="1"/>
        <v>115.65600000000001</v>
      </c>
      <c r="H104" s="15">
        <f>IFERROR(IF(Yearending&gt;B103,'5. Historical demand'!F104-'5. Historical demand'!C104-'5. Historical demand'!D104,""),"")</f>
        <v>10.590000000000003</v>
      </c>
      <c r="I104" s="15">
        <f t="shared" si="2"/>
        <v>105.066</v>
      </c>
    </row>
    <row r="105" spans="2:9" x14ac:dyDescent="0.2">
      <c r="B105" s="157">
        <f t="shared" si="0"/>
        <v>45536</v>
      </c>
      <c r="C105" s="320">
        <v>154.41</v>
      </c>
      <c r="D105" s="320"/>
      <c r="E105" s="320">
        <v>49.499000000000002</v>
      </c>
      <c r="F105" s="320">
        <v>165</v>
      </c>
      <c r="G105" s="15">
        <f t="shared" si="1"/>
        <v>115.501</v>
      </c>
      <c r="H105" s="15">
        <f>IFERROR(IF(Yearending&gt;B104,'5. Historical demand'!F105-'5. Historical demand'!C105-'5. Historical demand'!D105,""),"")</f>
        <v>10.590000000000003</v>
      </c>
      <c r="I105" s="15">
        <f t="shared" si="2"/>
        <v>104.911</v>
      </c>
    </row>
    <row r="106" spans="2:9" x14ac:dyDescent="0.2">
      <c r="B106" s="157">
        <f t="shared" si="0"/>
        <v>45537</v>
      </c>
      <c r="C106" s="320">
        <v>154.41</v>
      </c>
      <c r="D106" s="320"/>
      <c r="E106" s="320">
        <v>50.308</v>
      </c>
      <c r="F106" s="320">
        <v>165</v>
      </c>
      <c r="G106" s="15">
        <f t="shared" si="1"/>
        <v>114.69200000000001</v>
      </c>
      <c r="H106" s="15">
        <f>IFERROR(IF(Yearending&gt;B105,'5. Historical demand'!F106-'5. Historical demand'!C106-'5. Historical demand'!D106,""),"")</f>
        <v>10.590000000000003</v>
      </c>
      <c r="I106" s="15">
        <f t="shared" si="2"/>
        <v>104.102</v>
      </c>
    </row>
    <row r="107" spans="2:9" x14ac:dyDescent="0.2">
      <c r="B107" s="157">
        <f t="shared" si="0"/>
        <v>45538</v>
      </c>
      <c r="C107" s="320">
        <v>154.41</v>
      </c>
      <c r="D107" s="320"/>
      <c r="E107" s="320">
        <v>49.186</v>
      </c>
      <c r="F107" s="320">
        <v>165</v>
      </c>
      <c r="G107" s="15">
        <f t="shared" si="1"/>
        <v>115.81399999999999</v>
      </c>
      <c r="H107" s="15">
        <f>IFERROR(IF(Yearending&gt;B106,'5. Historical demand'!F107-'5. Historical demand'!C107-'5. Historical demand'!D107,""),"")</f>
        <v>10.590000000000003</v>
      </c>
      <c r="I107" s="15">
        <f t="shared" si="2"/>
        <v>105.22399999999999</v>
      </c>
    </row>
    <row r="108" spans="2:9" x14ac:dyDescent="0.2">
      <c r="B108" s="157">
        <f t="shared" ref="B108:B171" si="3">IFERROR(IF(Yearending&gt;B107, B107+1, ""),"")</f>
        <v>45539</v>
      </c>
      <c r="C108" s="320">
        <v>154.41</v>
      </c>
      <c r="D108" s="320"/>
      <c r="E108" s="320">
        <v>49.930999999999997</v>
      </c>
      <c r="F108" s="320">
        <v>165</v>
      </c>
      <c r="G108" s="15">
        <f t="shared" ref="G108:G171" si="4">IFERROR(IF(Yearending&gt;B107,F108-E108,""),"")</f>
        <v>115.069</v>
      </c>
      <c r="H108" s="15">
        <f>IFERROR(IF(Yearending&gt;B107,'5. Historical demand'!F108-'5. Historical demand'!C108-'5. Historical demand'!D108,""),"")</f>
        <v>10.590000000000003</v>
      </c>
      <c r="I108" s="15">
        <f t="shared" ref="I108:I171" si="5">IFERROR(IF(Yearending&gt;B107,C108+D108-E108,""),"")</f>
        <v>104.479</v>
      </c>
    </row>
    <row r="109" spans="2:9" x14ac:dyDescent="0.2">
      <c r="B109" s="157">
        <f t="shared" si="3"/>
        <v>45540</v>
      </c>
      <c r="C109" s="320">
        <v>154.41</v>
      </c>
      <c r="D109" s="320"/>
      <c r="E109" s="320">
        <v>49.762</v>
      </c>
      <c r="F109" s="320">
        <v>165</v>
      </c>
      <c r="G109" s="15">
        <f t="shared" si="4"/>
        <v>115.238</v>
      </c>
      <c r="H109" s="15">
        <f>IFERROR(IF(Yearending&gt;B108,'5. Historical demand'!F109-'5. Historical demand'!C109-'5. Historical demand'!D109,""),"")</f>
        <v>10.590000000000003</v>
      </c>
      <c r="I109" s="15">
        <f t="shared" si="5"/>
        <v>104.648</v>
      </c>
    </row>
    <row r="110" spans="2:9" x14ac:dyDescent="0.2">
      <c r="B110" s="157">
        <f t="shared" si="3"/>
        <v>45541</v>
      </c>
      <c r="C110" s="320">
        <v>154.41</v>
      </c>
      <c r="D110" s="320"/>
      <c r="E110" s="320">
        <v>53.392000000000003</v>
      </c>
      <c r="F110" s="320">
        <v>165</v>
      </c>
      <c r="G110" s="15">
        <f t="shared" si="4"/>
        <v>111.608</v>
      </c>
      <c r="H110" s="15">
        <f>IFERROR(IF(Yearending&gt;B109,'5. Historical demand'!F110-'5. Historical demand'!C110-'5. Historical demand'!D110,""),"")</f>
        <v>10.590000000000003</v>
      </c>
      <c r="I110" s="15">
        <f t="shared" si="5"/>
        <v>101.018</v>
      </c>
    </row>
    <row r="111" spans="2:9" x14ac:dyDescent="0.2">
      <c r="B111" s="157">
        <f t="shared" si="3"/>
        <v>45542</v>
      </c>
      <c r="C111" s="320">
        <v>154.41</v>
      </c>
      <c r="D111" s="320"/>
      <c r="E111" s="320">
        <v>57.207999999999998</v>
      </c>
      <c r="F111" s="320">
        <v>165</v>
      </c>
      <c r="G111" s="15">
        <f t="shared" si="4"/>
        <v>107.792</v>
      </c>
      <c r="H111" s="15">
        <f>IFERROR(IF(Yearending&gt;B110,'5. Historical demand'!F111-'5. Historical demand'!C111-'5. Historical demand'!D111,""),"")</f>
        <v>10.590000000000003</v>
      </c>
      <c r="I111" s="15">
        <f t="shared" si="5"/>
        <v>97.201999999999998</v>
      </c>
    </row>
    <row r="112" spans="2:9" x14ac:dyDescent="0.2">
      <c r="B112" s="157">
        <f t="shared" si="3"/>
        <v>45543</v>
      </c>
      <c r="C112" s="320">
        <v>154.41</v>
      </c>
      <c r="D112" s="320"/>
      <c r="E112" s="320">
        <v>58.204999999999998</v>
      </c>
      <c r="F112" s="320">
        <v>165</v>
      </c>
      <c r="G112" s="15">
        <f t="shared" si="4"/>
        <v>106.795</v>
      </c>
      <c r="H112" s="15">
        <f>IFERROR(IF(Yearending&gt;B111,'5. Historical demand'!F112-'5. Historical demand'!C112-'5. Historical demand'!D112,""),"")</f>
        <v>10.590000000000003</v>
      </c>
      <c r="I112" s="15">
        <f t="shared" si="5"/>
        <v>96.204999999999998</v>
      </c>
    </row>
    <row r="113" spans="2:9" x14ac:dyDescent="0.2">
      <c r="B113" s="157">
        <f t="shared" si="3"/>
        <v>45544</v>
      </c>
      <c r="C113" s="320">
        <v>154.41</v>
      </c>
      <c r="D113" s="320"/>
      <c r="E113" s="320">
        <v>57.988</v>
      </c>
      <c r="F113" s="320">
        <v>165</v>
      </c>
      <c r="G113" s="15">
        <f t="shared" si="4"/>
        <v>107.012</v>
      </c>
      <c r="H113" s="15">
        <f>IFERROR(IF(Yearending&gt;B112,'5. Historical demand'!F113-'5. Historical demand'!C113-'5. Historical demand'!D113,""),"")</f>
        <v>10.590000000000003</v>
      </c>
      <c r="I113" s="15">
        <f t="shared" si="5"/>
        <v>96.421999999999997</v>
      </c>
    </row>
    <row r="114" spans="2:9" x14ac:dyDescent="0.2">
      <c r="B114" s="157">
        <f t="shared" si="3"/>
        <v>45545</v>
      </c>
      <c r="C114" s="320">
        <v>154.41</v>
      </c>
      <c r="D114" s="320"/>
      <c r="E114" s="320">
        <v>52.844000000000001</v>
      </c>
      <c r="F114" s="320">
        <v>165</v>
      </c>
      <c r="G114" s="15">
        <f t="shared" si="4"/>
        <v>112.15600000000001</v>
      </c>
      <c r="H114" s="15">
        <f>IFERROR(IF(Yearending&gt;B113,'5. Historical demand'!F114-'5. Historical demand'!C114-'5. Historical demand'!D114,""),"")</f>
        <v>10.590000000000003</v>
      </c>
      <c r="I114" s="15">
        <f t="shared" si="5"/>
        <v>101.566</v>
      </c>
    </row>
    <row r="115" spans="2:9" x14ac:dyDescent="0.2">
      <c r="B115" s="157">
        <f t="shared" si="3"/>
        <v>45546</v>
      </c>
      <c r="C115" s="320">
        <v>154.41</v>
      </c>
      <c r="D115" s="320"/>
      <c r="E115" s="320">
        <v>52.278999999999996</v>
      </c>
      <c r="F115" s="320">
        <v>165</v>
      </c>
      <c r="G115" s="15">
        <f t="shared" si="4"/>
        <v>112.721</v>
      </c>
      <c r="H115" s="15">
        <f>IFERROR(IF(Yearending&gt;B114,'5. Historical demand'!F115-'5. Historical demand'!C115-'5. Historical demand'!D115,""),"")</f>
        <v>10.590000000000003</v>
      </c>
      <c r="I115" s="15">
        <f t="shared" si="5"/>
        <v>102.131</v>
      </c>
    </row>
    <row r="116" spans="2:9" x14ac:dyDescent="0.2">
      <c r="B116" s="157">
        <f t="shared" si="3"/>
        <v>45547</v>
      </c>
      <c r="C116" s="320">
        <v>154.41</v>
      </c>
      <c r="D116" s="320"/>
      <c r="E116" s="320">
        <v>50.330999999999996</v>
      </c>
      <c r="F116" s="320">
        <v>165</v>
      </c>
      <c r="G116" s="15">
        <f t="shared" si="4"/>
        <v>114.66900000000001</v>
      </c>
      <c r="H116" s="15">
        <f>IFERROR(IF(Yearending&gt;B115,'5. Historical demand'!F116-'5. Historical demand'!C116-'5. Historical demand'!D116,""),"")</f>
        <v>10.590000000000003</v>
      </c>
      <c r="I116" s="15">
        <f t="shared" si="5"/>
        <v>104.07900000000001</v>
      </c>
    </row>
    <row r="117" spans="2:9" x14ac:dyDescent="0.2">
      <c r="B117" s="157">
        <f t="shared" si="3"/>
        <v>45548</v>
      </c>
      <c r="C117" s="320">
        <v>154.41</v>
      </c>
      <c r="D117" s="320"/>
      <c r="E117" s="320">
        <v>52.968999999999994</v>
      </c>
      <c r="F117" s="320">
        <v>165</v>
      </c>
      <c r="G117" s="15">
        <f t="shared" si="4"/>
        <v>112.03100000000001</v>
      </c>
      <c r="H117" s="15">
        <f>IFERROR(IF(Yearending&gt;B116,'5. Historical demand'!F117-'5. Historical demand'!C117-'5. Historical demand'!D117,""),"")</f>
        <v>10.590000000000003</v>
      </c>
      <c r="I117" s="15">
        <f t="shared" si="5"/>
        <v>101.441</v>
      </c>
    </row>
    <row r="118" spans="2:9" x14ac:dyDescent="0.2">
      <c r="B118" s="157">
        <f t="shared" si="3"/>
        <v>45549</v>
      </c>
      <c r="C118" s="320">
        <v>154.41</v>
      </c>
      <c r="D118" s="320"/>
      <c r="E118" s="320">
        <v>53.454999999999998</v>
      </c>
      <c r="F118" s="320">
        <v>165</v>
      </c>
      <c r="G118" s="15">
        <f t="shared" si="4"/>
        <v>111.545</v>
      </c>
      <c r="H118" s="15">
        <f>IFERROR(IF(Yearending&gt;B117,'5. Historical demand'!F118-'5. Historical demand'!C118-'5. Historical demand'!D118,""),"")</f>
        <v>10.590000000000003</v>
      </c>
      <c r="I118" s="15">
        <f t="shared" si="5"/>
        <v>100.955</v>
      </c>
    </row>
    <row r="119" spans="2:9" x14ac:dyDescent="0.2">
      <c r="B119" s="157">
        <f t="shared" si="3"/>
        <v>45550</v>
      </c>
      <c r="C119" s="320">
        <v>154.41</v>
      </c>
      <c r="D119" s="320"/>
      <c r="E119" s="320">
        <v>54.603000000000002</v>
      </c>
      <c r="F119" s="320">
        <v>165</v>
      </c>
      <c r="G119" s="15">
        <f t="shared" si="4"/>
        <v>110.39699999999999</v>
      </c>
      <c r="H119" s="15">
        <f>IFERROR(IF(Yearending&gt;B118,'5. Historical demand'!F119-'5. Historical demand'!C119-'5. Historical demand'!D119,""),"")</f>
        <v>10.590000000000003</v>
      </c>
      <c r="I119" s="15">
        <f t="shared" si="5"/>
        <v>99.806999999999988</v>
      </c>
    </row>
    <row r="120" spans="2:9" x14ac:dyDescent="0.2">
      <c r="B120" s="157">
        <f t="shared" si="3"/>
        <v>45551</v>
      </c>
      <c r="C120" s="320">
        <v>154.41</v>
      </c>
      <c r="D120" s="320"/>
      <c r="E120" s="320">
        <v>56.494</v>
      </c>
      <c r="F120" s="320">
        <v>165</v>
      </c>
      <c r="G120" s="15">
        <f t="shared" si="4"/>
        <v>108.506</v>
      </c>
      <c r="H120" s="15">
        <f>IFERROR(IF(Yearending&gt;B119,'5. Historical demand'!F120-'5. Historical demand'!C120-'5. Historical demand'!D120,""),"")</f>
        <v>10.590000000000003</v>
      </c>
      <c r="I120" s="15">
        <f t="shared" si="5"/>
        <v>97.915999999999997</v>
      </c>
    </row>
    <row r="121" spans="2:9" x14ac:dyDescent="0.2">
      <c r="B121" s="157">
        <f t="shared" si="3"/>
        <v>45552</v>
      </c>
      <c r="C121" s="320">
        <v>154.41</v>
      </c>
      <c r="D121" s="320"/>
      <c r="E121" s="320">
        <v>52.494</v>
      </c>
      <c r="F121" s="320">
        <v>165</v>
      </c>
      <c r="G121" s="15">
        <f t="shared" si="4"/>
        <v>112.506</v>
      </c>
      <c r="H121" s="15">
        <f>IFERROR(IF(Yearending&gt;B120,'5. Historical demand'!F121-'5. Historical demand'!C121-'5. Historical demand'!D121,""),"")</f>
        <v>10.590000000000003</v>
      </c>
      <c r="I121" s="15">
        <f t="shared" si="5"/>
        <v>101.916</v>
      </c>
    </row>
    <row r="122" spans="2:9" x14ac:dyDescent="0.2">
      <c r="B122" s="157">
        <f t="shared" si="3"/>
        <v>45553</v>
      </c>
      <c r="C122" s="320">
        <v>154.41</v>
      </c>
      <c r="D122" s="320"/>
      <c r="E122" s="320">
        <v>55.600999999999999</v>
      </c>
      <c r="F122" s="320">
        <v>165</v>
      </c>
      <c r="G122" s="15">
        <f t="shared" si="4"/>
        <v>109.399</v>
      </c>
      <c r="H122" s="15">
        <f>IFERROR(IF(Yearending&gt;B121,'5. Historical demand'!F122-'5. Historical demand'!C122-'5. Historical demand'!D122,""),"")</f>
        <v>10.590000000000003</v>
      </c>
      <c r="I122" s="15">
        <f t="shared" si="5"/>
        <v>98.808999999999997</v>
      </c>
    </row>
    <row r="123" spans="2:9" x14ac:dyDescent="0.2">
      <c r="B123" s="157">
        <f t="shared" si="3"/>
        <v>45554</v>
      </c>
      <c r="C123" s="320">
        <v>154.41</v>
      </c>
      <c r="D123" s="320"/>
      <c r="E123" s="320">
        <v>56.390999999999998</v>
      </c>
      <c r="F123" s="320">
        <v>165</v>
      </c>
      <c r="G123" s="15">
        <f t="shared" si="4"/>
        <v>108.60900000000001</v>
      </c>
      <c r="H123" s="15">
        <f>IFERROR(IF(Yearending&gt;B122,'5. Historical demand'!F123-'5. Historical demand'!C123-'5. Historical demand'!D123,""),"")</f>
        <v>10.590000000000003</v>
      </c>
      <c r="I123" s="15">
        <f t="shared" si="5"/>
        <v>98.019000000000005</v>
      </c>
    </row>
    <row r="124" spans="2:9" x14ac:dyDescent="0.2">
      <c r="B124" s="157">
        <f t="shared" si="3"/>
        <v>45555</v>
      </c>
      <c r="C124" s="320">
        <v>154.41</v>
      </c>
      <c r="D124" s="320"/>
      <c r="E124" s="320">
        <v>54.336000000000006</v>
      </c>
      <c r="F124" s="320">
        <v>165</v>
      </c>
      <c r="G124" s="15">
        <f t="shared" si="4"/>
        <v>110.66399999999999</v>
      </c>
      <c r="H124" s="15">
        <f>IFERROR(IF(Yearending&gt;B123,'5. Historical demand'!F124-'5. Historical demand'!C124-'5. Historical demand'!D124,""),"")</f>
        <v>10.590000000000003</v>
      </c>
      <c r="I124" s="15">
        <f t="shared" si="5"/>
        <v>100.07399999999998</v>
      </c>
    </row>
    <row r="125" spans="2:9" x14ac:dyDescent="0.2">
      <c r="B125" s="157">
        <f t="shared" si="3"/>
        <v>45556</v>
      </c>
      <c r="C125" s="320">
        <v>154.41</v>
      </c>
      <c r="D125" s="320"/>
      <c r="E125" s="320">
        <v>53.420999999999999</v>
      </c>
      <c r="F125" s="320">
        <v>165</v>
      </c>
      <c r="G125" s="15">
        <f t="shared" si="4"/>
        <v>111.57900000000001</v>
      </c>
      <c r="H125" s="15">
        <f>IFERROR(IF(Yearending&gt;B124,'5. Historical demand'!F125-'5. Historical demand'!C125-'5. Historical demand'!D125,""),"")</f>
        <v>10.590000000000003</v>
      </c>
      <c r="I125" s="15">
        <f t="shared" si="5"/>
        <v>100.989</v>
      </c>
    </row>
    <row r="126" spans="2:9" x14ac:dyDescent="0.2">
      <c r="B126" s="157">
        <f t="shared" si="3"/>
        <v>45557</v>
      </c>
      <c r="C126" s="320">
        <v>154.41</v>
      </c>
      <c r="D126" s="320"/>
      <c r="E126" s="320">
        <v>55.227000000000004</v>
      </c>
      <c r="F126" s="320">
        <v>165</v>
      </c>
      <c r="G126" s="15">
        <f t="shared" si="4"/>
        <v>109.773</v>
      </c>
      <c r="H126" s="15">
        <f>IFERROR(IF(Yearending&gt;B125,'5. Historical demand'!F126-'5. Historical demand'!C126-'5. Historical demand'!D126,""),"")</f>
        <v>10.590000000000003</v>
      </c>
      <c r="I126" s="15">
        <f t="shared" si="5"/>
        <v>99.182999999999993</v>
      </c>
    </row>
    <row r="127" spans="2:9" x14ac:dyDescent="0.2">
      <c r="B127" s="157">
        <f t="shared" si="3"/>
        <v>45558</v>
      </c>
      <c r="C127" s="320">
        <v>154.41</v>
      </c>
      <c r="D127" s="320"/>
      <c r="E127" s="320">
        <v>55.688000000000002</v>
      </c>
      <c r="F127" s="320">
        <v>165</v>
      </c>
      <c r="G127" s="15">
        <f t="shared" si="4"/>
        <v>109.312</v>
      </c>
      <c r="H127" s="15">
        <f>IFERROR(IF(Yearending&gt;B126,'5. Historical demand'!F127-'5. Historical demand'!C127-'5. Historical demand'!D127,""),"")</f>
        <v>10.590000000000003</v>
      </c>
      <c r="I127" s="15">
        <f t="shared" si="5"/>
        <v>98.721999999999994</v>
      </c>
    </row>
    <row r="128" spans="2:9" x14ac:dyDescent="0.2">
      <c r="B128" s="157">
        <f t="shared" si="3"/>
        <v>45559</v>
      </c>
      <c r="C128" s="320">
        <v>154.41</v>
      </c>
      <c r="D128" s="320"/>
      <c r="E128" s="320">
        <v>54.036000000000001</v>
      </c>
      <c r="F128" s="320">
        <v>165</v>
      </c>
      <c r="G128" s="15">
        <f t="shared" si="4"/>
        <v>110.964</v>
      </c>
      <c r="H128" s="15">
        <f>IFERROR(IF(Yearending&gt;B127,'5. Historical demand'!F128-'5. Historical demand'!C128-'5. Historical demand'!D128,""),"")</f>
        <v>10.590000000000003</v>
      </c>
      <c r="I128" s="15">
        <f t="shared" si="5"/>
        <v>100.374</v>
      </c>
    </row>
    <row r="129" spans="2:9" x14ac:dyDescent="0.2">
      <c r="B129" s="157">
        <f t="shared" si="3"/>
        <v>45560</v>
      </c>
      <c r="C129" s="320">
        <v>154.41</v>
      </c>
      <c r="D129" s="320"/>
      <c r="E129" s="320">
        <v>56.186000000000007</v>
      </c>
      <c r="F129" s="320">
        <v>165</v>
      </c>
      <c r="G129" s="15">
        <f t="shared" si="4"/>
        <v>108.81399999999999</v>
      </c>
      <c r="H129" s="15">
        <f>IFERROR(IF(Yearending&gt;B128,'5. Historical demand'!F129-'5. Historical demand'!C129-'5. Historical demand'!D129,""),"")</f>
        <v>10.590000000000003</v>
      </c>
      <c r="I129" s="15">
        <f t="shared" si="5"/>
        <v>98.22399999999999</v>
      </c>
    </row>
    <row r="130" spans="2:9" x14ac:dyDescent="0.2">
      <c r="B130" s="157">
        <f t="shared" si="3"/>
        <v>45561</v>
      </c>
      <c r="C130" s="320">
        <v>154.41</v>
      </c>
      <c r="D130" s="320"/>
      <c r="E130" s="320">
        <v>56.204999999999998</v>
      </c>
      <c r="F130" s="320">
        <v>165</v>
      </c>
      <c r="G130" s="15">
        <f t="shared" si="4"/>
        <v>108.795</v>
      </c>
      <c r="H130" s="15">
        <f>IFERROR(IF(Yearending&gt;B129,'5. Historical demand'!F130-'5. Historical demand'!C130-'5. Historical demand'!D130,""),"")</f>
        <v>10.590000000000003</v>
      </c>
      <c r="I130" s="15">
        <f t="shared" si="5"/>
        <v>98.204999999999998</v>
      </c>
    </row>
    <row r="131" spans="2:9" x14ac:dyDescent="0.2">
      <c r="B131" s="157">
        <f t="shared" si="3"/>
        <v>45562</v>
      </c>
      <c r="C131" s="320">
        <v>154.41</v>
      </c>
      <c r="D131" s="320"/>
      <c r="E131" s="320">
        <v>56.394000000000005</v>
      </c>
      <c r="F131" s="320">
        <v>165</v>
      </c>
      <c r="G131" s="15">
        <f t="shared" si="4"/>
        <v>108.60599999999999</v>
      </c>
      <c r="H131" s="15">
        <f>IFERROR(IF(Yearending&gt;B130,'5. Historical demand'!F131-'5. Historical demand'!C131-'5. Historical demand'!D131,""),"")</f>
        <v>10.590000000000003</v>
      </c>
      <c r="I131" s="15">
        <f t="shared" si="5"/>
        <v>98.015999999999991</v>
      </c>
    </row>
    <row r="132" spans="2:9" x14ac:dyDescent="0.2">
      <c r="B132" s="157">
        <f t="shared" si="3"/>
        <v>45563</v>
      </c>
      <c r="C132" s="320">
        <v>154.41</v>
      </c>
      <c r="D132" s="320"/>
      <c r="E132" s="320">
        <v>56.434000000000005</v>
      </c>
      <c r="F132" s="320">
        <v>165</v>
      </c>
      <c r="G132" s="15">
        <f t="shared" si="4"/>
        <v>108.566</v>
      </c>
      <c r="H132" s="15">
        <f>IFERROR(IF(Yearending&gt;B131,'5. Historical demand'!F132-'5. Historical demand'!C132-'5. Historical demand'!D132,""),"")</f>
        <v>10.590000000000003</v>
      </c>
      <c r="I132" s="15">
        <f t="shared" si="5"/>
        <v>97.975999999999999</v>
      </c>
    </row>
    <row r="133" spans="2:9" x14ac:dyDescent="0.2">
      <c r="B133" s="157">
        <f t="shared" si="3"/>
        <v>45564</v>
      </c>
      <c r="C133" s="320">
        <v>154.41</v>
      </c>
      <c r="D133" s="320"/>
      <c r="E133" s="320">
        <v>55.649000000000001</v>
      </c>
      <c r="F133" s="320">
        <v>165</v>
      </c>
      <c r="G133" s="15">
        <f t="shared" si="4"/>
        <v>109.351</v>
      </c>
      <c r="H133" s="15">
        <f>IFERROR(IF(Yearending&gt;B132,'5. Historical demand'!F133-'5. Historical demand'!C133-'5. Historical demand'!D133,""),"")</f>
        <v>10.590000000000003</v>
      </c>
      <c r="I133" s="15">
        <f t="shared" si="5"/>
        <v>98.760999999999996</v>
      </c>
    </row>
    <row r="134" spans="2:9" x14ac:dyDescent="0.2">
      <c r="B134" s="157">
        <f t="shared" si="3"/>
        <v>45565</v>
      </c>
      <c r="C134" s="320">
        <v>154.41</v>
      </c>
      <c r="D134" s="320"/>
      <c r="E134" s="320">
        <v>57.319000000000003</v>
      </c>
      <c r="F134" s="320">
        <v>165</v>
      </c>
      <c r="G134" s="15">
        <f t="shared" si="4"/>
        <v>107.681</v>
      </c>
      <c r="H134" s="15">
        <f>IFERROR(IF(Yearending&gt;B133,'5. Historical demand'!F134-'5. Historical demand'!C134-'5. Historical demand'!D134,""),"")</f>
        <v>10.590000000000003</v>
      </c>
      <c r="I134" s="15">
        <f t="shared" si="5"/>
        <v>97.090999999999994</v>
      </c>
    </row>
    <row r="135" spans="2:9" x14ac:dyDescent="0.2">
      <c r="B135" s="157">
        <f t="shared" si="3"/>
        <v>45566</v>
      </c>
      <c r="C135" s="320">
        <v>154.41</v>
      </c>
      <c r="D135" s="320"/>
      <c r="E135" s="320">
        <v>56.367999999999995</v>
      </c>
      <c r="F135" s="320">
        <v>165</v>
      </c>
      <c r="G135" s="15">
        <f t="shared" si="4"/>
        <v>108.63200000000001</v>
      </c>
      <c r="H135" s="15">
        <f>IFERROR(IF(Yearending&gt;B134,'5. Historical demand'!F135-'5. Historical demand'!C135-'5. Historical demand'!D135,""),"")</f>
        <v>10.590000000000003</v>
      </c>
      <c r="I135" s="15">
        <f t="shared" si="5"/>
        <v>98.042000000000002</v>
      </c>
    </row>
    <row r="136" spans="2:9" x14ac:dyDescent="0.2">
      <c r="B136" s="157">
        <f t="shared" si="3"/>
        <v>45567</v>
      </c>
      <c r="C136" s="320">
        <v>154.41</v>
      </c>
      <c r="D136" s="320"/>
      <c r="E136" s="320">
        <v>54.442</v>
      </c>
      <c r="F136" s="320">
        <v>165</v>
      </c>
      <c r="G136" s="15">
        <f t="shared" si="4"/>
        <v>110.55799999999999</v>
      </c>
      <c r="H136" s="15">
        <f>IFERROR(IF(Yearending&gt;B135,'5. Historical demand'!F136-'5. Historical demand'!C136-'5. Historical demand'!D136,""),"")</f>
        <v>10.590000000000003</v>
      </c>
      <c r="I136" s="15">
        <f t="shared" si="5"/>
        <v>99.967999999999989</v>
      </c>
    </row>
    <row r="137" spans="2:9" x14ac:dyDescent="0.2">
      <c r="B137" s="157">
        <f t="shared" si="3"/>
        <v>45568</v>
      </c>
      <c r="C137" s="320">
        <v>154.41</v>
      </c>
      <c r="D137" s="320"/>
      <c r="E137" s="320">
        <v>55.274000000000001</v>
      </c>
      <c r="F137" s="320">
        <v>165</v>
      </c>
      <c r="G137" s="15">
        <f t="shared" si="4"/>
        <v>109.726</v>
      </c>
      <c r="H137" s="15">
        <f>IFERROR(IF(Yearending&gt;B136,'5. Historical demand'!F137-'5. Historical demand'!C137-'5. Historical demand'!D137,""),"")</f>
        <v>10.590000000000003</v>
      </c>
      <c r="I137" s="15">
        <f t="shared" si="5"/>
        <v>99.135999999999996</v>
      </c>
    </row>
    <row r="138" spans="2:9" x14ac:dyDescent="0.2">
      <c r="B138" s="157">
        <f t="shared" si="3"/>
        <v>45569</v>
      </c>
      <c r="C138" s="320">
        <v>154.41</v>
      </c>
      <c r="D138" s="320"/>
      <c r="E138" s="320">
        <v>56.728000000000002</v>
      </c>
      <c r="F138" s="320">
        <v>165</v>
      </c>
      <c r="G138" s="15">
        <f t="shared" si="4"/>
        <v>108.27199999999999</v>
      </c>
      <c r="H138" s="15">
        <f>IFERROR(IF(Yearending&gt;B137,'5. Historical demand'!F138-'5. Historical demand'!C138-'5. Historical demand'!D138,""),"")</f>
        <v>10.590000000000003</v>
      </c>
      <c r="I138" s="15">
        <f t="shared" si="5"/>
        <v>97.681999999999988</v>
      </c>
    </row>
    <row r="139" spans="2:9" x14ac:dyDescent="0.2">
      <c r="B139" s="157">
        <f t="shared" si="3"/>
        <v>45570</v>
      </c>
      <c r="C139" s="320">
        <v>154.41</v>
      </c>
      <c r="D139" s="320"/>
      <c r="E139" s="320">
        <v>50.137</v>
      </c>
      <c r="F139" s="320">
        <v>165</v>
      </c>
      <c r="G139" s="15">
        <f t="shared" si="4"/>
        <v>114.863</v>
      </c>
      <c r="H139" s="15">
        <f>IFERROR(IF(Yearending&gt;B138,'5. Historical demand'!F139-'5. Historical demand'!C139-'5. Historical demand'!D139,""),"")</f>
        <v>10.590000000000003</v>
      </c>
      <c r="I139" s="15">
        <f t="shared" si="5"/>
        <v>104.273</v>
      </c>
    </row>
    <row r="140" spans="2:9" x14ac:dyDescent="0.2">
      <c r="B140" s="157">
        <f t="shared" si="3"/>
        <v>45571</v>
      </c>
      <c r="C140" s="320">
        <v>154.41</v>
      </c>
      <c r="D140" s="320"/>
      <c r="E140" s="320">
        <v>50.006</v>
      </c>
      <c r="F140" s="320">
        <v>165</v>
      </c>
      <c r="G140" s="15">
        <f t="shared" si="4"/>
        <v>114.994</v>
      </c>
      <c r="H140" s="15">
        <f>IFERROR(IF(Yearending&gt;B139,'5. Historical demand'!F140-'5. Historical demand'!C140-'5. Historical demand'!D140,""),"")</f>
        <v>10.590000000000003</v>
      </c>
      <c r="I140" s="15">
        <f t="shared" si="5"/>
        <v>104.404</v>
      </c>
    </row>
    <row r="141" spans="2:9" x14ac:dyDescent="0.2">
      <c r="B141" s="157">
        <f t="shared" si="3"/>
        <v>45572</v>
      </c>
      <c r="C141" s="320">
        <v>154.41</v>
      </c>
      <c r="D141" s="320"/>
      <c r="E141" s="320">
        <v>54.524999999999999</v>
      </c>
      <c r="F141" s="320">
        <v>165</v>
      </c>
      <c r="G141" s="15">
        <f t="shared" si="4"/>
        <v>110.47499999999999</v>
      </c>
      <c r="H141" s="15">
        <f>IFERROR(IF(Yearending&gt;B140,'5. Historical demand'!F141-'5. Historical demand'!C141-'5. Historical demand'!D141,""),"")</f>
        <v>10.590000000000003</v>
      </c>
      <c r="I141" s="15">
        <f t="shared" si="5"/>
        <v>99.884999999999991</v>
      </c>
    </row>
    <row r="142" spans="2:9" x14ac:dyDescent="0.2">
      <c r="B142" s="157">
        <f t="shared" si="3"/>
        <v>45573</v>
      </c>
      <c r="C142" s="320">
        <v>154.41</v>
      </c>
      <c r="D142" s="320"/>
      <c r="E142" s="320">
        <v>53.227000000000004</v>
      </c>
      <c r="F142" s="320">
        <v>165</v>
      </c>
      <c r="G142" s="15">
        <f t="shared" si="4"/>
        <v>111.773</v>
      </c>
      <c r="H142" s="15">
        <f>IFERROR(IF(Yearending&gt;B141,'5. Historical demand'!F142-'5. Historical demand'!C142-'5. Historical demand'!D142,""),"")</f>
        <v>10.590000000000003</v>
      </c>
      <c r="I142" s="15">
        <f t="shared" si="5"/>
        <v>101.18299999999999</v>
      </c>
    </row>
    <row r="143" spans="2:9" x14ac:dyDescent="0.2">
      <c r="B143" s="157">
        <f t="shared" si="3"/>
        <v>45574</v>
      </c>
      <c r="C143" s="320">
        <v>154.41</v>
      </c>
      <c r="D143" s="320"/>
      <c r="E143" s="320">
        <v>52.537000000000006</v>
      </c>
      <c r="F143" s="320">
        <v>165</v>
      </c>
      <c r="G143" s="15">
        <f t="shared" si="4"/>
        <v>112.46299999999999</v>
      </c>
      <c r="H143" s="15">
        <f>IFERROR(IF(Yearending&gt;B142,'5. Historical demand'!F143-'5. Historical demand'!C143-'5. Historical demand'!D143,""),"")</f>
        <v>10.590000000000003</v>
      </c>
      <c r="I143" s="15">
        <f t="shared" si="5"/>
        <v>101.87299999999999</v>
      </c>
    </row>
    <row r="144" spans="2:9" x14ac:dyDescent="0.2">
      <c r="B144" s="157">
        <f t="shared" si="3"/>
        <v>45575</v>
      </c>
      <c r="C144" s="320">
        <v>154.41</v>
      </c>
      <c r="D144" s="320"/>
      <c r="E144" s="320">
        <v>53.569000000000003</v>
      </c>
      <c r="F144" s="320">
        <v>165</v>
      </c>
      <c r="G144" s="15">
        <f t="shared" si="4"/>
        <v>111.431</v>
      </c>
      <c r="H144" s="15">
        <f>IFERROR(IF(Yearending&gt;B143,'5. Historical demand'!F144-'5. Historical demand'!C144-'5. Historical demand'!D144,""),"")</f>
        <v>10.590000000000003</v>
      </c>
      <c r="I144" s="15">
        <f t="shared" si="5"/>
        <v>100.84099999999999</v>
      </c>
    </row>
    <row r="145" spans="2:9" x14ac:dyDescent="0.2">
      <c r="B145" s="157">
        <f t="shared" si="3"/>
        <v>45576</v>
      </c>
      <c r="C145" s="320">
        <v>154.41</v>
      </c>
      <c r="D145" s="320"/>
      <c r="E145" s="320">
        <v>58.069000000000003</v>
      </c>
      <c r="F145" s="320">
        <v>165</v>
      </c>
      <c r="G145" s="15">
        <f t="shared" si="4"/>
        <v>106.931</v>
      </c>
      <c r="H145" s="15">
        <f>IFERROR(IF(Yearending&gt;B144,'5. Historical demand'!F145-'5. Historical demand'!C145-'5. Historical demand'!D145,""),"")</f>
        <v>10.590000000000003</v>
      </c>
      <c r="I145" s="15">
        <f t="shared" si="5"/>
        <v>96.340999999999994</v>
      </c>
    </row>
    <row r="146" spans="2:9" x14ac:dyDescent="0.2">
      <c r="B146" s="157">
        <f t="shared" si="3"/>
        <v>45577</v>
      </c>
      <c r="C146" s="320">
        <v>154.41</v>
      </c>
      <c r="D146" s="320"/>
      <c r="E146" s="320">
        <v>51.413000000000004</v>
      </c>
      <c r="F146" s="320">
        <v>165</v>
      </c>
      <c r="G146" s="15">
        <f t="shared" si="4"/>
        <v>113.58699999999999</v>
      </c>
      <c r="H146" s="15">
        <f>IFERROR(IF(Yearending&gt;B145,'5. Historical demand'!F146-'5. Historical demand'!C146-'5. Historical demand'!D146,""),"")</f>
        <v>10.590000000000003</v>
      </c>
      <c r="I146" s="15">
        <f t="shared" si="5"/>
        <v>102.99699999999999</v>
      </c>
    </row>
    <row r="147" spans="2:9" x14ac:dyDescent="0.2">
      <c r="B147" s="157">
        <f t="shared" si="3"/>
        <v>45578</v>
      </c>
      <c r="C147" s="320">
        <v>154.41</v>
      </c>
      <c r="D147" s="320"/>
      <c r="E147" s="320">
        <v>51.844000000000001</v>
      </c>
      <c r="F147" s="320">
        <v>165</v>
      </c>
      <c r="G147" s="15">
        <f t="shared" si="4"/>
        <v>113.15600000000001</v>
      </c>
      <c r="H147" s="15">
        <f>IFERROR(IF(Yearending&gt;B146,'5. Historical demand'!F147-'5. Historical demand'!C147-'5. Historical demand'!D147,""),"")</f>
        <v>10.590000000000003</v>
      </c>
      <c r="I147" s="15">
        <f t="shared" si="5"/>
        <v>102.566</v>
      </c>
    </row>
    <row r="148" spans="2:9" x14ac:dyDescent="0.2">
      <c r="B148" s="157">
        <f t="shared" si="3"/>
        <v>45579</v>
      </c>
      <c r="C148" s="320">
        <v>154.41</v>
      </c>
      <c r="D148" s="320"/>
      <c r="E148" s="320">
        <v>53.805999999999997</v>
      </c>
      <c r="F148" s="320">
        <v>165</v>
      </c>
      <c r="G148" s="15">
        <f t="shared" si="4"/>
        <v>111.194</v>
      </c>
      <c r="H148" s="15">
        <f>IFERROR(IF(Yearending&gt;B147,'5. Historical demand'!F148-'5. Historical demand'!C148-'5. Historical demand'!D148,""),"")</f>
        <v>10.590000000000003</v>
      </c>
      <c r="I148" s="15">
        <f t="shared" si="5"/>
        <v>100.604</v>
      </c>
    </row>
    <row r="149" spans="2:9" x14ac:dyDescent="0.2">
      <c r="B149" s="157">
        <f t="shared" si="3"/>
        <v>45580</v>
      </c>
      <c r="C149" s="320">
        <v>154.41</v>
      </c>
      <c r="D149" s="320"/>
      <c r="E149" s="320">
        <v>54.947999999999993</v>
      </c>
      <c r="F149" s="320">
        <v>165</v>
      </c>
      <c r="G149" s="15">
        <f t="shared" si="4"/>
        <v>110.05200000000001</v>
      </c>
      <c r="H149" s="15">
        <f>IFERROR(IF(Yearending&gt;B148,'5. Historical demand'!F149-'5. Historical demand'!C149-'5. Historical demand'!D149,""),"")</f>
        <v>10.590000000000003</v>
      </c>
      <c r="I149" s="15">
        <f t="shared" si="5"/>
        <v>99.462000000000003</v>
      </c>
    </row>
    <row r="150" spans="2:9" x14ac:dyDescent="0.2">
      <c r="B150" s="157">
        <f t="shared" si="3"/>
        <v>45581</v>
      </c>
      <c r="C150" s="320">
        <v>154.41</v>
      </c>
      <c r="D150" s="320"/>
      <c r="E150" s="320">
        <v>53.369</v>
      </c>
      <c r="F150" s="320">
        <v>165</v>
      </c>
      <c r="G150" s="15">
        <f t="shared" si="4"/>
        <v>111.631</v>
      </c>
      <c r="H150" s="15">
        <f>IFERROR(IF(Yearending&gt;B149,'5. Historical demand'!F150-'5. Historical demand'!C150-'5. Historical demand'!D150,""),"")</f>
        <v>10.590000000000003</v>
      </c>
      <c r="I150" s="15">
        <f t="shared" si="5"/>
        <v>101.041</v>
      </c>
    </row>
    <row r="151" spans="2:9" x14ac:dyDescent="0.2">
      <c r="B151" s="157">
        <f t="shared" si="3"/>
        <v>45582</v>
      </c>
      <c r="C151" s="320">
        <v>154.41</v>
      </c>
      <c r="D151" s="320"/>
      <c r="E151" s="320">
        <v>60.574000000000005</v>
      </c>
      <c r="F151" s="320">
        <v>165</v>
      </c>
      <c r="G151" s="15">
        <f t="shared" si="4"/>
        <v>104.42599999999999</v>
      </c>
      <c r="H151" s="15">
        <f>IFERROR(IF(Yearending&gt;B150,'5. Historical demand'!F151-'5. Historical demand'!C151-'5. Historical demand'!D151,""),"")</f>
        <v>10.590000000000003</v>
      </c>
      <c r="I151" s="15">
        <f t="shared" si="5"/>
        <v>93.835999999999984</v>
      </c>
    </row>
    <row r="152" spans="2:9" x14ac:dyDescent="0.2">
      <c r="B152" s="157">
        <f t="shared" si="3"/>
        <v>45583</v>
      </c>
      <c r="C152" s="320">
        <v>154.41</v>
      </c>
      <c r="D152" s="320"/>
      <c r="E152" s="320">
        <v>61.064999999999998</v>
      </c>
      <c r="F152" s="320">
        <v>165</v>
      </c>
      <c r="G152" s="15">
        <f t="shared" si="4"/>
        <v>103.935</v>
      </c>
      <c r="H152" s="15">
        <f>IFERROR(IF(Yearending&gt;B151,'5. Historical demand'!F152-'5. Historical demand'!C152-'5. Historical demand'!D152,""),"")</f>
        <v>10.590000000000003</v>
      </c>
      <c r="I152" s="15">
        <f t="shared" si="5"/>
        <v>93.344999999999999</v>
      </c>
    </row>
    <row r="153" spans="2:9" x14ac:dyDescent="0.2">
      <c r="B153" s="157">
        <f t="shared" si="3"/>
        <v>45584</v>
      </c>
      <c r="C153" s="320">
        <v>154.41</v>
      </c>
      <c r="D153" s="320"/>
      <c r="E153" s="320">
        <v>56.879000000000005</v>
      </c>
      <c r="F153" s="320">
        <v>165</v>
      </c>
      <c r="G153" s="15">
        <f t="shared" si="4"/>
        <v>108.121</v>
      </c>
      <c r="H153" s="15">
        <f>IFERROR(IF(Yearending&gt;B152,'5. Historical demand'!F153-'5. Historical demand'!C153-'5. Historical demand'!D153,""),"")</f>
        <v>10.590000000000003</v>
      </c>
      <c r="I153" s="15">
        <f t="shared" si="5"/>
        <v>97.530999999999992</v>
      </c>
    </row>
    <row r="154" spans="2:9" x14ac:dyDescent="0.2">
      <c r="B154" s="157">
        <f t="shared" si="3"/>
        <v>45585</v>
      </c>
      <c r="C154" s="320">
        <v>154.41</v>
      </c>
      <c r="D154" s="320"/>
      <c r="E154" s="320">
        <v>58.88</v>
      </c>
      <c r="F154" s="320">
        <v>165</v>
      </c>
      <c r="G154" s="15">
        <f t="shared" si="4"/>
        <v>106.12</v>
      </c>
      <c r="H154" s="15">
        <f>IFERROR(IF(Yearending&gt;B153,'5. Historical demand'!F154-'5. Historical demand'!C154-'5. Historical demand'!D154,""),"")</f>
        <v>10.590000000000003</v>
      </c>
      <c r="I154" s="15">
        <f t="shared" si="5"/>
        <v>95.53</v>
      </c>
    </row>
    <row r="155" spans="2:9" x14ac:dyDescent="0.2">
      <c r="B155" s="157">
        <f t="shared" si="3"/>
        <v>45586</v>
      </c>
      <c r="C155" s="320">
        <v>154.41</v>
      </c>
      <c r="D155" s="320"/>
      <c r="E155" s="320">
        <v>58.064999999999998</v>
      </c>
      <c r="F155" s="320">
        <v>165</v>
      </c>
      <c r="G155" s="15">
        <f t="shared" si="4"/>
        <v>106.935</v>
      </c>
      <c r="H155" s="15">
        <f>IFERROR(IF(Yearending&gt;B154,'5. Historical demand'!F155-'5. Historical demand'!C155-'5. Historical demand'!D155,""),"")</f>
        <v>10.590000000000003</v>
      </c>
      <c r="I155" s="15">
        <f t="shared" si="5"/>
        <v>96.344999999999999</v>
      </c>
    </row>
    <row r="156" spans="2:9" x14ac:dyDescent="0.2">
      <c r="B156" s="157">
        <f t="shared" si="3"/>
        <v>45587</v>
      </c>
      <c r="C156" s="320">
        <v>154.41</v>
      </c>
      <c r="D156" s="320"/>
      <c r="E156" s="320">
        <v>60.673000000000002</v>
      </c>
      <c r="F156" s="320">
        <v>165</v>
      </c>
      <c r="G156" s="15">
        <f t="shared" si="4"/>
        <v>104.327</v>
      </c>
      <c r="H156" s="15">
        <f>IFERROR(IF(Yearending&gt;B155,'5. Historical demand'!F156-'5. Historical demand'!C156-'5. Historical demand'!D156,""),"")</f>
        <v>10.590000000000003</v>
      </c>
      <c r="I156" s="15">
        <f t="shared" si="5"/>
        <v>93.736999999999995</v>
      </c>
    </row>
    <row r="157" spans="2:9" x14ac:dyDescent="0.2">
      <c r="B157" s="157">
        <f t="shared" si="3"/>
        <v>45588</v>
      </c>
      <c r="C157" s="320">
        <v>154.41</v>
      </c>
      <c r="D157" s="320"/>
      <c r="E157" s="320">
        <v>55.569000000000003</v>
      </c>
      <c r="F157" s="320">
        <v>165</v>
      </c>
      <c r="G157" s="15">
        <f t="shared" si="4"/>
        <v>109.431</v>
      </c>
      <c r="H157" s="15">
        <f>IFERROR(IF(Yearending&gt;B156,'5. Historical demand'!F157-'5. Historical demand'!C157-'5. Historical demand'!D157,""),"")</f>
        <v>10.590000000000003</v>
      </c>
      <c r="I157" s="15">
        <f t="shared" si="5"/>
        <v>98.840999999999994</v>
      </c>
    </row>
    <row r="158" spans="2:9" x14ac:dyDescent="0.2">
      <c r="B158" s="157">
        <f t="shared" si="3"/>
        <v>45589</v>
      </c>
      <c r="C158" s="320">
        <v>154.41</v>
      </c>
      <c r="D158" s="320"/>
      <c r="E158" s="320">
        <v>54.042000000000002</v>
      </c>
      <c r="F158" s="320">
        <v>165</v>
      </c>
      <c r="G158" s="15">
        <f t="shared" si="4"/>
        <v>110.958</v>
      </c>
      <c r="H158" s="15">
        <f>IFERROR(IF(Yearending&gt;B157,'5. Historical demand'!F158-'5. Historical demand'!C158-'5. Historical demand'!D158,""),"")</f>
        <v>10.590000000000003</v>
      </c>
      <c r="I158" s="15">
        <f t="shared" si="5"/>
        <v>100.36799999999999</v>
      </c>
    </row>
    <row r="159" spans="2:9" x14ac:dyDescent="0.2">
      <c r="B159" s="157">
        <f t="shared" si="3"/>
        <v>45590</v>
      </c>
      <c r="C159" s="320">
        <v>154.41</v>
      </c>
      <c r="D159" s="320"/>
      <c r="E159" s="320">
        <v>50.881</v>
      </c>
      <c r="F159" s="320">
        <v>165</v>
      </c>
      <c r="G159" s="15">
        <f t="shared" si="4"/>
        <v>114.119</v>
      </c>
      <c r="H159" s="15">
        <f>IFERROR(IF(Yearending&gt;B158,'5. Historical demand'!F159-'5. Historical demand'!C159-'5. Historical demand'!D159,""),"")</f>
        <v>10.590000000000003</v>
      </c>
      <c r="I159" s="15">
        <f t="shared" si="5"/>
        <v>103.529</v>
      </c>
    </row>
    <row r="160" spans="2:9" x14ac:dyDescent="0.2">
      <c r="B160" s="157">
        <f t="shared" si="3"/>
        <v>45591</v>
      </c>
      <c r="C160" s="320">
        <v>154.41</v>
      </c>
      <c r="D160" s="320"/>
      <c r="E160" s="320">
        <v>49.375</v>
      </c>
      <c r="F160" s="320">
        <v>165</v>
      </c>
      <c r="G160" s="15">
        <f t="shared" si="4"/>
        <v>115.625</v>
      </c>
      <c r="H160" s="15">
        <f>IFERROR(IF(Yearending&gt;B159,'5. Historical demand'!F160-'5. Historical demand'!C160-'5. Historical demand'!D160,""),"")</f>
        <v>10.590000000000003</v>
      </c>
      <c r="I160" s="15">
        <f t="shared" si="5"/>
        <v>105.035</v>
      </c>
    </row>
    <row r="161" spans="2:9" x14ac:dyDescent="0.2">
      <c r="B161" s="157">
        <f t="shared" si="3"/>
        <v>45592</v>
      </c>
      <c r="C161" s="320">
        <v>154.41</v>
      </c>
      <c r="D161" s="320"/>
      <c r="E161" s="320">
        <v>49.126000000000005</v>
      </c>
      <c r="F161" s="320">
        <v>165</v>
      </c>
      <c r="G161" s="15">
        <f t="shared" si="4"/>
        <v>115.874</v>
      </c>
      <c r="H161" s="15">
        <f>IFERROR(IF(Yearending&gt;B160,'5. Historical demand'!F161-'5. Historical demand'!C161-'5. Historical demand'!D161,""),"")</f>
        <v>10.590000000000003</v>
      </c>
      <c r="I161" s="15">
        <f t="shared" si="5"/>
        <v>105.28399999999999</v>
      </c>
    </row>
    <row r="162" spans="2:9" x14ac:dyDescent="0.2">
      <c r="B162" s="157">
        <f t="shared" si="3"/>
        <v>45593</v>
      </c>
      <c r="C162" s="320">
        <v>154.41</v>
      </c>
      <c r="D162" s="320"/>
      <c r="E162" s="320">
        <v>51.122</v>
      </c>
      <c r="F162" s="320">
        <v>165</v>
      </c>
      <c r="G162" s="15">
        <f t="shared" si="4"/>
        <v>113.878</v>
      </c>
      <c r="H162" s="15">
        <f>IFERROR(IF(Yearending&gt;B161,'5. Historical demand'!F162-'5. Historical demand'!C162-'5. Historical demand'!D162,""),"")</f>
        <v>10.590000000000003</v>
      </c>
      <c r="I162" s="15">
        <f t="shared" si="5"/>
        <v>103.288</v>
      </c>
    </row>
    <row r="163" spans="2:9" x14ac:dyDescent="0.2">
      <c r="B163" s="157">
        <f t="shared" si="3"/>
        <v>45594</v>
      </c>
      <c r="C163" s="320">
        <v>154.41</v>
      </c>
      <c r="D163" s="320"/>
      <c r="E163" s="320">
        <v>49.873000000000005</v>
      </c>
      <c r="F163" s="320">
        <v>165</v>
      </c>
      <c r="G163" s="15">
        <f t="shared" si="4"/>
        <v>115.127</v>
      </c>
      <c r="H163" s="15">
        <f>IFERROR(IF(Yearending&gt;B162,'5. Historical demand'!F163-'5. Historical demand'!C163-'5. Historical demand'!D163,""),"")</f>
        <v>10.590000000000003</v>
      </c>
      <c r="I163" s="15">
        <f t="shared" si="5"/>
        <v>104.53699999999999</v>
      </c>
    </row>
    <row r="164" spans="2:9" x14ac:dyDescent="0.2">
      <c r="B164" s="157">
        <f t="shared" si="3"/>
        <v>45595</v>
      </c>
      <c r="C164" s="320">
        <v>154.41</v>
      </c>
      <c r="D164" s="320"/>
      <c r="E164" s="320">
        <v>50.016999999999996</v>
      </c>
      <c r="F164" s="320">
        <v>165</v>
      </c>
      <c r="G164" s="15">
        <f t="shared" si="4"/>
        <v>114.983</v>
      </c>
      <c r="H164" s="15">
        <f>IFERROR(IF(Yearending&gt;B163,'5. Historical demand'!F164-'5. Historical demand'!C164-'5. Historical demand'!D164,""),"")</f>
        <v>10.590000000000003</v>
      </c>
      <c r="I164" s="15">
        <f t="shared" si="5"/>
        <v>104.393</v>
      </c>
    </row>
    <row r="165" spans="2:9" x14ac:dyDescent="0.2">
      <c r="B165" s="157">
        <f t="shared" si="3"/>
        <v>45596</v>
      </c>
      <c r="C165" s="320">
        <v>154.41</v>
      </c>
      <c r="D165" s="320"/>
      <c r="E165" s="320">
        <v>40.557000000000002</v>
      </c>
      <c r="F165" s="320">
        <v>165</v>
      </c>
      <c r="G165" s="15">
        <f t="shared" si="4"/>
        <v>124.443</v>
      </c>
      <c r="H165" s="15">
        <f>IFERROR(IF(Yearending&gt;B164,'5. Historical demand'!F165-'5. Historical demand'!C165-'5. Historical demand'!D165,""),"")</f>
        <v>10.590000000000003</v>
      </c>
      <c r="I165" s="15">
        <f t="shared" si="5"/>
        <v>113.85299999999999</v>
      </c>
    </row>
    <row r="166" spans="2:9" x14ac:dyDescent="0.2">
      <c r="B166" s="157">
        <f t="shared" si="3"/>
        <v>45597</v>
      </c>
      <c r="C166" s="320">
        <v>154.41</v>
      </c>
      <c r="D166" s="320"/>
      <c r="E166" s="320">
        <v>41.567999999999998</v>
      </c>
      <c r="F166" s="320">
        <v>165</v>
      </c>
      <c r="G166" s="15">
        <f t="shared" si="4"/>
        <v>123.432</v>
      </c>
      <c r="H166" s="15">
        <f>IFERROR(IF(Yearending&gt;B165,'5. Historical demand'!F166-'5. Historical demand'!C166-'5. Historical demand'!D166,""),"")</f>
        <v>10.590000000000003</v>
      </c>
      <c r="I166" s="15">
        <f t="shared" si="5"/>
        <v>112.842</v>
      </c>
    </row>
    <row r="167" spans="2:9" x14ac:dyDescent="0.2">
      <c r="B167" s="157">
        <f t="shared" si="3"/>
        <v>45598</v>
      </c>
      <c r="C167" s="320">
        <v>154.41</v>
      </c>
      <c r="D167" s="320"/>
      <c r="E167" s="320">
        <v>47.448</v>
      </c>
      <c r="F167" s="320">
        <v>165</v>
      </c>
      <c r="G167" s="15">
        <f t="shared" si="4"/>
        <v>117.55199999999999</v>
      </c>
      <c r="H167" s="15">
        <f>IFERROR(IF(Yearending&gt;B166,'5. Historical demand'!F167-'5. Historical demand'!C167-'5. Historical demand'!D167,""),"")</f>
        <v>10.590000000000003</v>
      </c>
      <c r="I167" s="15">
        <f t="shared" si="5"/>
        <v>106.96199999999999</v>
      </c>
    </row>
    <row r="168" spans="2:9" x14ac:dyDescent="0.2">
      <c r="B168" s="157">
        <f t="shared" si="3"/>
        <v>45599</v>
      </c>
      <c r="C168" s="320">
        <v>154.41</v>
      </c>
      <c r="D168" s="320"/>
      <c r="E168" s="320">
        <v>46.174999999999997</v>
      </c>
      <c r="F168" s="320">
        <v>165</v>
      </c>
      <c r="G168" s="15">
        <f t="shared" si="4"/>
        <v>118.825</v>
      </c>
      <c r="H168" s="15">
        <f>IFERROR(IF(Yearending&gt;B167,'5. Historical demand'!F168-'5. Historical demand'!C168-'5. Historical demand'!D168,""),"")</f>
        <v>10.590000000000003</v>
      </c>
      <c r="I168" s="15">
        <f t="shared" si="5"/>
        <v>108.235</v>
      </c>
    </row>
    <row r="169" spans="2:9" x14ac:dyDescent="0.2">
      <c r="B169" s="157">
        <f t="shared" si="3"/>
        <v>45600</v>
      </c>
      <c r="C169" s="320">
        <v>154.41</v>
      </c>
      <c r="D169" s="320"/>
      <c r="E169" s="320">
        <v>51.695999999999998</v>
      </c>
      <c r="F169" s="320">
        <v>165</v>
      </c>
      <c r="G169" s="15">
        <f t="shared" si="4"/>
        <v>113.304</v>
      </c>
      <c r="H169" s="15">
        <f>IFERROR(IF(Yearending&gt;B168,'5. Historical demand'!F169-'5. Historical demand'!C169-'5. Historical demand'!D169,""),"")</f>
        <v>10.590000000000003</v>
      </c>
      <c r="I169" s="15">
        <f t="shared" si="5"/>
        <v>102.714</v>
      </c>
    </row>
    <row r="170" spans="2:9" x14ac:dyDescent="0.2">
      <c r="B170" s="157">
        <f t="shared" si="3"/>
        <v>45601</v>
      </c>
      <c r="C170" s="320">
        <v>154.41</v>
      </c>
      <c r="D170" s="320"/>
      <c r="E170" s="320">
        <v>48.965999999999994</v>
      </c>
      <c r="F170" s="320">
        <v>165</v>
      </c>
      <c r="G170" s="15">
        <f t="shared" si="4"/>
        <v>116.03400000000001</v>
      </c>
      <c r="H170" s="15">
        <f>IFERROR(IF(Yearending&gt;B169,'5. Historical demand'!F170-'5. Historical demand'!C170-'5. Historical demand'!D170,""),"")</f>
        <v>10.590000000000003</v>
      </c>
      <c r="I170" s="15">
        <f t="shared" si="5"/>
        <v>105.444</v>
      </c>
    </row>
    <row r="171" spans="2:9" x14ac:dyDescent="0.2">
      <c r="B171" s="157">
        <f t="shared" si="3"/>
        <v>45602</v>
      </c>
      <c r="C171" s="320">
        <v>154.41</v>
      </c>
      <c r="D171" s="320"/>
      <c r="E171" s="320">
        <v>49.256</v>
      </c>
      <c r="F171" s="320">
        <v>165</v>
      </c>
      <c r="G171" s="15">
        <f t="shared" si="4"/>
        <v>115.744</v>
      </c>
      <c r="H171" s="15">
        <f>IFERROR(IF(Yearending&gt;B170,'5. Historical demand'!F171-'5. Historical demand'!C171-'5. Historical demand'!D171,""),"")</f>
        <v>10.590000000000003</v>
      </c>
      <c r="I171" s="15">
        <f t="shared" si="5"/>
        <v>105.154</v>
      </c>
    </row>
    <row r="172" spans="2:9" x14ac:dyDescent="0.2">
      <c r="B172" s="157">
        <f t="shared" ref="B172:B235" si="6">IFERROR(IF(Yearending&gt;B171, B171+1, ""),"")</f>
        <v>45603</v>
      </c>
      <c r="C172" s="320">
        <v>154.41</v>
      </c>
      <c r="D172" s="320"/>
      <c r="E172" s="320">
        <v>51.522000000000006</v>
      </c>
      <c r="F172" s="320">
        <v>165</v>
      </c>
      <c r="G172" s="15">
        <f t="shared" ref="G172:G235" si="7">IFERROR(IF(Yearending&gt;B171,F172-E172,""),"")</f>
        <v>113.47799999999999</v>
      </c>
      <c r="H172" s="15">
        <f>IFERROR(IF(Yearending&gt;B171,'5. Historical demand'!F172-'5. Historical demand'!C172-'5. Historical demand'!D172,""),"")</f>
        <v>10.590000000000003</v>
      </c>
      <c r="I172" s="15">
        <f t="shared" ref="I172:I235" si="8">IFERROR(IF(Yearending&gt;B171,C172+D172-E172,""),"")</f>
        <v>102.88799999999999</v>
      </c>
    </row>
    <row r="173" spans="2:9" x14ac:dyDescent="0.2">
      <c r="B173" s="157">
        <f t="shared" si="6"/>
        <v>45604</v>
      </c>
      <c r="C173" s="320">
        <v>154.41</v>
      </c>
      <c r="D173" s="320"/>
      <c r="E173" s="320">
        <v>59.091999999999999</v>
      </c>
      <c r="F173" s="320">
        <v>165</v>
      </c>
      <c r="G173" s="15">
        <f t="shared" si="7"/>
        <v>105.908</v>
      </c>
      <c r="H173" s="15">
        <f>IFERROR(IF(Yearending&gt;B172,'5. Historical demand'!F173-'5. Historical demand'!C173-'5. Historical demand'!D173,""),"")</f>
        <v>10.590000000000003</v>
      </c>
      <c r="I173" s="15">
        <f t="shared" si="8"/>
        <v>95.317999999999998</v>
      </c>
    </row>
    <row r="174" spans="2:9" x14ac:dyDescent="0.2">
      <c r="B174" s="157">
        <f t="shared" si="6"/>
        <v>45605</v>
      </c>
      <c r="C174" s="320">
        <v>154.41</v>
      </c>
      <c r="D174" s="320"/>
      <c r="E174" s="320">
        <v>55.546000000000006</v>
      </c>
      <c r="F174" s="320">
        <v>165</v>
      </c>
      <c r="G174" s="15">
        <f t="shared" si="7"/>
        <v>109.45399999999999</v>
      </c>
      <c r="H174" s="15">
        <f>IFERROR(IF(Yearending&gt;B173,'5. Historical demand'!F174-'5. Historical demand'!C174-'5. Historical demand'!D174,""),"")</f>
        <v>10.590000000000003</v>
      </c>
      <c r="I174" s="15">
        <f t="shared" si="8"/>
        <v>98.86399999999999</v>
      </c>
    </row>
    <row r="175" spans="2:9" x14ac:dyDescent="0.2">
      <c r="B175" s="157">
        <f t="shared" si="6"/>
        <v>45606</v>
      </c>
      <c r="C175" s="320">
        <v>154.41</v>
      </c>
      <c r="D175" s="320"/>
      <c r="E175" s="320">
        <v>52.92</v>
      </c>
      <c r="F175" s="320">
        <v>165</v>
      </c>
      <c r="G175" s="15">
        <f t="shared" si="7"/>
        <v>112.08</v>
      </c>
      <c r="H175" s="15">
        <f>IFERROR(IF(Yearending&gt;B174,'5. Historical demand'!F175-'5. Historical demand'!C175-'5. Historical demand'!D175,""),"")</f>
        <v>10.590000000000003</v>
      </c>
      <c r="I175" s="15">
        <f t="shared" si="8"/>
        <v>101.49</v>
      </c>
    </row>
    <row r="176" spans="2:9" x14ac:dyDescent="0.2">
      <c r="B176" s="157">
        <f t="shared" si="6"/>
        <v>45607</v>
      </c>
      <c r="C176" s="320">
        <v>154.41</v>
      </c>
      <c r="D176" s="320"/>
      <c r="E176" s="320">
        <v>51.878999999999998</v>
      </c>
      <c r="F176" s="320">
        <v>165</v>
      </c>
      <c r="G176" s="15">
        <f t="shared" si="7"/>
        <v>113.12100000000001</v>
      </c>
      <c r="H176" s="15">
        <f>IFERROR(IF(Yearending&gt;B175,'5. Historical demand'!F176-'5. Historical demand'!C176-'5. Historical demand'!D176,""),"")</f>
        <v>10.590000000000003</v>
      </c>
      <c r="I176" s="15">
        <f t="shared" si="8"/>
        <v>102.53100000000001</v>
      </c>
    </row>
    <row r="177" spans="2:9" x14ac:dyDescent="0.2">
      <c r="B177" s="157">
        <f t="shared" si="6"/>
        <v>45608</v>
      </c>
      <c r="C177" s="320">
        <v>154.41</v>
      </c>
      <c r="D177" s="320"/>
      <c r="E177" s="320">
        <v>58.274999999999999</v>
      </c>
      <c r="F177" s="320">
        <v>165</v>
      </c>
      <c r="G177" s="15">
        <f t="shared" si="7"/>
        <v>106.72499999999999</v>
      </c>
      <c r="H177" s="15">
        <f>IFERROR(IF(Yearending&gt;B176,'5. Historical demand'!F177-'5. Historical demand'!C177-'5. Historical demand'!D177,""),"")</f>
        <v>10.590000000000003</v>
      </c>
      <c r="I177" s="15">
        <f t="shared" si="8"/>
        <v>96.134999999999991</v>
      </c>
    </row>
    <row r="178" spans="2:9" x14ac:dyDescent="0.2">
      <c r="B178" s="157">
        <f t="shared" si="6"/>
        <v>45609</v>
      </c>
      <c r="C178" s="320">
        <v>154.41</v>
      </c>
      <c r="D178" s="320"/>
      <c r="E178" s="320">
        <v>62.61</v>
      </c>
      <c r="F178" s="320">
        <v>165</v>
      </c>
      <c r="G178" s="15">
        <f t="shared" si="7"/>
        <v>102.39</v>
      </c>
      <c r="H178" s="15">
        <f>IFERROR(IF(Yearending&gt;B177,'5. Historical demand'!F178-'5. Historical demand'!C178-'5. Historical demand'!D178,""),"")</f>
        <v>10.590000000000003</v>
      </c>
      <c r="I178" s="15">
        <f t="shared" si="8"/>
        <v>91.8</v>
      </c>
    </row>
    <row r="179" spans="2:9" x14ac:dyDescent="0.2">
      <c r="B179" s="157">
        <f t="shared" si="6"/>
        <v>45610</v>
      </c>
      <c r="C179" s="320">
        <v>154.41</v>
      </c>
      <c r="D179" s="320"/>
      <c r="E179" s="320">
        <v>61.349000000000004</v>
      </c>
      <c r="F179" s="320">
        <v>165</v>
      </c>
      <c r="G179" s="15">
        <f t="shared" si="7"/>
        <v>103.651</v>
      </c>
      <c r="H179" s="15">
        <f>IFERROR(IF(Yearending&gt;B178,'5. Historical demand'!F179-'5. Historical demand'!C179-'5. Historical demand'!D179,""),"")</f>
        <v>10.590000000000003</v>
      </c>
      <c r="I179" s="15">
        <f t="shared" si="8"/>
        <v>93.060999999999993</v>
      </c>
    </row>
    <row r="180" spans="2:9" x14ac:dyDescent="0.2">
      <c r="B180" s="157">
        <f t="shared" si="6"/>
        <v>45611</v>
      </c>
      <c r="C180" s="320">
        <v>154.41</v>
      </c>
      <c r="D180" s="320"/>
      <c r="E180" s="320">
        <v>59.353999999999999</v>
      </c>
      <c r="F180" s="320">
        <v>165</v>
      </c>
      <c r="G180" s="15">
        <f t="shared" si="7"/>
        <v>105.646</v>
      </c>
      <c r="H180" s="15">
        <f>IFERROR(IF(Yearending&gt;B179,'5. Historical demand'!F180-'5. Historical demand'!C180-'5. Historical demand'!D180,""),"")</f>
        <v>10.590000000000003</v>
      </c>
      <c r="I180" s="15">
        <f t="shared" si="8"/>
        <v>95.055999999999997</v>
      </c>
    </row>
    <row r="181" spans="2:9" x14ac:dyDescent="0.2">
      <c r="B181" s="157">
        <f t="shared" si="6"/>
        <v>45612</v>
      </c>
      <c r="C181" s="320">
        <v>154.41</v>
      </c>
      <c r="D181" s="320"/>
      <c r="E181" s="320">
        <v>58.783999999999999</v>
      </c>
      <c r="F181" s="320">
        <v>165</v>
      </c>
      <c r="G181" s="15">
        <f t="shared" si="7"/>
        <v>106.21600000000001</v>
      </c>
      <c r="H181" s="15">
        <f>IFERROR(IF(Yearending&gt;B180,'5. Historical demand'!F181-'5. Historical demand'!C181-'5. Historical demand'!D181,""),"")</f>
        <v>10.590000000000003</v>
      </c>
      <c r="I181" s="15">
        <f t="shared" si="8"/>
        <v>95.626000000000005</v>
      </c>
    </row>
    <row r="182" spans="2:9" x14ac:dyDescent="0.2">
      <c r="B182" s="157">
        <f t="shared" si="6"/>
        <v>45613</v>
      </c>
      <c r="C182" s="320">
        <v>154.41</v>
      </c>
      <c r="D182" s="320"/>
      <c r="E182" s="320">
        <v>63.331000000000003</v>
      </c>
      <c r="F182" s="320">
        <v>165</v>
      </c>
      <c r="G182" s="15">
        <f t="shared" si="7"/>
        <v>101.669</v>
      </c>
      <c r="H182" s="15">
        <f>IFERROR(IF(Yearending&gt;B181,'5. Historical demand'!F182-'5. Historical demand'!C182-'5. Historical demand'!D182,""),"")</f>
        <v>10.590000000000003</v>
      </c>
      <c r="I182" s="15">
        <f t="shared" si="8"/>
        <v>91.078999999999994</v>
      </c>
    </row>
    <row r="183" spans="2:9" x14ac:dyDescent="0.2">
      <c r="B183" s="157">
        <f t="shared" si="6"/>
        <v>45614</v>
      </c>
      <c r="C183" s="320">
        <v>154.41</v>
      </c>
      <c r="D183" s="320"/>
      <c r="E183" s="320">
        <v>66.763000000000005</v>
      </c>
      <c r="F183" s="320">
        <v>165</v>
      </c>
      <c r="G183" s="15">
        <f t="shared" si="7"/>
        <v>98.236999999999995</v>
      </c>
      <c r="H183" s="15">
        <f>IFERROR(IF(Yearending&gt;B182,'5. Historical demand'!F183-'5. Historical demand'!C183-'5. Historical demand'!D183,""),"")</f>
        <v>10.590000000000003</v>
      </c>
      <c r="I183" s="15">
        <f t="shared" si="8"/>
        <v>87.646999999999991</v>
      </c>
    </row>
    <row r="184" spans="2:9" x14ac:dyDescent="0.2">
      <c r="B184" s="157">
        <f t="shared" si="6"/>
        <v>45615</v>
      </c>
      <c r="C184" s="320">
        <v>154.41</v>
      </c>
      <c r="D184" s="320"/>
      <c r="E184" s="320">
        <v>73.927000000000007</v>
      </c>
      <c r="F184" s="320">
        <v>165</v>
      </c>
      <c r="G184" s="15">
        <f t="shared" si="7"/>
        <v>91.072999999999993</v>
      </c>
      <c r="H184" s="15">
        <f>IFERROR(IF(Yearending&gt;B183,'5. Historical demand'!F184-'5. Historical demand'!C184-'5. Historical demand'!D184,""),"")</f>
        <v>10.590000000000003</v>
      </c>
      <c r="I184" s="15">
        <f t="shared" si="8"/>
        <v>80.48299999999999</v>
      </c>
    </row>
    <row r="185" spans="2:9" x14ac:dyDescent="0.2">
      <c r="B185" s="157">
        <f t="shared" si="6"/>
        <v>45616</v>
      </c>
      <c r="C185" s="320">
        <v>154.41</v>
      </c>
      <c r="D185" s="320"/>
      <c r="E185" s="320">
        <v>63.831000000000003</v>
      </c>
      <c r="F185" s="320">
        <v>165</v>
      </c>
      <c r="G185" s="15">
        <f t="shared" si="7"/>
        <v>101.169</v>
      </c>
      <c r="H185" s="15">
        <f>IFERROR(IF(Yearending&gt;B184,'5. Historical demand'!F185-'5. Historical demand'!C185-'5. Historical demand'!D185,""),"")</f>
        <v>10.590000000000003</v>
      </c>
      <c r="I185" s="15">
        <f t="shared" si="8"/>
        <v>90.578999999999994</v>
      </c>
    </row>
    <row r="186" spans="2:9" x14ac:dyDescent="0.2">
      <c r="B186" s="157">
        <f t="shared" si="6"/>
        <v>45617</v>
      </c>
      <c r="C186" s="320">
        <v>154.41</v>
      </c>
      <c r="D186" s="320"/>
      <c r="E186" s="320">
        <v>61.59</v>
      </c>
      <c r="F186" s="320">
        <v>165</v>
      </c>
      <c r="G186" s="15">
        <f t="shared" si="7"/>
        <v>103.41</v>
      </c>
      <c r="H186" s="15">
        <f>IFERROR(IF(Yearending&gt;B185,'5. Historical demand'!F186-'5. Historical demand'!C186-'5. Historical demand'!D186,""),"")</f>
        <v>10.590000000000003</v>
      </c>
      <c r="I186" s="15">
        <f t="shared" si="8"/>
        <v>92.82</v>
      </c>
    </row>
    <row r="187" spans="2:9" x14ac:dyDescent="0.2">
      <c r="B187" s="157">
        <f t="shared" si="6"/>
        <v>45618</v>
      </c>
      <c r="C187" s="320">
        <v>154.41</v>
      </c>
      <c r="D187" s="320"/>
      <c r="E187" s="320">
        <v>40.900999999999996</v>
      </c>
      <c r="F187" s="320">
        <v>165</v>
      </c>
      <c r="G187" s="15">
        <f t="shared" si="7"/>
        <v>124.099</v>
      </c>
      <c r="H187" s="15">
        <f>IFERROR(IF(Yearending&gt;B186,'5. Historical demand'!F187-'5. Historical demand'!C187-'5. Historical demand'!D187,""),"")</f>
        <v>10.590000000000003</v>
      </c>
      <c r="I187" s="15">
        <f t="shared" si="8"/>
        <v>113.509</v>
      </c>
    </row>
    <row r="188" spans="2:9" x14ac:dyDescent="0.2">
      <c r="B188" s="157">
        <f t="shared" si="6"/>
        <v>45619</v>
      </c>
      <c r="C188" s="320">
        <v>154.41</v>
      </c>
      <c r="D188" s="320"/>
      <c r="E188" s="320">
        <v>43.314999999999998</v>
      </c>
      <c r="F188" s="320">
        <v>165</v>
      </c>
      <c r="G188" s="15">
        <f t="shared" si="7"/>
        <v>121.685</v>
      </c>
      <c r="H188" s="15">
        <f>IFERROR(IF(Yearending&gt;B187,'5. Historical demand'!F188-'5. Historical demand'!C188-'5. Historical demand'!D188,""),"")</f>
        <v>10.590000000000003</v>
      </c>
      <c r="I188" s="15">
        <f t="shared" si="8"/>
        <v>111.095</v>
      </c>
    </row>
    <row r="189" spans="2:9" x14ac:dyDescent="0.2">
      <c r="B189" s="157">
        <f t="shared" si="6"/>
        <v>45620</v>
      </c>
      <c r="C189" s="320">
        <v>154.41</v>
      </c>
      <c r="D189" s="320"/>
      <c r="E189" s="320">
        <v>46.731999999999999</v>
      </c>
      <c r="F189" s="320">
        <v>165</v>
      </c>
      <c r="G189" s="15">
        <f t="shared" si="7"/>
        <v>118.268</v>
      </c>
      <c r="H189" s="15">
        <f>IFERROR(IF(Yearending&gt;B188,'5. Historical demand'!F189-'5. Historical demand'!C189-'5. Historical demand'!D189,""),"")</f>
        <v>10.590000000000003</v>
      </c>
      <c r="I189" s="15">
        <f t="shared" si="8"/>
        <v>107.678</v>
      </c>
    </row>
    <row r="190" spans="2:9" x14ac:dyDescent="0.2">
      <c r="B190" s="157">
        <f t="shared" si="6"/>
        <v>45621</v>
      </c>
      <c r="C190" s="320">
        <v>154.41</v>
      </c>
      <c r="D190" s="320"/>
      <c r="E190" s="320">
        <v>50.646000000000001</v>
      </c>
      <c r="F190" s="320">
        <v>165</v>
      </c>
      <c r="G190" s="15">
        <f t="shared" si="7"/>
        <v>114.354</v>
      </c>
      <c r="H190" s="15">
        <f>IFERROR(IF(Yearending&gt;B189,'5. Historical demand'!F190-'5. Historical demand'!C190-'5. Historical demand'!D190,""),"")</f>
        <v>10.590000000000003</v>
      </c>
      <c r="I190" s="15">
        <f t="shared" si="8"/>
        <v>103.764</v>
      </c>
    </row>
    <row r="191" spans="2:9" x14ac:dyDescent="0.2">
      <c r="B191" s="157">
        <f t="shared" si="6"/>
        <v>45622</v>
      </c>
      <c r="C191" s="320">
        <v>154.41</v>
      </c>
      <c r="D191" s="320"/>
      <c r="E191" s="320">
        <v>63.121000000000002</v>
      </c>
      <c r="F191" s="320">
        <v>165</v>
      </c>
      <c r="G191" s="15">
        <f t="shared" si="7"/>
        <v>101.87899999999999</v>
      </c>
      <c r="H191" s="15">
        <f>IFERROR(IF(Yearending&gt;B190,'5. Historical demand'!F191-'5. Historical demand'!C191-'5. Historical demand'!D191,""),"")</f>
        <v>10.590000000000003</v>
      </c>
      <c r="I191" s="15">
        <f t="shared" si="8"/>
        <v>91.288999999999987</v>
      </c>
    </row>
    <row r="192" spans="2:9" x14ac:dyDescent="0.2">
      <c r="B192" s="157">
        <f t="shared" si="6"/>
        <v>45623</v>
      </c>
      <c r="C192" s="320">
        <v>154.41</v>
      </c>
      <c r="D192" s="320"/>
      <c r="E192" s="320">
        <v>55.149000000000001</v>
      </c>
      <c r="F192" s="320">
        <v>165</v>
      </c>
      <c r="G192" s="15">
        <f t="shared" si="7"/>
        <v>109.851</v>
      </c>
      <c r="H192" s="15">
        <f>IFERROR(IF(Yearending&gt;B191,'5. Historical demand'!F192-'5. Historical demand'!C192-'5. Historical demand'!D192,""),"")</f>
        <v>10.590000000000003</v>
      </c>
      <c r="I192" s="15">
        <f t="shared" si="8"/>
        <v>99.260999999999996</v>
      </c>
    </row>
    <row r="193" spans="2:9" x14ac:dyDescent="0.2">
      <c r="B193" s="157">
        <f t="shared" si="6"/>
        <v>45624</v>
      </c>
      <c r="C193" s="320">
        <v>154.41</v>
      </c>
      <c r="D193" s="320"/>
      <c r="E193" s="320">
        <v>56.932000000000002</v>
      </c>
      <c r="F193" s="320">
        <v>165</v>
      </c>
      <c r="G193" s="15">
        <f t="shared" si="7"/>
        <v>108.068</v>
      </c>
      <c r="H193" s="15">
        <f>IFERROR(IF(Yearending&gt;B192,'5. Historical demand'!F193-'5. Historical demand'!C193-'5. Historical demand'!D193,""),"")</f>
        <v>10.590000000000003</v>
      </c>
      <c r="I193" s="15">
        <f t="shared" si="8"/>
        <v>97.477999999999994</v>
      </c>
    </row>
    <row r="194" spans="2:9" x14ac:dyDescent="0.2">
      <c r="B194" s="157">
        <f t="shared" si="6"/>
        <v>45625</v>
      </c>
      <c r="C194" s="320">
        <v>154.41</v>
      </c>
      <c r="D194" s="320"/>
      <c r="E194" s="320">
        <v>56.69</v>
      </c>
      <c r="F194" s="320">
        <v>165</v>
      </c>
      <c r="G194" s="15">
        <f t="shared" si="7"/>
        <v>108.31</v>
      </c>
      <c r="H194" s="15">
        <f>IFERROR(IF(Yearending&gt;B193,'5. Historical demand'!F194-'5. Historical demand'!C194-'5. Historical demand'!D194,""),"")</f>
        <v>10.590000000000003</v>
      </c>
      <c r="I194" s="15">
        <f t="shared" si="8"/>
        <v>97.72</v>
      </c>
    </row>
    <row r="195" spans="2:9" x14ac:dyDescent="0.2">
      <c r="B195" s="157">
        <f t="shared" si="6"/>
        <v>45626</v>
      </c>
      <c r="C195" s="320">
        <v>154.41</v>
      </c>
      <c r="D195" s="320"/>
      <c r="E195" s="320">
        <v>54.253999999999998</v>
      </c>
      <c r="F195" s="320">
        <v>165</v>
      </c>
      <c r="G195" s="15">
        <f t="shared" si="7"/>
        <v>110.74600000000001</v>
      </c>
      <c r="H195" s="15">
        <f>IFERROR(IF(Yearending&gt;B194,'5. Historical demand'!F195-'5. Historical demand'!C195-'5. Historical demand'!D195,""),"")</f>
        <v>10.590000000000003</v>
      </c>
      <c r="I195" s="15">
        <f t="shared" si="8"/>
        <v>100.15600000000001</v>
      </c>
    </row>
    <row r="196" spans="2:9" x14ac:dyDescent="0.2">
      <c r="B196" s="157">
        <f t="shared" si="6"/>
        <v>45627</v>
      </c>
      <c r="C196" s="320">
        <v>154.41</v>
      </c>
      <c r="D196" s="320"/>
      <c r="E196" s="320">
        <v>54.41</v>
      </c>
      <c r="F196" s="320">
        <v>165</v>
      </c>
      <c r="G196" s="15">
        <f t="shared" si="7"/>
        <v>110.59</v>
      </c>
      <c r="H196" s="15">
        <f>IFERROR(IF(Yearending&gt;B195,'5. Historical demand'!F196-'5. Historical demand'!C196-'5. Historical demand'!D196,""),"")</f>
        <v>10.590000000000003</v>
      </c>
      <c r="I196" s="15">
        <f t="shared" si="8"/>
        <v>100</v>
      </c>
    </row>
    <row r="197" spans="2:9" x14ac:dyDescent="0.2">
      <c r="B197" s="157">
        <f t="shared" si="6"/>
        <v>45628</v>
      </c>
      <c r="C197" s="320">
        <v>154.41</v>
      </c>
      <c r="D197" s="320"/>
      <c r="E197" s="320">
        <v>57.012</v>
      </c>
      <c r="F197" s="320">
        <v>165</v>
      </c>
      <c r="G197" s="15">
        <f t="shared" si="7"/>
        <v>107.988</v>
      </c>
      <c r="H197" s="15">
        <f>IFERROR(IF(Yearending&gt;B196,'5. Historical demand'!F197-'5. Historical demand'!C197-'5. Historical demand'!D197,""),"")</f>
        <v>10.590000000000003</v>
      </c>
      <c r="I197" s="15">
        <f t="shared" si="8"/>
        <v>97.397999999999996</v>
      </c>
    </row>
    <row r="198" spans="2:9" x14ac:dyDescent="0.2">
      <c r="B198" s="157">
        <f t="shared" si="6"/>
        <v>45629</v>
      </c>
      <c r="C198" s="320">
        <v>154.41</v>
      </c>
      <c r="D198" s="320"/>
      <c r="E198" s="320">
        <v>53.086999999999996</v>
      </c>
      <c r="F198" s="320">
        <v>165</v>
      </c>
      <c r="G198" s="15">
        <f t="shared" si="7"/>
        <v>111.91300000000001</v>
      </c>
      <c r="H198" s="15">
        <f>IFERROR(IF(Yearending&gt;B197,'5. Historical demand'!F198-'5. Historical demand'!C198-'5. Historical demand'!D198,""),"")</f>
        <v>10.590000000000003</v>
      </c>
      <c r="I198" s="15">
        <f t="shared" si="8"/>
        <v>101.32300000000001</v>
      </c>
    </row>
    <row r="199" spans="2:9" x14ac:dyDescent="0.2">
      <c r="B199" s="157">
        <f t="shared" si="6"/>
        <v>45630</v>
      </c>
      <c r="C199" s="320">
        <v>154.41</v>
      </c>
      <c r="D199" s="320"/>
      <c r="E199" s="320">
        <v>49.995000000000005</v>
      </c>
      <c r="F199" s="320">
        <v>165</v>
      </c>
      <c r="G199" s="15">
        <f t="shared" si="7"/>
        <v>115.005</v>
      </c>
      <c r="H199" s="15">
        <f>IFERROR(IF(Yearending&gt;B198,'5. Historical demand'!F199-'5. Historical demand'!C199-'5. Historical demand'!D199,""),"")</f>
        <v>10.590000000000003</v>
      </c>
      <c r="I199" s="15">
        <f t="shared" si="8"/>
        <v>104.41499999999999</v>
      </c>
    </row>
    <row r="200" spans="2:9" x14ac:dyDescent="0.2">
      <c r="B200" s="157">
        <f t="shared" si="6"/>
        <v>45631</v>
      </c>
      <c r="C200" s="320">
        <v>154.41</v>
      </c>
      <c r="D200" s="320"/>
      <c r="E200" s="320">
        <v>52.067999999999998</v>
      </c>
      <c r="F200" s="320">
        <v>165</v>
      </c>
      <c r="G200" s="15">
        <f t="shared" si="7"/>
        <v>112.932</v>
      </c>
      <c r="H200" s="15">
        <f>IFERROR(IF(Yearending&gt;B199,'5. Historical demand'!F200-'5. Historical demand'!C200-'5. Historical demand'!D200,""),"")</f>
        <v>10.590000000000003</v>
      </c>
      <c r="I200" s="15">
        <f t="shared" si="8"/>
        <v>102.342</v>
      </c>
    </row>
    <row r="201" spans="2:9" x14ac:dyDescent="0.2">
      <c r="B201" s="157">
        <f t="shared" si="6"/>
        <v>45632</v>
      </c>
      <c r="C201" s="320">
        <v>154.41</v>
      </c>
      <c r="D201" s="320"/>
      <c r="E201" s="320">
        <v>54.467999999999996</v>
      </c>
      <c r="F201" s="320">
        <v>165</v>
      </c>
      <c r="G201" s="15">
        <f t="shared" si="7"/>
        <v>110.53200000000001</v>
      </c>
      <c r="H201" s="15">
        <f>IFERROR(IF(Yearending&gt;B200,'5. Historical demand'!F201-'5. Historical demand'!C201-'5. Historical demand'!D201,""),"")</f>
        <v>10.590000000000003</v>
      </c>
      <c r="I201" s="15">
        <f t="shared" si="8"/>
        <v>99.942000000000007</v>
      </c>
    </row>
    <row r="202" spans="2:9" x14ac:dyDescent="0.2">
      <c r="B202" s="157">
        <f t="shared" si="6"/>
        <v>45633</v>
      </c>
      <c r="C202" s="320">
        <v>154.41</v>
      </c>
      <c r="D202" s="320"/>
      <c r="E202" s="320">
        <v>61.426000000000002</v>
      </c>
      <c r="F202" s="320">
        <v>165</v>
      </c>
      <c r="G202" s="15">
        <f t="shared" si="7"/>
        <v>103.574</v>
      </c>
      <c r="H202" s="15">
        <f>IFERROR(IF(Yearending&gt;B201,'5. Historical demand'!F202-'5. Historical demand'!C202-'5. Historical demand'!D202,""),"")</f>
        <v>10.590000000000003</v>
      </c>
      <c r="I202" s="15">
        <f t="shared" si="8"/>
        <v>92.983999999999995</v>
      </c>
    </row>
    <row r="203" spans="2:9" x14ac:dyDescent="0.2">
      <c r="B203" s="157">
        <f t="shared" si="6"/>
        <v>45634</v>
      </c>
      <c r="C203" s="320">
        <v>154.41</v>
      </c>
      <c r="D203" s="320"/>
      <c r="E203" s="320">
        <v>59.046999999999997</v>
      </c>
      <c r="F203" s="320">
        <v>165</v>
      </c>
      <c r="G203" s="15">
        <f t="shared" si="7"/>
        <v>105.953</v>
      </c>
      <c r="H203" s="15">
        <f>IFERROR(IF(Yearending&gt;B202,'5. Historical demand'!F203-'5. Historical demand'!C203-'5. Historical demand'!D203,""),"")</f>
        <v>10.590000000000003</v>
      </c>
      <c r="I203" s="15">
        <f t="shared" si="8"/>
        <v>95.363</v>
      </c>
    </row>
    <row r="204" spans="2:9" x14ac:dyDescent="0.2">
      <c r="B204" s="157">
        <f t="shared" si="6"/>
        <v>45635</v>
      </c>
      <c r="C204" s="320">
        <v>154.41</v>
      </c>
      <c r="D204" s="320"/>
      <c r="E204" s="320">
        <v>53.014000000000003</v>
      </c>
      <c r="F204" s="320">
        <v>165</v>
      </c>
      <c r="G204" s="15">
        <f t="shared" si="7"/>
        <v>111.98599999999999</v>
      </c>
      <c r="H204" s="15">
        <f>IFERROR(IF(Yearending&gt;B203,'5. Historical demand'!F204-'5. Historical demand'!C204-'5. Historical demand'!D204,""),"")</f>
        <v>10.590000000000003</v>
      </c>
      <c r="I204" s="15">
        <f t="shared" si="8"/>
        <v>101.39599999999999</v>
      </c>
    </row>
    <row r="205" spans="2:9" x14ac:dyDescent="0.2">
      <c r="B205" s="157">
        <f t="shared" si="6"/>
        <v>45636</v>
      </c>
      <c r="C205" s="320">
        <v>154.41</v>
      </c>
      <c r="D205" s="320"/>
      <c r="E205" s="320">
        <v>50.855999999999995</v>
      </c>
      <c r="F205" s="320">
        <v>165</v>
      </c>
      <c r="G205" s="15">
        <f t="shared" si="7"/>
        <v>114.14400000000001</v>
      </c>
      <c r="H205" s="15">
        <f>IFERROR(IF(Yearending&gt;B204,'5. Historical demand'!F205-'5. Historical demand'!C205-'5. Historical demand'!D205,""),"")</f>
        <v>10.590000000000003</v>
      </c>
      <c r="I205" s="15">
        <f t="shared" si="8"/>
        <v>103.554</v>
      </c>
    </row>
    <row r="206" spans="2:9" x14ac:dyDescent="0.2">
      <c r="B206" s="157">
        <f t="shared" si="6"/>
        <v>45637</v>
      </c>
      <c r="C206" s="320">
        <v>154.41</v>
      </c>
      <c r="D206" s="320"/>
      <c r="E206" s="320">
        <v>54.352999999999994</v>
      </c>
      <c r="F206" s="320">
        <v>165</v>
      </c>
      <c r="G206" s="15">
        <f t="shared" si="7"/>
        <v>110.64700000000001</v>
      </c>
      <c r="H206" s="15">
        <f>IFERROR(IF(Yearending&gt;B205,'5. Historical demand'!F206-'5. Historical demand'!C206-'5. Historical demand'!D206,""),"")</f>
        <v>10.590000000000003</v>
      </c>
      <c r="I206" s="15">
        <f t="shared" si="8"/>
        <v>100.057</v>
      </c>
    </row>
    <row r="207" spans="2:9" x14ac:dyDescent="0.2">
      <c r="B207" s="157">
        <f t="shared" si="6"/>
        <v>45638</v>
      </c>
      <c r="C207" s="320">
        <v>154.41</v>
      </c>
      <c r="D207" s="320"/>
      <c r="E207" s="320">
        <v>55.95</v>
      </c>
      <c r="F207" s="320">
        <v>165</v>
      </c>
      <c r="G207" s="15">
        <f t="shared" si="7"/>
        <v>109.05</v>
      </c>
      <c r="H207" s="15">
        <f>IFERROR(IF(Yearending&gt;B206,'5. Historical demand'!F207-'5. Historical demand'!C207-'5. Historical demand'!D207,""),"")</f>
        <v>10.590000000000003</v>
      </c>
      <c r="I207" s="15">
        <f t="shared" si="8"/>
        <v>98.46</v>
      </c>
    </row>
    <row r="208" spans="2:9" x14ac:dyDescent="0.2">
      <c r="B208" s="157">
        <f t="shared" si="6"/>
        <v>45639</v>
      </c>
      <c r="C208" s="320">
        <v>154.41</v>
      </c>
      <c r="D208" s="320"/>
      <c r="E208" s="320">
        <v>60.447000000000003</v>
      </c>
      <c r="F208" s="320">
        <v>165</v>
      </c>
      <c r="G208" s="15">
        <f t="shared" si="7"/>
        <v>104.553</v>
      </c>
      <c r="H208" s="15">
        <f>IFERROR(IF(Yearending&gt;B207,'5. Historical demand'!F208-'5. Historical demand'!C208-'5. Historical demand'!D208,""),"")</f>
        <v>10.590000000000003</v>
      </c>
      <c r="I208" s="15">
        <f t="shared" si="8"/>
        <v>93.962999999999994</v>
      </c>
    </row>
    <row r="209" spans="2:9" x14ac:dyDescent="0.2">
      <c r="B209" s="157">
        <f t="shared" si="6"/>
        <v>45640</v>
      </c>
      <c r="C209" s="320">
        <v>154.41</v>
      </c>
      <c r="D209" s="320"/>
      <c r="E209" s="320">
        <v>57.916000000000004</v>
      </c>
      <c r="F209" s="320">
        <v>165</v>
      </c>
      <c r="G209" s="15">
        <f t="shared" si="7"/>
        <v>107.084</v>
      </c>
      <c r="H209" s="15">
        <f>IFERROR(IF(Yearending&gt;B208,'5. Historical demand'!F209-'5. Historical demand'!C209-'5. Historical demand'!D209,""),"")</f>
        <v>10.590000000000003</v>
      </c>
      <c r="I209" s="15">
        <f t="shared" si="8"/>
        <v>96.494</v>
      </c>
    </row>
    <row r="210" spans="2:9" x14ac:dyDescent="0.2">
      <c r="B210" s="157">
        <f t="shared" si="6"/>
        <v>45641</v>
      </c>
      <c r="C210" s="320">
        <v>154.41</v>
      </c>
      <c r="D210" s="320"/>
      <c r="E210" s="320">
        <v>55.760999999999996</v>
      </c>
      <c r="F210" s="320">
        <v>165</v>
      </c>
      <c r="G210" s="15">
        <f t="shared" si="7"/>
        <v>109.239</v>
      </c>
      <c r="H210" s="15">
        <f>IFERROR(IF(Yearending&gt;B209,'5. Historical demand'!F210-'5. Historical demand'!C210-'5. Historical demand'!D210,""),"")</f>
        <v>10.590000000000003</v>
      </c>
      <c r="I210" s="15">
        <f t="shared" si="8"/>
        <v>98.649000000000001</v>
      </c>
    </row>
    <row r="211" spans="2:9" x14ac:dyDescent="0.2">
      <c r="B211" s="157">
        <f t="shared" si="6"/>
        <v>45642</v>
      </c>
      <c r="C211" s="320">
        <v>154.41</v>
      </c>
      <c r="D211" s="320"/>
      <c r="E211" s="320">
        <v>59.207000000000001</v>
      </c>
      <c r="F211" s="320">
        <v>165</v>
      </c>
      <c r="G211" s="15">
        <f t="shared" si="7"/>
        <v>105.79300000000001</v>
      </c>
      <c r="H211" s="15">
        <f>IFERROR(IF(Yearending&gt;B210,'5. Historical demand'!F211-'5. Historical demand'!C211-'5. Historical demand'!D211,""),"")</f>
        <v>10.590000000000003</v>
      </c>
      <c r="I211" s="15">
        <f t="shared" si="8"/>
        <v>95.203000000000003</v>
      </c>
    </row>
    <row r="212" spans="2:9" x14ac:dyDescent="0.2">
      <c r="B212" s="157">
        <f t="shared" si="6"/>
        <v>45643</v>
      </c>
      <c r="C212" s="320">
        <v>154.41</v>
      </c>
      <c r="D212" s="320"/>
      <c r="E212" s="320">
        <v>63.147999999999996</v>
      </c>
      <c r="F212" s="320">
        <v>165</v>
      </c>
      <c r="G212" s="15">
        <f t="shared" si="7"/>
        <v>101.852</v>
      </c>
      <c r="H212" s="15">
        <f>IFERROR(IF(Yearending&gt;B211,'5. Historical demand'!F212-'5. Historical demand'!C212-'5. Historical demand'!D212,""),"")</f>
        <v>10.590000000000003</v>
      </c>
      <c r="I212" s="15">
        <f t="shared" si="8"/>
        <v>91.262</v>
      </c>
    </row>
    <row r="213" spans="2:9" x14ac:dyDescent="0.2">
      <c r="B213" s="157">
        <f t="shared" si="6"/>
        <v>45644</v>
      </c>
      <c r="C213" s="320">
        <v>154.41</v>
      </c>
      <c r="D213" s="320"/>
      <c r="E213" s="320">
        <v>58.510999999999996</v>
      </c>
      <c r="F213" s="320">
        <v>165</v>
      </c>
      <c r="G213" s="15">
        <f t="shared" si="7"/>
        <v>106.489</v>
      </c>
      <c r="H213" s="15">
        <f>IFERROR(IF(Yearending&gt;B212,'5. Historical demand'!F213-'5. Historical demand'!C213-'5. Historical demand'!D213,""),"")</f>
        <v>10.590000000000003</v>
      </c>
      <c r="I213" s="15">
        <f t="shared" si="8"/>
        <v>95.899000000000001</v>
      </c>
    </row>
    <row r="214" spans="2:9" x14ac:dyDescent="0.2">
      <c r="B214" s="157">
        <f t="shared" si="6"/>
        <v>45645</v>
      </c>
      <c r="C214" s="320">
        <v>154.41</v>
      </c>
      <c r="D214" s="320"/>
      <c r="E214" s="320">
        <v>65.483999999999995</v>
      </c>
      <c r="F214" s="320">
        <v>165</v>
      </c>
      <c r="G214" s="15">
        <f t="shared" si="7"/>
        <v>99.516000000000005</v>
      </c>
      <c r="H214" s="15">
        <f>IFERROR(IF(Yearending&gt;B213,'5. Historical demand'!F214-'5. Historical demand'!C214-'5. Historical demand'!D214,""),"")</f>
        <v>10.590000000000003</v>
      </c>
      <c r="I214" s="15">
        <f t="shared" si="8"/>
        <v>88.926000000000002</v>
      </c>
    </row>
    <row r="215" spans="2:9" x14ac:dyDescent="0.2">
      <c r="B215" s="157">
        <f t="shared" si="6"/>
        <v>45646</v>
      </c>
      <c r="C215" s="320">
        <v>154.41</v>
      </c>
      <c r="D215" s="320"/>
      <c r="E215" s="320">
        <v>63.320999999999998</v>
      </c>
      <c r="F215" s="320">
        <v>165</v>
      </c>
      <c r="G215" s="15">
        <f t="shared" si="7"/>
        <v>101.679</v>
      </c>
      <c r="H215" s="15">
        <f>IFERROR(IF(Yearending&gt;B214,'5. Historical demand'!F215-'5. Historical demand'!C215-'5. Historical demand'!D215,""),"")</f>
        <v>10.590000000000003</v>
      </c>
      <c r="I215" s="15">
        <f t="shared" si="8"/>
        <v>91.088999999999999</v>
      </c>
    </row>
    <row r="216" spans="2:9" x14ac:dyDescent="0.2">
      <c r="B216" s="157">
        <f t="shared" si="6"/>
        <v>45647</v>
      </c>
      <c r="C216" s="320">
        <v>154.41</v>
      </c>
      <c r="D216" s="320"/>
      <c r="E216" s="320">
        <v>65.147000000000006</v>
      </c>
      <c r="F216" s="320">
        <v>165</v>
      </c>
      <c r="G216" s="15">
        <f t="shared" si="7"/>
        <v>99.852999999999994</v>
      </c>
      <c r="H216" s="15">
        <f>IFERROR(IF(Yearending&gt;B215,'5. Historical demand'!F216-'5. Historical demand'!C216-'5. Historical demand'!D216,""),"")</f>
        <v>10.590000000000003</v>
      </c>
      <c r="I216" s="15">
        <f t="shared" si="8"/>
        <v>89.262999999999991</v>
      </c>
    </row>
    <row r="217" spans="2:9" x14ac:dyDescent="0.2">
      <c r="B217" s="157">
        <f t="shared" si="6"/>
        <v>45648</v>
      </c>
      <c r="C217" s="320">
        <v>154.41</v>
      </c>
      <c r="D217" s="320"/>
      <c r="E217" s="320">
        <v>66.096999999999994</v>
      </c>
      <c r="F217" s="320">
        <v>165</v>
      </c>
      <c r="G217" s="15">
        <f t="shared" si="7"/>
        <v>98.903000000000006</v>
      </c>
      <c r="H217" s="15">
        <f>IFERROR(IF(Yearending&gt;B216,'5. Historical demand'!F217-'5. Historical demand'!C217-'5. Historical demand'!D217,""),"")</f>
        <v>10.590000000000003</v>
      </c>
      <c r="I217" s="15">
        <f t="shared" si="8"/>
        <v>88.313000000000002</v>
      </c>
    </row>
    <row r="218" spans="2:9" x14ac:dyDescent="0.2">
      <c r="B218" s="157">
        <f t="shared" si="6"/>
        <v>45649</v>
      </c>
      <c r="C218" s="320">
        <v>154.41</v>
      </c>
      <c r="D218" s="320"/>
      <c r="E218" s="320">
        <v>62.197999999999993</v>
      </c>
      <c r="F218" s="320">
        <v>165</v>
      </c>
      <c r="G218" s="15">
        <f t="shared" si="7"/>
        <v>102.80200000000001</v>
      </c>
      <c r="H218" s="15">
        <f>IFERROR(IF(Yearending&gt;B217,'5. Historical demand'!F218-'5. Historical demand'!C218-'5. Historical demand'!D218,""),"")</f>
        <v>10.590000000000003</v>
      </c>
      <c r="I218" s="15">
        <f t="shared" si="8"/>
        <v>92.212000000000003</v>
      </c>
    </row>
    <row r="219" spans="2:9" x14ac:dyDescent="0.2">
      <c r="B219" s="157">
        <f t="shared" si="6"/>
        <v>45650</v>
      </c>
      <c r="C219" s="320">
        <v>154.41</v>
      </c>
      <c r="D219" s="320"/>
      <c r="E219" s="320">
        <v>63.978999999999999</v>
      </c>
      <c r="F219" s="320">
        <v>165</v>
      </c>
      <c r="G219" s="15">
        <f t="shared" si="7"/>
        <v>101.021</v>
      </c>
      <c r="H219" s="15">
        <f>IFERROR(IF(Yearending&gt;B218,'5. Historical demand'!F219-'5. Historical demand'!C219-'5. Historical demand'!D219,""),"")</f>
        <v>10.590000000000003</v>
      </c>
      <c r="I219" s="15">
        <f t="shared" si="8"/>
        <v>90.430999999999997</v>
      </c>
    </row>
    <row r="220" spans="2:9" x14ac:dyDescent="0.2">
      <c r="B220" s="157">
        <f t="shared" si="6"/>
        <v>45651</v>
      </c>
      <c r="C220" s="320">
        <v>154.41</v>
      </c>
      <c r="D220" s="320"/>
      <c r="E220" s="320">
        <v>65.073999999999998</v>
      </c>
      <c r="F220" s="320">
        <v>165</v>
      </c>
      <c r="G220" s="15">
        <f t="shared" si="7"/>
        <v>99.926000000000002</v>
      </c>
      <c r="H220" s="15">
        <f>IFERROR(IF(Yearending&gt;B219,'5. Historical demand'!F220-'5. Historical demand'!C220-'5. Historical demand'!D220,""),"")</f>
        <v>10.590000000000003</v>
      </c>
      <c r="I220" s="15">
        <f t="shared" si="8"/>
        <v>89.335999999999999</v>
      </c>
    </row>
    <row r="221" spans="2:9" x14ac:dyDescent="0.2">
      <c r="B221" s="157">
        <f t="shared" si="6"/>
        <v>45652</v>
      </c>
      <c r="C221" s="320">
        <v>154.41</v>
      </c>
      <c r="D221" s="320"/>
      <c r="E221" s="320">
        <v>62.272000000000006</v>
      </c>
      <c r="F221" s="320">
        <v>165</v>
      </c>
      <c r="G221" s="15">
        <f t="shared" si="7"/>
        <v>102.72799999999999</v>
      </c>
      <c r="H221" s="15">
        <f>IFERROR(IF(Yearending&gt;B220,'5. Historical demand'!F221-'5. Historical demand'!C221-'5. Historical demand'!D221,""),"")</f>
        <v>10.590000000000003</v>
      </c>
      <c r="I221" s="15">
        <f t="shared" si="8"/>
        <v>92.137999999999991</v>
      </c>
    </row>
    <row r="222" spans="2:9" x14ac:dyDescent="0.2">
      <c r="B222" s="157">
        <f t="shared" si="6"/>
        <v>45653</v>
      </c>
      <c r="C222" s="320">
        <v>154.41</v>
      </c>
      <c r="D222" s="320"/>
      <c r="E222" s="320">
        <v>60.154000000000003</v>
      </c>
      <c r="F222" s="320">
        <v>165</v>
      </c>
      <c r="G222" s="15">
        <f t="shared" si="7"/>
        <v>104.846</v>
      </c>
      <c r="H222" s="15">
        <f>IFERROR(IF(Yearending&gt;B221,'5. Historical demand'!F222-'5. Historical demand'!C222-'5. Historical demand'!D222,""),"")</f>
        <v>10.590000000000003</v>
      </c>
      <c r="I222" s="15">
        <f t="shared" si="8"/>
        <v>94.256</v>
      </c>
    </row>
    <row r="223" spans="2:9" x14ac:dyDescent="0.2">
      <c r="B223" s="157">
        <f t="shared" si="6"/>
        <v>45654</v>
      </c>
      <c r="C223" s="320">
        <v>154.41</v>
      </c>
      <c r="D223" s="320"/>
      <c r="E223" s="320">
        <v>54.594000000000001</v>
      </c>
      <c r="F223" s="320">
        <v>165</v>
      </c>
      <c r="G223" s="15">
        <f t="shared" si="7"/>
        <v>110.40600000000001</v>
      </c>
      <c r="H223" s="15">
        <f>IFERROR(IF(Yearending&gt;B222,'5. Historical demand'!F223-'5. Historical demand'!C223-'5. Historical demand'!D223,""),"")</f>
        <v>10.590000000000003</v>
      </c>
      <c r="I223" s="15">
        <f t="shared" si="8"/>
        <v>99.816000000000003</v>
      </c>
    </row>
    <row r="224" spans="2:9" x14ac:dyDescent="0.2">
      <c r="B224" s="157">
        <f t="shared" si="6"/>
        <v>45655</v>
      </c>
      <c r="C224" s="320">
        <v>154.41</v>
      </c>
      <c r="D224" s="320"/>
      <c r="E224" s="320">
        <v>48.802999999999997</v>
      </c>
      <c r="F224" s="320">
        <v>165</v>
      </c>
      <c r="G224" s="15">
        <f t="shared" si="7"/>
        <v>116.197</v>
      </c>
      <c r="H224" s="15">
        <f>IFERROR(IF(Yearending&gt;B223,'5. Historical demand'!F224-'5. Historical demand'!C224-'5. Historical demand'!D224,""),"")</f>
        <v>10.590000000000003</v>
      </c>
      <c r="I224" s="15">
        <f t="shared" si="8"/>
        <v>105.607</v>
      </c>
    </row>
    <row r="225" spans="2:9" x14ac:dyDescent="0.2">
      <c r="B225" s="157">
        <f t="shared" si="6"/>
        <v>45656</v>
      </c>
      <c r="C225" s="320">
        <v>154.41</v>
      </c>
      <c r="D225" s="320"/>
      <c r="E225" s="320">
        <v>49.488</v>
      </c>
      <c r="F225" s="320">
        <v>165</v>
      </c>
      <c r="G225" s="15">
        <f t="shared" si="7"/>
        <v>115.512</v>
      </c>
      <c r="H225" s="15">
        <f>IFERROR(IF(Yearending&gt;B224,'5. Historical demand'!F225-'5. Historical demand'!C225-'5. Historical demand'!D225,""),"")</f>
        <v>10.590000000000003</v>
      </c>
      <c r="I225" s="15">
        <f t="shared" si="8"/>
        <v>104.922</v>
      </c>
    </row>
    <row r="226" spans="2:9" x14ac:dyDescent="0.2">
      <c r="B226" s="157">
        <f t="shared" si="6"/>
        <v>45657</v>
      </c>
      <c r="C226" s="320">
        <v>154.41</v>
      </c>
      <c r="D226" s="320"/>
      <c r="E226" s="320">
        <v>45.68</v>
      </c>
      <c r="F226" s="320">
        <v>165</v>
      </c>
      <c r="G226" s="15">
        <f t="shared" si="7"/>
        <v>119.32</v>
      </c>
      <c r="H226" s="15">
        <f>IFERROR(IF(Yearending&gt;B225,'5. Historical demand'!F226-'5. Historical demand'!C226-'5. Historical demand'!D226,""),"")</f>
        <v>10.590000000000003</v>
      </c>
      <c r="I226" s="15">
        <f t="shared" si="8"/>
        <v>108.72999999999999</v>
      </c>
    </row>
    <row r="227" spans="2:9" x14ac:dyDescent="0.2">
      <c r="B227" s="157">
        <f t="shared" si="6"/>
        <v>45658</v>
      </c>
      <c r="C227" s="320">
        <v>145</v>
      </c>
      <c r="D227" s="320"/>
      <c r="E227" s="320">
        <v>44.817</v>
      </c>
      <c r="F227" s="320">
        <v>165</v>
      </c>
      <c r="G227" s="15">
        <f t="shared" si="7"/>
        <v>120.18299999999999</v>
      </c>
      <c r="H227" s="15">
        <f>IFERROR(IF(Yearending&gt;B226,'5. Historical demand'!F227-'5. Historical demand'!C227-'5. Historical demand'!D227,""),"")</f>
        <v>20</v>
      </c>
      <c r="I227" s="15">
        <f t="shared" si="8"/>
        <v>100.18299999999999</v>
      </c>
    </row>
    <row r="228" spans="2:9" x14ac:dyDescent="0.2">
      <c r="B228" s="157">
        <f t="shared" si="6"/>
        <v>45659</v>
      </c>
      <c r="C228" s="320">
        <v>145</v>
      </c>
      <c r="D228" s="320"/>
      <c r="E228" s="320">
        <v>38.361000000000004</v>
      </c>
      <c r="F228" s="320">
        <v>165</v>
      </c>
      <c r="G228" s="15">
        <f t="shared" si="7"/>
        <v>126.639</v>
      </c>
      <c r="H228" s="15">
        <f>IFERROR(IF(Yearending&gt;B227,'5. Historical demand'!F228-'5. Historical demand'!C228-'5. Historical demand'!D228,""),"")</f>
        <v>20</v>
      </c>
      <c r="I228" s="15">
        <f t="shared" si="8"/>
        <v>106.639</v>
      </c>
    </row>
    <row r="229" spans="2:9" x14ac:dyDescent="0.2">
      <c r="B229" s="157">
        <f t="shared" si="6"/>
        <v>45660</v>
      </c>
      <c r="C229" s="320">
        <v>145</v>
      </c>
      <c r="D229" s="320"/>
      <c r="E229" s="320">
        <v>37.264000000000003</v>
      </c>
      <c r="F229" s="320">
        <v>165</v>
      </c>
      <c r="G229" s="15">
        <f t="shared" si="7"/>
        <v>127.73599999999999</v>
      </c>
      <c r="H229" s="15">
        <f>IFERROR(IF(Yearending&gt;B228,'5. Historical demand'!F229-'5. Historical demand'!C229-'5. Historical demand'!D229,""),"")</f>
        <v>20</v>
      </c>
      <c r="I229" s="15">
        <f t="shared" si="8"/>
        <v>107.73599999999999</v>
      </c>
    </row>
    <row r="230" spans="2:9" x14ac:dyDescent="0.2">
      <c r="B230" s="157">
        <f t="shared" si="6"/>
        <v>45661</v>
      </c>
      <c r="C230" s="320">
        <v>145</v>
      </c>
      <c r="D230" s="320"/>
      <c r="E230" s="320">
        <v>37.835999999999999</v>
      </c>
      <c r="F230" s="320">
        <v>165</v>
      </c>
      <c r="G230" s="15">
        <f t="shared" si="7"/>
        <v>127.164</v>
      </c>
      <c r="H230" s="15">
        <f>IFERROR(IF(Yearending&gt;B229,'5. Historical demand'!F230-'5. Historical demand'!C230-'5. Historical demand'!D230,""),"")</f>
        <v>20</v>
      </c>
      <c r="I230" s="15">
        <f t="shared" si="8"/>
        <v>107.164</v>
      </c>
    </row>
    <row r="231" spans="2:9" x14ac:dyDescent="0.2">
      <c r="B231" s="157">
        <f t="shared" si="6"/>
        <v>45662</v>
      </c>
      <c r="C231" s="320">
        <v>145</v>
      </c>
      <c r="D231" s="320"/>
      <c r="E231" s="320">
        <v>39.972999999999999</v>
      </c>
      <c r="F231" s="320">
        <v>165</v>
      </c>
      <c r="G231" s="15">
        <f t="shared" si="7"/>
        <v>125.027</v>
      </c>
      <c r="H231" s="15">
        <f>IFERROR(IF(Yearending&gt;B230,'5. Historical demand'!F231-'5. Historical demand'!C231-'5. Historical demand'!D231,""),"")</f>
        <v>20</v>
      </c>
      <c r="I231" s="15">
        <f t="shared" si="8"/>
        <v>105.027</v>
      </c>
    </row>
    <row r="232" spans="2:9" x14ac:dyDescent="0.2">
      <c r="B232" s="157">
        <f t="shared" si="6"/>
        <v>45663</v>
      </c>
      <c r="C232" s="320">
        <v>145</v>
      </c>
      <c r="D232" s="320"/>
      <c r="E232" s="320">
        <v>45.199999999999996</v>
      </c>
      <c r="F232" s="320">
        <v>165</v>
      </c>
      <c r="G232" s="15">
        <f t="shared" si="7"/>
        <v>119.80000000000001</v>
      </c>
      <c r="H232" s="15">
        <f>IFERROR(IF(Yearending&gt;B231,'5. Historical demand'!F232-'5. Historical demand'!C232-'5. Historical demand'!D232,""),"")</f>
        <v>20</v>
      </c>
      <c r="I232" s="15">
        <f t="shared" si="8"/>
        <v>99.800000000000011</v>
      </c>
    </row>
    <row r="233" spans="2:9" x14ac:dyDescent="0.2">
      <c r="B233" s="157">
        <f t="shared" si="6"/>
        <v>45664</v>
      </c>
      <c r="C233" s="320">
        <v>145</v>
      </c>
      <c r="D233" s="320"/>
      <c r="E233" s="320">
        <v>49.566999999999993</v>
      </c>
      <c r="F233" s="320">
        <v>165</v>
      </c>
      <c r="G233" s="15">
        <f t="shared" si="7"/>
        <v>115.43300000000001</v>
      </c>
      <c r="H233" s="15">
        <f>IFERROR(IF(Yearending&gt;B232,'5. Historical demand'!F233-'5. Historical demand'!C233-'5. Historical demand'!D233,""),"")</f>
        <v>20</v>
      </c>
      <c r="I233" s="15">
        <f t="shared" si="8"/>
        <v>95.433000000000007</v>
      </c>
    </row>
    <row r="234" spans="2:9" x14ac:dyDescent="0.2">
      <c r="B234" s="157">
        <f t="shared" si="6"/>
        <v>45665</v>
      </c>
      <c r="C234" s="320">
        <v>145</v>
      </c>
      <c r="D234" s="320"/>
      <c r="E234" s="320">
        <v>51.471000000000004</v>
      </c>
      <c r="F234" s="320">
        <v>165</v>
      </c>
      <c r="G234" s="15">
        <f t="shared" si="7"/>
        <v>113.529</v>
      </c>
      <c r="H234" s="15">
        <f>IFERROR(IF(Yearending&gt;B233,'5. Historical demand'!F234-'5. Historical demand'!C234-'5. Historical demand'!D234,""),"")</f>
        <v>20</v>
      </c>
      <c r="I234" s="15">
        <f t="shared" si="8"/>
        <v>93.528999999999996</v>
      </c>
    </row>
    <row r="235" spans="2:9" x14ac:dyDescent="0.2">
      <c r="B235" s="157">
        <f t="shared" si="6"/>
        <v>45666</v>
      </c>
      <c r="C235" s="320">
        <v>145</v>
      </c>
      <c r="D235" s="320"/>
      <c r="E235" s="320">
        <v>49.623999999999995</v>
      </c>
      <c r="F235" s="320">
        <v>165</v>
      </c>
      <c r="G235" s="15">
        <f t="shared" si="7"/>
        <v>115.376</v>
      </c>
      <c r="H235" s="15">
        <f>IFERROR(IF(Yearending&gt;B234,'5. Historical demand'!F235-'5. Historical demand'!C235-'5. Historical demand'!D235,""),"")</f>
        <v>20</v>
      </c>
      <c r="I235" s="15">
        <f t="shared" si="8"/>
        <v>95.376000000000005</v>
      </c>
    </row>
    <row r="236" spans="2:9" x14ac:dyDescent="0.2">
      <c r="B236" s="157">
        <f t="shared" ref="B236:B299" si="9">IFERROR(IF(Yearending&gt;B235, B235+1, ""),"")</f>
        <v>45667</v>
      </c>
      <c r="C236" s="320">
        <v>145</v>
      </c>
      <c r="D236" s="320"/>
      <c r="E236" s="320">
        <v>47.841000000000001</v>
      </c>
      <c r="F236" s="320">
        <v>165</v>
      </c>
      <c r="G236" s="15">
        <f t="shared" ref="G236:G299" si="10">IFERROR(IF(Yearending&gt;B235,F236-E236,""),"")</f>
        <v>117.15899999999999</v>
      </c>
      <c r="H236" s="15">
        <f>IFERROR(IF(Yearending&gt;B235,'5. Historical demand'!F236-'5. Historical demand'!C236-'5. Historical demand'!D236,""),"")</f>
        <v>20</v>
      </c>
      <c r="I236" s="15">
        <f t="shared" ref="I236:I299" si="11">IFERROR(IF(Yearending&gt;B235,C236+D236-E236,""),"")</f>
        <v>97.158999999999992</v>
      </c>
    </row>
    <row r="237" spans="2:9" x14ac:dyDescent="0.2">
      <c r="B237" s="157">
        <f t="shared" si="9"/>
        <v>45668</v>
      </c>
      <c r="C237" s="320">
        <v>145</v>
      </c>
      <c r="D237" s="320"/>
      <c r="E237" s="320">
        <v>44.201000000000001</v>
      </c>
      <c r="F237" s="320">
        <v>165</v>
      </c>
      <c r="G237" s="15">
        <f t="shared" si="10"/>
        <v>120.79900000000001</v>
      </c>
      <c r="H237" s="15">
        <f>IFERROR(IF(Yearending&gt;B236,'5. Historical demand'!F237-'5. Historical demand'!C237-'5. Historical demand'!D237,""),"")</f>
        <v>20</v>
      </c>
      <c r="I237" s="15">
        <f t="shared" si="11"/>
        <v>100.79900000000001</v>
      </c>
    </row>
    <row r="238" spans="2:9" x14ac:dyDescent="0.2">
      <c r="B238" s="157">
        <f t="shared" si="9"/>
        <v>45669</v>
      </c>
      <c r="C238" s="320">
        <v>145</v>
      </c>
      <c r="D238" s="320"/>
      <c r="E238" s="320">
        <v>49.825000000000003</v>
      </c>
      <c r="F238" s="320">
        <v>165</v>
      </c>
      <c r="G238" s="15">
        <f t="shared" si="10"/>
        <v>115.175</v>
      </c>
      <c r="H238" s="15">
        <f>IFERROR(IF(Yearending&gt;B237,'5. Historical demand'!F238-'5. Historical demand'!C238-'5. Historical demand'!D238,""),"")</f>
        <v>20</v>
      </c>
      <c r="I238" s="15">
        <f t="shared" si="11"/>
        <v>95.174999999999997</v>
      </c>
    </row>
    <row r="239" spans="2:9" x14ac:dyDescent="0.2">
      <c r="B239" s="157">
        <f t="shared" si="9"/>
        <v>45670</v>
      </c>
      <c r="C239" s="320">
        <v>145</v>
      </c>
      <c r="D239" s="320"/>
      <c r="E239" s="320">
        <v>51.996000000000002</v>
      </c>
      <c r="F239" s="320">
        <v>165</v>
      </c>
      <c r="G239" s="15">
        <f t="shared" si="10"/>
        <v>113.00399999999999</v>
      </c>
      <c r="H239" s="15">
        <f>IFERROR(IF(Yearending&gt;B238,'5. Historical demand'!F239-'5. Historical demand'!C239-'5. Historical demand'!D239,""),"")</f>
        <v>20</v>
      </c>
      <c r="I239" s="15">
        <f t="shared" si="11"/>
        <v>93.003999999999991</v>
      </c>
    </row>
    <row r="240" spans="2:9" x14ac:dyDescent="0.2">
      <c r="B240" s="157">
        <f t="shared" si="9"/>
        <v>45671</v>
      </c>
      <c r="C240" s="320">
        <v>145</v>
      </c>
      <c r="D240" s="320"/>
      <c r="E240" s="320">
        <v>53.623999999999995</v>
      </c>
      <c r="F240" s="320">
        <v>165</v>
      </c>
      <c r="G240" s="15">
        <f t="shared" si="10"/>
        <v>111.376</v>
      </c>
      <c r="H240" s="15">
        <f>IFERROR(IF(Yearending&gt;B239,'5. Historical demand'!F240-'5. Historical demand'!C240-'5. Historical demand'!D240,""),"")</f>
        <v>20</v>
      </c>
      <c r="I240" s="15">
        <f t="shared" si="11"/>
        <v>91.376000000000005</v>
      </c>
    </row>
    <row r="241" spans="2:9" x14ac:dyDescent="0.2">
      <c r="B241" s="157">
        <f t="shared" si="9"/>
        <v>45672</v>
      </c>
      <c r="C241" s="320">
        <v>145</v>
      </c>
      <c r="D241" s="320"/>
      <c r="E241" s="320">
        <v>61.075000000000003</v>
      </c>
      <c r="F241" s="320">
        <v>165</v>
      </c>
      <c r="G241" s="15">
        <f t="shared" si="10"/>
        <v>103.925</v>
      </c>
      <c r="H241" s="15">
        <f>IFERROR(IF(Yearending&gt;B240,'5. Historical demand'!F241-'5. Historical demand'!C241-'5. Historical demand'!D241,""),"")</f>
        <v>20</v>
      </c>
      <c r="I241" s="15">
        <f t="shared" si="11"/>
        <v>83.924999999999997</v>
      </c>
    </row>
    <row r="242" spans="2:9" x14ac:dyDescent="0.2">
      <c r="B242" s="157">
        <f t="shared" si="9"/>
        <v>45673</v>
      </c>
      <c r="C242" s="320">
        <v>145</v>
      </c>
      <c r="D242" s="320"/>
      <c r="E242" s="320">
        <v>66.545000000000002</v>
      </c>
      <c r="F242" s="320">
        <v>165</v>
      </c>
      <c r="G242" s="15">
        <f t="shared" si="10"/>
        <v>98.454999999999998</v>
      </c>
      <c r="H242" s="15">
        <f>IFERROR(IF(Yearending&gt;B241,'5. Historical demand'!F242-'5. Historical demand'!C242-'5. Historical demand'!D242,""),"")</f>
        <v>20</v>
      </c>
      <c r="I242" s="15">
        <f t="shared" si="11"/>
        <v>78.454999999999998</v>
      </c>
    </row>
    <row r="243" spans="2:9" x14ac:dyDescent="0.2">
      <c r="B243" s="157">
        <f t="shared" si="9"/>
        <v>45674</v>
      </c>
      <c r="C243" s="320">
        <v>145</v>
      </c>
      <c r="D243" s="320"/>
      <c r="E243" s="320">
        <v>66.960999999999999</v>
      </c>
      <c r="F243" s="320">
        <v>165</v>
      </c>
      <c r="G243" s="15">
        <f t="shared" si="10"/>
        <v>98.039000000000001</v>
      </c>
      <c r="H243" s="15">
        <f>IFERROR(IF(Yearending&gt;B242,'5. Historical demand'!F243-'5. Historical demand'!C243-'5. Historical demand'!D243,""),"")</f>
        <v>20</v>
      </c>
      <c r="I243" s="15">
        <f t="shared" si="11"/>
        <v>78.039000000000001</v>
      </c>
    </row>
    <row r="244" spans="2:9" x14ac:dyDescent="0.2">
      <c r="B244" s="157">
        <f t="shared" si="9"/>
        <v>45675</v>
      </c>
      <c r="C244" s="320">
        <v>145</v>
      </c>
      <c r="D244" s="320"/>
      <c r="E244" s="320">
        <v>63.291000000000004</v>
      </c>
      <c r="F244" s="320">
        <v>165</v>
      </c>
      <c r="G244" s="15">
        <f t="shared" si="10"/>
        <v>101.709</v>
      </c>
      <c r="H244" s="15">
        <f>IFERROR(IF(Yearending&gt;B243,'5. Historical demand'!F244-'5. Historical demand'!C244-'5. Historical demand'!D244,""),"")</f>
        <v>20</v>
      </c>
      <c r="I244" s="15">
        <f t="shared" si="11"/>
        <v>81.709000000000003</v>
      </c>
    </row>
    <row r="245" spans="2:9" x14ac:dyDescent="0.2">
      <c r="B245" s="157">
        <f t="shared" si="9"/>
        <v>45676</v>
      </c>
      <c r="C245" s="320">
        <v>145</v>
      </c>
      <c r="D245" s="320"/>
      <c r="E245" s="320">
        <v>61.997999999999998</v>
      </c>
      <c r="F245" s="320">
        <v>165</v>
      </c>
      <c r="G245" s="15">
        <f t="shared" si="10"/>
        <v>103.00200000000001</v>
      </c>
      <c r="H245" s="15">
        <f>IFERROR(IF(Yearending&gt;B244,'5. Historical demand'!F245-'5. Historical demand'!C245-'5. Historical demand'!D245,""),"")</f>
        <v>20</v>
      </c>
      <c r="I245" s="15">
        <f t="shared" si="11"/>
        <v>83.00200000000001</v>
      </c>
    </row>
    <row r="246" spans="2:9" x14ac:dyDescent="0.2">
      <c r="B246" s="157">
        <f t="shared" si="9"/>
        <v>45677</v>
      </c>
      <c r="C246" s="320">
        <v>145</v>
      </c>
      <c r="D246" s="320"/>
      <c r="E246" s="320">
        <v>55.792000000000002</v>
      </c>
      <c r="F246" s="320">
        <v>165</v>
      </c>
      <c r="G246" s="15">
        <f t="shared" si="10"/>
        <v>109.208</v>
      </c>
      <c r="H246" s="15">
        <f>IFERROR(IF(Yearending&gt;B245,'5. Historical demand'!F246-'5. Historical demand'!C246-'5. Historical demand'!D246,""),"")</f>
        <v>20</v>
      </c>
      <c r="I246" s="15">
        <f t="shared" si="11"/>
        <v>89.207999999999998</v>
      </c>
    </row>
    <row r="247" spans="2:9" x14ac:dyDescent="0.2">
      <c r="B247" s="157">
        <f t="shared" si="9"/>
        <v>45678</v>
      </c>
      <c r="C247" s="320">
        <v>145</v>
      </c>
      <c r="D247" s="320"/>
      <c r="E247" s="320">
        <v>53.682999999999993</v>
      </c>
      <c r="F247" s="320">
        <v>165</v>
      </c>
      <c r="G247" s="15">
        <f t="shared" si="10"/>
        <v>111.31700000000001</v>
      </c>
      <c r="H247" s="15">
        <f>IFERROR(IF(Yearending&gt;B246,'5. Historical demand'!F247-'5. Historical demand'!C247-'5. Historical demand'!D247,""),"")</f>
        <v>20</v>
      </c>
      <c r="I247" s="15">
        <f t="shared" si="11"/>
        <v>91.317000000000007</v>
      </c>
    </row>
    <row r="248" spans="2:9" x14ac:dyDescent="0.2">
      <c r="B248" s="157">
        <f t="shared" si="9"/>
        <v>45679</v>
      </c>
      <c r="C248" s="320">
        <v>145</v>
      </c>
      <c r="D248" s="320"/>
      <c r="E248" s="320">
        <v>48.481000000000002</v>
      </c>
      <c r="F248" s="320">
        <v>165</v>
      </c>
      <c r="G248" s="15">
        <f t="shared" si="10"/>
        <v>116.51900000000001</v>
      </c>
      <c r="H248" s="15">
        <f>IFERROR(IF(Yearending&gt;B247,'5. Historical demand'!F248-'5. Historical demand'!C248-'5. Historical demand'!D248,""),"")</f>
        <v>20</v>
      </c>
      <c r="I248" s="15">
        <f t="shared" si="11"/>
        <v>96.519000000000005</v>
      </c>
    </row>
    <row r="249" spans="2:9" x14ac:dyDescent="0.2">
      <c r="B249" s="157">
        <f t="shared" si="9"/>
        <v>45680</v>
      </c>
      <c r="C249" s="320">
        <v>145</v>
      </c>
      <c r="D249" s="320"/>
      <c r="E249" s="320">
        <v>57.376999999999995</v>
      </c>
      <c r="F249" s="320">
        <v>165</v>
      </c>
      <c r="G249" s="15">
        <f t="shared" si="10"/>
        <v>107.623</v>
      </c>
      <c r="H249" s="15">
        <f>IFERROR(IF(Yearending&gt;B248,'5. Historical demand'!F249-'5. Historical demand'!C249-'5. Historical demand'!D249,""),"")</f>
        <v>20</v>
      </c>
      <c r="I249" s="15">
        <f t="shared" si="11"/>
        <v>87.623000000000005</v>
      </c>
    </row>
    <row r="250" spans="2:9" x14ac:dyDescent="0.2">
      <c r="B250" s="157">
        <f t="shared" si="9"/>
        <v>45681</v>
      </c>
      <c r="C250" s="320">
        <v>145</v>
      </c>
      <c r="D250" s="320"/>
      <c r="E250" s="320">
        <v>56.403000000000006</v>
      </c>
      <c r="F250" s="320">
        <v>165</v>
      </c>
      <c r="G250" s="15">
        <f t="shared" si="10"/>
        <v>108.59699999999999</v>
      </c>
      <c r="H250" s="15">
        <f>IFERROR(IF(Yearending&gt;B249,'5. Historical demand'!F250-'5. Historical demand'!C250-'5. Historical demand'!D250,""),"")</f>
        <v>20</v>
      </c>
      <c r="I250" s="15">
        <f t="shared" si="11"/>
        <v>88.596999999999994</v>
      </c>
    </row>
    <row r="251" spans="2:9" x14ac:dyDescent="0.2">
      <c r="B251" s="157">
        <f t="shared" si="9"/>
        <v>45682</v>
      </c>
      <c r="C251" s="320">
        <v>145</v>
      </c>
      <c r="D251" s="320"/>
      <c r="E251" s="320">
        <v>58.247</v>
      </c>
      <c r="F251" s="320">
        <v>165</v>
      </c>
      <c r="G251" s="15">
        <f t="shared" si="10"/>
        <v>106.753</v>
      </c>
      <c r="H251" s="15">
        <f>IFERROR(IF(Yearending&gt;B250,'5. Historical demand'!F251-'5. Historical demand'!C251-'5. Historical demand'!D251,""),"")</f>
        <v>20</v>
      </c>
      <c r="I251" s="15">
        <f t="shared" si="11"/>
        <v>86.753</v>
      </c>
    </row>
    <row r="252" spans="2:9" x14ac:dyDescent="0.2">
      <c r="B252" s="157">
        <f t="shared" si="9"/>
        <v>45683</v>
      </c>
      <c r="C252" s="320">
        <v>145</v>
      </c>
      <c r="D252" s="320"/>
      <c r="E252" s="320">
        <v>60.805999999999997</v>
      </c>
      <c r="F252" s="320">
        <v>165</v>
      </c>
      <c r="G252" s="15">
        <f t="shared" si="10"/>
        <v>104.194</v>
      </c>
      <c r="H252" s="15">
        <f>IFERROR(IF(Yearending&gt;B251,'5. Historical demand'!F252-'5. Historical demand'!C252-'5. Historical demand'!D252,""),"")</f>
        <v>20</v>
      </c>
      <c r="I252" s="15">
        <f t="shared" si="11"/>
        <v>84.194000000000003</v>
      </c>
    </row>
    <row r="253" spans="2:9" x14ac:dyDescent="0.2">
      <c r="B253" s="157">
        <f t="shared" si="9"/>
        <v>45684</v>
      </c>
      <c r="C253" s="320">
        <v>145</v>
      </c>
      <c r="D253" s="320"/>
      <c r="E253" s="320">
        <v>58.942</v>
      </c>
      <c r="F253" s="320">
        <v>165</v>
      </c>
      <c r="G253" s="15">
        <f t="shared" si="10"/>
        <v>106.05799999999999</v>
      </c>
      <c r="H253" s="15">
        <f>IFERROR(IF(Yearending&gt;B252,'5. Historical demand'!F253-'5. Historical demand'!C253-'5. Historical demand'!D253,""),"")</f>
        <v>20</v>
      </c>
      <c r="I253" s="15">
        <f t="shared" si="11"/>
        <v>86.057999999999993</v>
      </c>
    </row>
    <row r="254" spans="2:9" x14ac:dyDescent="0.2">
      <c r="B254" s="157">
        <f t="shared" si="9"/>
        <v>45685</v>
      </c>
      <c r="C254" s="320">
        <v>145</v>
      </c>
      <c r="D254" s="320"/>
      <c r="E254" s="320">
        <v>56.19</v>
      </c>
      <c r="F254" s="320">
        <v>165</v>
      </c>
      <c r="G254" s="15">
        <f t="shared" si="10"/>
        <v>108.81</v>
      </c>
      <c r="H254" s="15">
        <f>IFERROR(IF(Yearending&gt;B253,'5. Historical demand'!F254-'5. Historical demand'!C254-'5. Historical demand'!D254,""),"")</f>
        <v>20</v>
      </c>
      <c r="I254" s="15">
        <f t="shared" si="11"/>
        <v>88.81</v>
      </c>
    </row>
    <row r="255" spans="2:9" x14ac:dyDescent="0.2">
      <c r="B255" s="157">
        <f t="shared" si="9"/>
        <v>45686</v>
      </c>
      <c r="C255" s="320">
        <v>145</v>
      </c>
      <c r="D255" s="320"/>
      <c r="E255" s="320">
        <v>53.073</v>
      </c>
      <c r="F255" s="320">
        <v>165</v>
      </c>
      <c r="G255" s="15">
        <f t="shared" si="10"/>
        <v>111.92699999999999</v>
      </c>
      <c r="H255" s="15">
        <f>IFERROR(IF(Yearending&gt;B254,'5. Historical demand'!F255-'5. Historical demand'!C255-'5. Historical demand'!D255,""),"")</f>
        <v>20</v>
      </c>
      <c r="I255" s="15">
        <f t="shared" si="11"/>
        <v>91.926999999999992</v>
      </c>
    </row>
    <row r="256" spans="2:9" x14ac:dyDescent="0.2">
      <c r="B256" s="157">
        <f t="shared" si="9"/>
        <v>45687</v>
      </c>
      <c r="C256" s="320">
        <v>145</v>
      </c>
      <c r="D256" s="320"/>
      <c r="E256" s="320">
        <v>51.896999999999998</v>
      </c>
      <c r="F256" s="320">
        <v>165</v>
      </c>
      <c r="G256" s="15">
        <f t="shared" si="10"/>
        <v>113.10300000000001</v>
      </c>
      <c r="H256" s="15">
        <f>IFERROR(IF(Yearending&gt;B255,'5. Historical demand'!F256-'5. Historical demand'!C256-'5. Historical demand'!D256,""),"")</f>
        <v>20</v>
      </c>
      <c r="I256" s="15">
        <f t="shared" si="11"/>
        <v>93.103000000000009</v>
      </c>
    </row>
    <row r="257" spans="2:9" x14ac:dyDescent="0.2">
      <c r="B257" s="157">
        <f t="shared" si="9"/>
        <v>45688</v>
      </c>
      <c r="C257" s="320">
        <v>145</v>
      </c>
      <c r="D257" s="320"/>
      <c r="E257" s="320">
        <v>49.238999999999997</v>
      </c>
      <c r="F257" s="320">
        <v>165</v>
      </c>
      <c r="G257" s="15">
        <f t="shared" si="10"/>
        <v>115.761</v>
      </c>
      <c r="H257" s="15">
        <f>IFERROR(IF(Yearending&gt;B256,'5. Historical demand'!F257-'5. Historical demand'!C257-'5. Historical demand'!D257,""),"")</f>
        <v>20</v>
      </c>
      <c r="I257" s="15">
        <f t="shared" si="11"/>
        <v>95.760999999999996</v>
      </c>
    </row>
    <row r="258" spans="2:9" x14ac:dyDescent="0.2">
      <c r="B258" s="157">
        <f t="shared" si="9"/>
        <v>45689</v>
      </c>
      <c r="C258" s="320">
        <v>145</v>
      </c>
      <c r="D258" s="320"/>
      <c r="E258" s="320">
        <v>54.988</v>
      </c>
      <c r="F258" s="320">
        <v>165</v>
      </c>
      <c r="G258" s="15">
        <f t="shared" si="10"/>
        <v>110.012</v>
      </c>
      <c r="H258" s="15">
        <f>IFERROR(IF(Yearending&gt;B257,'5. Historical demand'!F258-'5. Historical demand'!C258-'5. Historical demand'!D258,""),"")</f>
        <v>20</v>
      </c>
      <c r="I258" s="15">
        <f t="shared" si="11"/>
        <v>90.012</v>
      </c>
    </row>
    <row r="259" spans="2:9" x14ac:dyDescent="0.2">
      <c r="B259" s="157">
        <f t="shared" si="9"/>
        <v>45690</v>
      </c>
      <c r="C259" s="320">
        <v>145</v>
      </c>
      <c r="D259" s="320"/>
      <c r="E259" s="320">
        <v>53.492000000000004</v>
      </c>
      <c r="F259" s="320">
        <v>165</v>
      </c>
      <c r="G259" s="15">
        <f t="shared" si="10"/>
        <v>111.508</v>
      </c>
      <c r="H259" s="15">
        <f>IFERROR(IF(Yearending&gt;B258,'5. Historical demand'!F259-'5. Historical demand'!C259-'5. Historical demand'!D259,""),"")</f>
        <v>20</v>
      </c>
      <c r="I259" s="15">
        <f t="shared" si="11"/>
        <v>91.507999999999996</v>
      </c>
    </row>
    <row r="260" spans="2:9" x14ac:dyDescent="0.2">
      <c r="B260" s="157">
        <f t="shared" si="9"/>
        <v>45691</v>
      </c>
      <c r="C260" s="320">
        <v>145</v>
      </c>
      <c r="D260" s="320"/>
      <c r="E260" s="320">
        <v>51.006999999999998</v>
      </c>
      <c r="F260" s="320">
        <v>165</v>
      </c>
      <c r="G260" s="15">
        <f t="shared" si="10"/>
        <v>113.99299999999999</v>
      </c>
      <c r="H260" s="15">
        <f>IFERROR(IF(Yearending&gt;B259,'5. Historical demand'!F260-'5. Historical demand'!C260-'5. Historical demand'!D260,""),"")</f>
        <v>20</v>
      </c>
      <c r="I260" s="15">
        <f t="shared" si="11"/>
        <v>93.992999999999995</v>
      </c>
    </row>
    <row r="261" spans="2:9" x14ac:dyDescent="0.2">
      <c r="B261" s="157">
        <f t="shared" si="9"/>
        <v>45692</v>
      </c>
      <c r="C261" s="320">
        <v>145</v>
      </c>
      <c r="D261" s="320"/>
      <c r="E261" s="320">
        <v>55.625</v>
      </c>
      <c r="F261" s="320">
        <v>165</v>
      </c>
      <c r="G261" s="15">
        <f t="shared" si="10"/>
        <v>109.375</v>
      </c>
      <c r="H261" s="15">
        <f>IFERROR(IF(Yearending&gt;B260,'5. Historical demand'!F261-'5. Historical demand'!C261-'5. Historical demand'!D261,""),"")</f>
        <v>20</v>
      </c>
      <c r="I261" s="15">
        <f t="shared" si="11"/>
        <v>89.375</v>
      </c>
    </row>
    <row r="262" spans="2:9" x14ac:dyDescent="0.2">
      <c r="B262" s="157">
        <f t="shared" si="9"/>
        <v>45693</v>
      </c>
      <c r="C262" s="320">
        <v>145</v>
      </c>
      <c r="D262" s="320"/>
      <c r="E262" s="320">
        <v>57.457999999999998</v>
      </c>
      <c r="F262" s="320">
        <v>165</v>
      </c>
      <c r="G262" s="15">
        <f t="shared" si="10"/>
        <v>107.542</v>
      </c>
      <c r="H262" s="15">
        <f>IFERROR(IF(Yearending&gt;B261,'5. Historical demand'!F262-'5. Historical demand'!C262-'5. Historical demand'!D262,""),"")</f>
        <v>20</v>
      </c>
      <c r="I262" s="15">
        <f t="shared" si="11"/>
        <v>87.542000000000002</v>
      </c>
    </row>
    <row r="263" spans="2:9" x14ac:dyDescent="0.2">
      <c r="B263" s="157">
        <f t="shared" si="9"/>
        <v>45694</v>
      </c>
      <c r="C263" s="320">
        <v>145</v>
      </c>
      <c r="D263" s="320"/>
      <c r="E263" s="320">
        <v>57.676000000000002</v>
      </c>
      <c r="F263" s="320">
        <v>165</v>
      </c>
      <c r="G263" s="15">
        <f t="shared" si="10"/>
        <v>107.324</v>
      </c>
      <c r="H263" s="15">
        <f>IFERROR(IF(Yearending&gt;B262,'5. Historical demand'!F263-'5. Historical demand'!C263-'5. Historical demand'!D263,""),"")</f>
        <v>20</v>
      </c>
      <c r="I263" s="15">
        <f t="shared" si="11"/>
        <v>87.323999999999998</v>
      </c>
    </row>
    <row r="264" spans="2:9" x14ac:dyDescent="0.2">
      <c r="B264" s="157">
        <f t="shared" si="9"/>
        <v>45695</v>
      </c>
      <c r="C264" s="320">
        <v>145</v>
      </c>
      <c r="D264" s="320"/>
      <c r="E264" s="320">
        <v>55.519999999999996</v>
      </c>
      <c r="F264" s="320">
        <v>165</v>
      </c>
      <c r="G264" s="15">
        <f t="shared" si="10"/>
        <v>109.48</v>
      </c>
      <c r="H264" s="15">
        <f>IFERROR(IF(Yearending&gt;B263,'5. Historical demand'!F264-'5. Historical demand'!C264-'5. Historical demand'!D264,""),"")</f>
        <v>20</v>
      </c>
      <c r="I264" s="15">
        <f t="shared" si="11"/>
        <v>89.48</v>
      </c>
    </row>
    <row r="265" spans="2:9" x14ac:dyDescent="0.2">
      <c r="B265" s="157">
        <f t="shared" si="9"/>
        <v>45696</v>
      </c>
      <c r="C265" s="320">
        <v>145</v>
      </c>
      <c r="D265" s="320"/>
      <c r="E265" s="320">
        <v>51.070999999999998</v>
      </c>
      <c r="F265" s="320">
        <v>165</v>
      </c>
      <c r="G265" s="15">
        <f t="shared" si="10"/>
        <v>113.929</v>
      </c>
      <c r="H265" s="15">
        <f>IFERROR(IF(Yearending&gt;B264,'5. Historical demand'!F265-'5. Historical demand'!C265-'5. Historical demand'!D265,""),"")</f>
        <v>20</v>
      </c>
      <c r="I265" s="15">
        <f t="shared" si="11"/>
        <v>93.929000000000002</v>
      </c>
    </row>
    <row r="266" spans="2:9" x14ac:dyDescent="0.2">
      <c r="B266" s="157">
        <f t="shared" si="9"/>
        <v>45697</v>
      </c>
      <c r="C266" s="320">
        <v>145</v>
      </c>
      <c r="D266" s="320"/>
      <c r="E266" s="320">
        <v>61.137</v>
      </c>
      <c r="F266" s="320">
        <v>165</v>
      </c>
      <c r="G266" s="15">
        <f t="shared" si="10"/>
        <v>103.863</v>
      </c>
      <c r="H266" s="15">
        <f>IFERROR(IF(Yearending&gt;B265,'5. Historical demand'!F266-'5. Historical demand'!C266-'5. Historical demand'!D266,""),"")</f>
        <v>20</v>
      </c>
      <c r="I266" s="15">
        <f t="shared" si="11"/>
        <v>83.863</v>
      </c>
    </row>
    <row r="267" spans="2:9" x14ac:dyDescent="0.2">
      <c r="B267" s="157">
        <f t="shared" si="9"/>
        <v>45698</v>
      </c>
      <c r="C267" s="320">
        <v>145</v>
      </c>
      <c r="D267" s="320"/>
      <c r="E267" s="320">
        <v>63.866</v>
      </c>
      <c r="F267" s="320">
        <v>165</v>
      </c>
      <c r="G267" s="15">
        <f t="shared" si="10"/>
        <v>101.134</v>
      </c>
      <c r="H267" s="15">
        <f>IFERROR(IF(Yearending&gt;B266,'5. Historical demand'!F267-'5. Historical demand'!C267-'5. Historical demand'!D267,""),"")</f>
        <v>20</v>
      </c>
      <c r="I267" s="15">
        <f t="shared" si="11"/>
        <v>81.134</v>
      </c>
    </row>
    <row r="268" spans="2:9" x14ac:dyDescent="0.2">
      <c r="B268" s="157">
        <f t="shared" si="9"/>
        <v>45699</v>
      </c>
      <c r="C268" s="320">
        <v>145</v>
      </c>
      <c r="D268" s="320"/>
      <c r="E268" s="320">
        <v>56.097000000000001</v>
      </c>
      <c r="F268" s="320">
        <v>165</v>
      </c>
      <c r="G268" s="15">
        <f t="shared" si="10"/>
        <v>108.90299999999999</v>
      </c>
      <c r="H268" s="15">
        <f>IFERROR(IF(Yearending&gt;B267,'5. Historical demand'!F268-'5. Historical demand'!C268-'5. Historical demand'!D268,""),"")</f>
        <v>20</v>
      </c>
      <c r="I268" s="15">
        <f t="shared" si="11"/>
        <v>88.902999999999992</v>
      </c>
    </row>
    <row r="269" spans="2:9" x14ac:dyDescent="0.2">
      <c r="B269" s="157">
        <f t="shared" si="9"/>
        <v>45700</v>
      </c>
      <c r="C269" s="320">
        <v>145</v>
      </c>
      <c r="D269" s="320"/>
      <c r="E269" s="320">
        <v>45.96</v>
      </c>
      <c r="F269" s="320">
        <v>165</v>
      </c>
      <c r="G269" s="15">
        <f t="shared" si="10"/>
        <v>119.03999999999999</v>
      </c>
      <c r="H269" s="15">
        <f>IFERROR(IF(Yearending&gt;B268,'5. Historical demand'!F269-'5. Historical demand'!C269-'5. Historical demand'!D269,""),"")</f>
        <v>20</v>
      </c>
      <c r="I269" s="15">
        <f t="shared" si="11"/>
        <v>99.039999999999992</v>
      </c>
    </row>
    <row r="270" spans="2:9" x14ac:dyDescent="0.2">
      <c r="B270" s="157">
        <f t="shared" si="9"/>
        <v>45701</v>
      </c>
      <c r="C270" s="320">
        <v>145</v>
      </c>
      <c r="D270" s="320"/>
      <c r="E270" s="320">
        <v>49.844000000000001</v>
      </c>
      <c r="F270" s="320">
        <v>165</v>
      </c>
      <c r="G270" s="15">
        <f t="shared" si="10"/>
        <v>115.15600000000001</v>
      </c>
      <c r="H270" s="15">
        <f>IFERROR(IF(Yearending&gt;B269,'5. Historical demand'!F270-'5. Historical demand'!C270-'5. Historical demand'!D270,""),"")</f>
        <v>20</v>
      </c>
      <c r="I270" s="15">
        <f t="shared" si="11"/>
        <v>95.156000000000006</v>
      </c>
    </row>
    <row r="271" spans="2:9" x14ac:dyDescent="0.2">
      <c r="B271" s="157">
        <f t="shared" si="9"/>
        <v>45702</v>
      </c>
      <c r="C271" s="320">
        <v>145</v>
      </c>
      <c r="D271" s="320"/>
      <c r="E271" s="320">
        <v>57.986000000000004</v>
      </c>
      <c r="F271" s="320">
        <v>165</v>
      </c>
      <c r="G271" s="15">
        <f t="shared" si="10"/>
        <v>107.014</v>
      </c>
      <c r="H271" s="15">
        <f>IFERROR(IF(Yearending&gt;B270,'5. Historical demand'!F271-'5. Historical demand'!C271-'5. Historical demand'!D271,""),"")</f>
        <v>20</v>
      </c>
      <c r="I271" s="15">
        <f t="shared" si="11"/>
        <v>87.013999999999996</v>
      </c>
    </row>
    <row r="272" spans="2:9" x14ac:dyDescent="0.2">
      <c r="B272" s="157">
        <f t="shared" si="9"/>
        <v>45703</v>
      </c>
      <c r="C272" s="320">
        <v>145</v>
      </c>
      <c r="D272" s="320"/>
      <c r="E272" s="320">
        <v>56.363999999999997</v>
      </c>
      <c r="F272" s="320">
        <v>165</v>
      </c>
      <c r="G272" s="15">
        <f t="shared" si="10"/>
        <v>108.636</v>
      </c>
      <c r="H272" s="15">
        <f>IFERROR(IF(Yearending&gt;B271,'5. Historical demand'!F272-'5. Historical demand'!C272-'5. Historical demand'!D272,""),"")</f>
        <v>20</v>
      </c>
      <c r="I272" s="15">
        <f t="shared" si="11"/>
        <v>88.635999999999996</v>
      </c>
    </row>
    <row r="273" spans="2:9" x14ac:dyDescent="0.2">
      <c r="B273" s="157">
        <f t="shared" si="9"/>
        <v>45704</v>
      </c>
      <c r="C273" s="320">
        <v>145</v>
      </c>
      <c r="D273" s="320"/>
      <c r="E273" s="320">
        <v>56.129000000000005</v>
      </c>
      <c r="F273" s="320">
        <v>165</v>
      </c>
      <c r="G273" s="15">
        <f t="shared" si="10"/>
        <v>108.871</v>
      </c>
      <c r="H273" s="15">
        <f>IFERROR(IF(Yearending&gt;B272,'5. Historical demand'!F273-'5. Historical demand'!C273-'5. Historical demand'!D273,""),"")</f>
        <v>20</v>
      </c>
      <c r="I273" s="15">
        <f t="shared" si="11"/>
        <v>88.870999999999995</v>
      </c>
    </row>
    <row r="274" spans="2:9" x14ac:dyDescent="0.2">
      <c r="B274" s="157">
        <f t="shared" si="9"/>
        <v>45705</v>
      </c>
      <c r="C274" s="320">
        <v>145</v>
      </c>
      <c r="D274" s="320"/>
      <c r="E274" s="320">
        <v>56.39</v>
      </c>
      <c r="F274" s="320">
        <v>165</v>
      </c>
      <c r="G274" s="15">
        <f t="shared" si="10"/>
        <v>108.61</v>
      </c>
      <c r="H274" s="15">
        <f>IFERROR(IF(Yearending&gt;B273,'5. Historical demand'!F274-'5. Historical demand'!C274-'5. Historical demand'!D274,""),"")</f>
        <v>20</v>
      </c>
      <c r="I274" s="15">
        <f t="shared" si="11"/>
        <v>88.61</v>
      </c>
    </row>
    <row r="275" spans="2:9" x14ac:dyDescent="0.2">
      <c r="B275" s="157">
        <f t="shared" si="9"/>
        <v>45706</v>
      </c>
      <c r="C275" s="320">
        <v>145</v>
      </c>
      <c r="D275" s="320"/>
      <c r="E275" s="320">
        <v>55.881</v>
      </c>
      <c r="F275" s="320">
        <v>165</v>
      </c>
      <c r="G275" s="15">
        <f t="shared" si="10"/>
        <v>109.119</v>
      </c>
      <c r="H275" s="15">
        <f>IFERROR(IF(Yearending&gt;B274,'5. Historical demand'!F275-'5. Historical demand'!C275-'5. Historical demand'!D275,""),"")</f>
        <v>20</v>
      </c>
      <c r="I275" s="15">
        <f t="shared" si="11"/>
        <v>89.119</v>
      </c>
    </row>
    <row r="276" spans="2:9" x14ac:dyDescent="0.2">
      <c r="B276" s="157">
        <f t="shared" si="9"/>
        <v>45707</v>
      </c>
      <c r="C276" s="320">
        <v>145</v>
      </c>
      <c r="D276" s="320"/>
      <c r="E276" s="320">
        <v>51.506999999999998</v>
      </c>
      <c r="F276" s="320">
        <v>165</v>
      </c>
      <c r="G276" s="15">
        <f t="shared" si="10"/>
        <v>113.49299999999999</v>
      </c>
      <c r="H276" s="15">
        <f>IFERROR(IF(Yearending&gt;B275,'5. Historical demand'!F276-'5. Historical demand'!C276-'5. Historical demand'!D276,""),"")</f>
        <v>20</v>
      </c>
      <c r="I276" s="15">
        <f t="shared" si="11"/>
        <v>93.492999999999995</v>
      </c>
    </row>
    <row r="277" spans="2:9" x14ac:dyDescent="0.2">
      <c r="B277" s="157">
        <f t="shared" si="9"/>
        <v>45708</v>
      </c>
      <c r="C277" s="320">
        <v>145</v>
      </c>
      <c r="D277" s="320"/>
      <c r="E277" s="320">
        <v>55.260999999999996</v>
      </c>
      <c r="F277" s="320">
        <v>165</v>
      </c>
      <c r="G277" s="15">
        <f t="shared" si="10"/>
        <v>109.739</v>
      </c>
      <c r="H277" s="15">
        <f>IFERROR(IF(Yearending&gt;B276,'5. Historical demand'!F277-'5. Historical demand'!C277-'5. Historical demand'!D277,""),"")</f>
        <v>20</v>
      </c>
      <c r="I277" s="15">
        <f t="shared" si="11"/>
        <v>89.739000000000004</v>
      </c>
    </row>
    <row r="278" spans="2:9" x14ac:dyDescent="0.2">
      <c r="B278" s="157">
        <f t="shared" si="9"/>
        <v>45709</v>
      </c>
      <c r="C278" s="320">
        <v>145</v>
      </c>
      <c r="D278" s="320"/>
      <c r="E278" s="320">
        <v>48.317</v>
      </c>
      <c r="F278" s="320">
        <v>165</v>
      </c>
      <c r="G278" s="15">
        <f t="shared" si="10"/>
        <v>116.68299999999999</v>
      </c>
      <c r="H278" s="15">
        <f>IFERROR(IF(Yearending&gt;B277,'5. Historical demand'!F278-'5. Historical demand'!C278-'5. Historical demand'!D278,""),"")</f>
        <v>20</v>
      </c>
      <c r="I278" s="15">
        <f t="shared" si="11"/>
        <v>96.682999999999993</v>
      </c>
    </row>
    <row r="279" spans="2:9" x14ac:dyDescent="0.2">
      <c r="B279" s="157">
        <f t="shared" si="9"/>
        <v>45710</v>
      </c>
      <c r="C279" s="320">
        <v>145</v>
      </c>
      <c r="D279" s="320"/>
      <c r="E279" s="320">
        <v>49.207000000000001</v>
      </c>
      <c r="F279" s="320">
        <v>165</v>
      </c>
      <c r="G279" s="15">
        <f t="shared" si="10"/>
        <v>115.79300000000001</v>
      </c>
      <c r="H279" s="15">
        <f>IFERROR(IF(Yearending&gt;B278,'5. Historical demand'!F279-'5. Historical demand'!C279-'5. Historical demand'!D279,""),"")</f>
        <v>20</v>
      </c>
      <c r="I279" s="15">
        <f t="shared" si="11"/>
        <v>95.793000000000006</v>
      </c>
    </row>
    <row r="280" spans="2:9" x14ac:dyDescent="0.2">
      <c r="B280" s="157">
        <f t="shared" si="9"/>
        <v>45711</v>
      </c>
      <c r="C280" s="320">
        <v>145</v>
      </c>
      <c r="D280" s="320"/>
      <c r="E280" s="320">
        <v>53.826999999999998</v>
      </c>
      <c r="F280" s="320">
        <v>165</v>
      </c>
      <c r="G280" s="15">
        <f t="shared" si="10"/>
        <v>111.173</v>
      </c>
      <c r="H280" s="15">
        <f>IFERROR(IF(Yearending&gt;B279,'5. Historical demand'!F280-'5. Historical demand'!C280-'5. Historical demand'!D280,""),"")</f>
        <v>20</v>
      </c>
      <c r="I280" s="15">
        <f t="shared" si="11"/>
        <v>91.173000000000002</v>
      </c>
    </row>
    <row r="281" spans="2:9" x14ac:dyDescent="0.2">
      <c r="B281" s="157">
        <f t="shared" si="9"/>
        <v>45712</v>
      </c>
      <c r="C281" s="320">
        <v>145</v>
      </c>
      <c r="D281" s="320"/>
      <c r="E281" s="320">
        <v>52.402999999999999</v>
      </c>
      <c r="F281" s="320">
        <v>165</v>
      </c>
      <c r="G281" s="15">
        <f t="shared" si="10"/>
        <v>112.59700000000001</v>
      </c>
      <c r="H281" s="15">
        <f>IFERROR(IF(Yearending&gt;B280,'5. Historical demand'!F281-'5. Historical demand'!C281-'5. Historical demand'!D281,""),"")</f>
        <v>20</v>
      </c>
      <c r="I281" s="15">
        <f t="shared" si="11"/>
        <v>92.597000000000008</v>
      </c>
    </row>
    <row r="282" spans="2:9" x14ac:dyDescent="0.2">
      <c r="B282" s="157">
        <f t="shared" si="9"/>
        <v>45713</v>
      </c>
      <c r="C282" s="320">
        <v>145</v>
      </c>
      <c r="D282" s="320"/>
      <c r="E282" s="320">
        <v>52.347999999999999</v>
      </c>
      <c r="F282" s="320">
        <v>165</v>
      </c>
      <c r="G282" s="15">
        <f t="shared" si="10"/>
        <v>112.652</v>
      </c>
      <c r="H282" s="15">
        <f>IFERROR(IF(Yearending&gt;B281,'5. Historical demand'!F282-'5. Historical demand'!C282-'5. Historical demand'!D282,""),"")</f>
        <v>20</v>
      </c>
      <c r="I282" s="15">
        <f t="shared" si="11"/>
        <v>92.652000000000001</v>
      </c>
    </row>
    <row r="283" spans="2:9" x14ac:dyDescent="0.2">
      <c r="B283" s="157">
        <f t="shared" si="9"/>
        <v>45714</v>
      </c>
      <c r="C283" s="320">
        <v>145</v>
      </c>
      <c r="D283" s="320"/>
      <c r="E283" s="320">
        <v>64.242999999999995</v>
      </c>
      <c r="F283" s="320">
        <v>165</v>
      </c>
      <c r="G283" s="15">
        <f t="shared" si="10"/>
        <v>100.75700000000001</v>
      </c>
      <c r="H283" s="15">
        <f>IFERROR(IF(Yearending&gt;B282,'5. Historical demand'!F283-'5. Historical demand'!C283-'5. Historical demand'!D283,""),"")</f>
        <v>20</v>
      </c>
      <c r="I283" s="15">
        <f t="shared" si="11"/>
        <v>80.757000000000005</v>
      </c>
    </row>
    <row r="284" spans="2:9" x14ac:dyDescent="0.2">
      <c r="B284" s="157">
        <f t="shared" si="9"/>
        <v>45715</v>
      </c>
      <c r="C284" s="320">
        <v>145</v>
      </c>
      <c r="D284" s="320"/>
      <c r="E284" s="320">
        <v>67.02</v>
      </c>
      <c r="F284" s="320">
        <v>165</v>
      </c>
      <c r="G284" s="15">
        <f t="shared" si="10"/>
        <v>97.98</v>
      </c>
      <c r="H284" s="15">
        <f>IFERROR(IF(Yearending&gt;B283,'5. Historical demand'!F284-'5. Historical demand'!C284-'5. Historical demand'!D284,""),"")</f>
        <v>20</v>
      </c>
      <c r="I284" s="15">
        <f t="shared" si="11"/>
        <v>77.98</v>
      </c>
    </row>
    <row r="285" spans="2:9" x14ac:dyDescent="0.2">
      <c r="B285" s="157">
        <f t="shared" si="9"/>
        <v>45716</v>
      </c>
      <c r="C285" s="320">
        <v>145</v>
      </c>
      <c r="D285" s="320"/>
      <c r="E285" s="320">
        <v>66.082000000000008</v>
      </c>
      <c r="F285" s="320">
        <v>165</v>
      </c>
      <c r="G285" s="15">
        <f t="shared" si="10"/>
        <v>98.917999999999992</v>
      </c>
      <c r="H285" s="15">
        <f>IFERROR(IF(Yearending&gt;B284,'5. Historical demand'!F285-'5. Historical demand'!C285-'5. Historical demand'!D285,""),"")</f>
        <v>20</v>
      </c>
      <c r="I285" s="15">
        <f t="shared" si="11"/>
        <v>78.917999999999992</v>
      </c>
    </row>
    <row r="286" spans="2:9" x14ac:dyDescent="0.2">
      <c r="B286" s="157">
        <f t="shared" si="9"/>
        <v>45717</v>
      </c>
      <c r="C286" s="320">
        <v>145</v>
      </c>
      <c r="D286" s="320"/>
      <c r="E286" s="320">
        <v>62.204000000000001</v>
      </c>
      <c r="F286" s="320">
        <v>165</v>
      </c>
      <c r="G286" s="15">
        <f t="shared" si="10"/>
        <v>102.79599999999999</v>
      </c>
      <c r="H286" s="15">
        <f>IFERROR(IF(Yearending&gt;B285,'5. Historical demand'!F286-'5. Historical demand'!C286-'5. Historical demand'!D286,""),"")</f>
        <v>20</v>
      </c>
      <c r="I286" s="15">
        <f t="shared" si="11"/>
        <v>82.795999999999992</v>
      </c>
    </row>
    <row r="287" spans="2:9" x14ac:dyDescent="0.2">
      <c r="B287" s="157">
        <f t="shared" si="9"/>
        <v>45718</v>
      </c>
      <c r="C287" s="320">
        <v>145</v>
      </c>
      <c r="D287" s="320"/>
      <c r="E287" s="320">
        <v>56.546999999999997</v>
      </c>
      <c r="F287" s="320">
        <v>165</v>
      </c>
      <c r="G287" s="15">
        <f t="shared" si="10"/>
        <v>108.453</v>
      </c>
      <c r="H287" s="15">
        <f>IFERROR(IF(Yearending&gt;B286,'5. Historical demand'!F287-'5. Historical demand'!C287-'5. Historical demand'!D287,""),"")</f>
        <v>20</v>
      </c>
      <c r="I287" s="15">
        <f t="shared" si="11"/>
        <v>88.453000000000003</v>
      </c>
    </row>
    <row r="288" spans="2:9" x14ac:dyDescent="0.2">
      <c r="B288" s="157">
        <f t="shared" si="9"/>
        <v>45719</v>
      </c>
      <c r="C288" s="320">
        <v>145</v>
      </c>
      <c r="D288" s="320"/>
      <c r="E288" s="320">
        <v>46.712000000000003</v>
      </c>
      <c r="F288" s="320">
        <v>165</v>
      </c>
      <c r="G288" s="15">
        <f t="shared" si="10"/>
        <v>118.288</v>
      </c>
      <c r="H288" s="15">
        <f>IFERROR(IF(Yearending&gt;B287,'5. Historical demand'!F288-'5. Historical demand'!C288-'5. Historical demand'!D288,""),"")</f>
        <v>20</v>
      </c>
      <c r="I288" s="15">
        <f t="shared" si="11"/>
        <v>98.287999999999997</v>
      </c>
    </row>
    <row r="289" spans="2:9" x14ac:dyDescent="0.2">
      <c r="B289" s="157">
        <f t="shared" si="9"/>
        <v>45720</v>
      </c>
      <c r="C289" s="320">
        <v>145</v>
      </c>
      <c r="D289" s="320"/>
      <c r="E289" s="320">
        <v>47.139000000000003</v>
      </c>
      <c r="F289" s="320">
        <v>165</v>
      </c>
      <c r="G289" s="15">
        <f t="shared" si="10"/>
        <v>117.86099999999999</v>
      </c>
      <c r="H289" s="15">
        <f>IFERROR(IF(Yearending&gt;B288,'5. Historical demand'!F289-'5. Historical demand'!C289-'5. Historical demand'!D289,""),"")</f>
        <v>20</v>
      </c>
      <c r="I289" s="15">
        <f t="shared" si="11"/>
        <v>97.86099999999999</v>
      </c>
    </row>
    <row r="290" spans="2:9" x14ac:dyDescent="0.2">
      <c r="B290" s="157">
        <f t="shared" si="9"/>
        <v>45721</v>
      </c>
      <c r="C290" s="320">
        <v>145</v>
      </c>
      <c r="D290" s="320"/>
      <c r="E290" s="320">
        <v>45.926000000000002</v>
      </c>
      <c r="F290" s="320">
        <v>165</v>
      </c>
      <c r="G290" s="15">
        <f t="shared" si="10"/>
        <v>119.074</v>
      </c>
      <c r="H290" s="15">
        <f>IFERROR(IF(Yearending&gt;B289,'5. Historical demand'!F290-'5. Historical demand'!C290-'5. Historical demand'!D290,""),"")</f>
        <v>20</v>
      </c>
      <c r="I290" s="15">
        <f t="shared" si="11"/>
        <v>99.073999999999998</v>
      </c>
    </row>
    <row r="291" spans="2:9" x14ac:dyDescent="0.2">
      <c r="B291" s="157">
        <f t="shared" si="9"/>
        <v>45722</v>
      </c>
      <c r="C291" s="320">
        <v>145</v>
      </c>
      <c r="D291" s="320"/>
      <c r="E291" s="320">
        <v>48.556999999999995</v>
      </c>
      <c r="F291" s="320">
        <v>165</v>
      </c>
      <c r="G291" s="15">
        <f t="shared" si="10"/>
        <v>116.44300000000001</v>
      </c>
      <c r="H291" s="15">
        <f>IFERROR(IF(Yearending&gt;B290,'5. Historical demand'!F291-'5. Historical demand'!C291-'5. Historical demand'!D291,""),"")</f>
        <v>20</v>
      </c>
      <c r="I291" s="15">
        <f t="shared" si="11"/>
        <v>96.443000000000012</v>
      </c>
    </row>
    <row r="292" spans="2:9" x14ac:dyDescent="0.2">
      <c r="B292" s="157">
        <f t="shared" si="9"/>
        <v>45723</v>
      </c>
      <c r="C292" s="320">
        <v>145</v>
      </c>
      <c r="D292" s="320"/>
      <c r="E292" s="320">
        <v>49.680999999999997</v>
      </c>
      <c r="F292" s="320">
        <v>165</v>
      </c>
      <c r="G292" s="15">
        <f t="shared" si="10"/>
        <v>115.319</v>
      </c>
      <c r="H292" s="15">
        <f>IFERROR(IF(Yearending&gt;B291,'5. Historical demand'!F292-'5. Historical demand'!C292-'5. Historical demand'!D292,""),"")</f>
        <v>20</v>
      </c>
      <c r="I292" s="15">
        <f t="shared" si="11"/>
        <v>95.319000000000003</v>
      </c>
    </row>
    <row r="293" spans="2:9" x14ac:dyDescent="0.2">
      <c r="B293" s="157">
        <f t="shared" si="9"/>
        <v>45724</v>
      </c>
      <c r="C293" s="320">
        <v>145</v>
      </c>
      <c r="D293" s="320"/>
      <c r="E293" s="320">
        <v>53.222000000000001</v>
      </c>
      <c r="F293" s="320">
        <v>165</v>
      </c>
      <c r="G293" s="15">
        <f t="shared" si="10"/>
        <v>111.77799999999999</v>
      </c>
      <c r="H293" s="15">
        <f>IFERROR(IF(Yearending&gt;B292,'5. Historical demand'!F293-'5. Historical demand'!C293-'5. Historical demand'!D293,""),"")</f>
        <v>20</v>
      </c>
      <c r="I293" s="15">
        <f t="shared" si="11"/>
        <v>91.777999999999992</v>
      </c>
    </row>
    <row r="294" spans="2:9" x14ac:dyDescent="0.2">
      <c r="B294" s="157">
        <f t="shared" si="9"/>
        <v>45725</v>
      </c>
      <c r="C294" s="320">
        <v>145</v>
      </c>
      <c r="D294" s="320"/>
      <c r="E294" s="320">
        <v>51.978999999999999</v>
      </c>
      <c r="F294" s="320">
        <v>165</v>
      </c>
      <c r="G294" s="15">
        <f t="shared" si="10"/>
        <v>113.021</v>
      </c>
      <c r="H294" s="15">
        <f>IFERROR(IF(Yearending&gt;B293,'5. Historical demand'!F294-'5. Historical demand'!C294-'5. Historical demand'!D294,""),"")</f>
        <v>20</v>
      </c>
      <c r="I294" s="15">
        <f t="shared" si="11"/>
        <v>93.021000000000001</v>
      </c>
    </row>
    <row r="295" spans="2:9" x14ac:dyDescent="0.2">
      <c r="B295" s="157">
        <f t="shared" si="9"/>
        <v>45726</v>
      </c>
      <c r="C295" s="320">
        <v>145</v>
      </c>
      <c r="D295" s="320"/>
      <c r="E295" s="320">
        <v>50.716999999999999</v>
      </c>
      <c r="F295" s="320">
        <v>165</v>
      </c>
      <c r="G295" s="15">
        <f t="shared" si="10"/>
        <v>114.283</v>
      </c>
      <c r="H295" s="15">
        <f>IFERROR(IF(Yearending&gt;B294,'5. Historical demand'!F295-'5. Historical demand'!C295-'5. Historical demand'!D295,""),"")</f>
        <v>20</v>
      </c>
      <c r="I295" s="15">
        <f t="shared" si="11"/>
        <v>94.283000000000001</v>
      </c>
    </row>
    <row r="296" spans="2:9" x14ac:dyDescent="0.2">
      <c r="B296" s="157">
        <f t="shared" si="9"/>
        <v>45727</v>
      </c>
      <c r="C296" s="320">
        <v>145</v>
      </c>
      <c r="D296" s="320"/>
      <c r="E296" s="320">
        <v>49.326999999999998</v>
      </c>
      <c r="F296" s="320">
        <v>165</v>
      </c>
      <c r="G296" s="15">
        <f t="shared" si="10"/>
        <v>115.673</v>
      </c>
      <c r="H296" s="15">
        <f>IFERROR(IF(Yearending&gt;B295,'5. Historical demand'!F296-'5. Historical demand'!C296-'5. Historical demand'!D296,""),"")</f>
        <v>20</v>
      </c>
      <c r="I296" s="15">
        <f t="shared" si="11"/>
        <v>95.673000000000002</v>
      </c>
    </row>
    <row r="297" spans="2:9" x14ac:dyDescent="0.2">
      <c r="B297" s="157">
        <f t="shared" si="9"/>
        <v>45728</v>
      </c>
      <c r="C297" s="320">
        <v>145</v>
      </c>
      <c r="D297" s="320"/>
      <c r="E297" s="320">
        <v>56.212000000000003</v>
      </c>
      <c r="F297" s="320">
        <v>165</v>
      </c>
      <c r="G297" s="15">
        <f t="shared" si="10"/>
        <v>108.788</v>
      </c>
      <c r="H297" s="15">
        <f>IFERROR(IF(Yearending&gt;B296,'5. Historical demand'!F297-'5. Historical demand'!C297-'5. Historical demand'!D297,""),"")</f>
        <v>20</v>
      </c>
      <c r="I297" s="15">
        <f t="shared" si="11"/>
        <v>88.787999999999997</v>
      </c>
    </row>
    <row r="298" spans="2:9" x14ac:dyDescent="0.2">
      <c r="B298" s="157">
        <f t="shared" si="9"/>
        <v>45729</v>
      </c>
      <c r="C298" s="320">
        <v>145</v>
      </c>
      <c r="D298" s="320"/>
      <c r="E298" s="320">
        <v>59.303000000000004</v>
      </c>
      <c r="F298" s="320">
        <v>165</v>
      </c>
      <c r="G298" s="15">
        <f t="shared" si="10"/>
        <v>105.697</v>
      </c>
      <c r="H298" s="15">
        <f>IFERROR(IF(Yearending&gt;B297,'5. Historical demand'!F298-'5. Historical demand'!C298-'5. Historical demand'!D298,""),"")</f>
        <v>20</v>
      </c>
      <c r="I298" s="15">
        <f t="shared" si="11"/>
        <v>85.697000000000003</v>
      </c>
    </row>
    <row r="299" spans="2:9" x14ac:dyDescent="0.2">
      <c r="B299" s="157">
        <f t="shared" si="9"/>
        <v>45730</v>
      </c>
      <c r="C299" s="320">
        <v>145</v>
      </c>
      <c r="D299" s="320"/>
      <c r="E299" s="320">
        <v>57.009</v>
      </c>
      <c r="F299" s="320">
        <v>165</v>
      </c>
      <c r="G299" s="15">
        <f t="shared" si="10"/>
        <v>107.991</v>
      </c>
      <c r="H299" s="15">
        <f>IFERROR(IF(Yearending&gt;B298,'5. Historical demand'!F299-'5. Historical demand'!C299-'5. Historical demand'!D299,""),"")</f>
        <v>20</v>
      </c>
      <c r="I299" s="15">
        <f t="shared" si="11"/>
        <v>87.991</v>
      </c>
    </row>
    <row r="300" spans="2:9" x14ac:dyDescent="0.2">
      <c r="B300" s="157">
        <f t="shared" ref="B300:B363" si="12">IFERROR(IF(Yearending&gt;B299, B299+1, ""),"")</f>
        <v>45731</v>
      </c>
      <c r="C300" s="320">
        <v>145</v>
      </c>
      <c r="D300" s="320"/>
      <c r="E300" s="320">
        <v>58.181000000000004</v>
      </c>
      <c r="F300" s="320">
        <v>165</v>
      </c>
      <c r="G300" s="15">
        <f t="shared" ref="G300:G363" si="13">IFERROR(IF(Yearending&gt;B299,F300-E300,""),"")</f>
        <v>106.81899999999999</v>
      </c>
      <c r="H300" s="15">
        <f>IFERROR(IF(Yearending&gt;B299,'5. Historical demand'!F300-'5. Historical demand'!C300-'5. Historical demand'!D300,""),"")</f>
        <v>20</v>
      </c>
      <c r="I300" s="15">
        <f t="shared" ref="I300:I363" si="14">IFERROR(IF(Yearending&gt;B299,C300+D300-E300,""),"")</f>
        <v>86.818999999999988</v>
      </c>
    </row>
    <row r="301" spans="2:9" x14ac:dyDescent="0.2">
      <c r="B301" s="157">
        <f t="shared" si="12"/>
        <v>45732</v>
      </c>
      <c r="C301" s="320">
        <v>145</v>
      </c>
      <c r="D301" s="320"/>
      <c r="E301" s="320">
        <v>56.319000000000003</v>
      </c>
      <c r="F301" s="320">
        <v>165</v>
      </c>
      <c r="G301" s="15">
        <f t="shared" si="13"/>
        <v>108.681</v>
      </c>
      <c r="H301" s="15">
        <f>IFERROR(IF(Yearending&gt;B300,'5. Historical demand'!F301-'5. Historical demand'!C301-'5. Historical demand'!D301,""),"")</f>
        <v>20</v>
      </c>
      <c r="I301" s="15">
        <f t="shared" si="14"/>
        <v>88.680999999999997</v>
      </c>
    </row>
    <row r="302" spans="2:9" x14ac:dyDescent="0.2">
      <c r="B302" s="157">
        <f t="shared" si="12"/>
        <v>45733</v>
      </c>
      <c r="C302" s="320">
        <v>145</v>
      </c>
      <c r="D302" s="320"/>
      <c r="E302" s="320">
        <v>51.618000000000002</v>
      </c>
      <c r="F302" s="320">
        <v>165</v>
      </c>
      <c r="G302" s="15">
        <f t="shared" si="13"/>
        <v>113.38200000000001</v>
      </c>
      <c r="H302" s="15">
        <f>IFERROR(IF(Yearending&gt;B301,'5. Historical demand'!F302-'5. Historical demand'!C302-'5. Historical demand'!D302,""),"")</f>
        <v>20</v>
      </c>
      <c r="I302" s="15">
        <f t="shared" si="14"/>
        <v>93.382000000000005</v>
      </c>
    </row>
    <row r="303" spans="2:9" x14ac:dyDescent="0.2">
      <c r="B303" s="157">
        <f t="shared" si="12"/>
        <v>45734</v>
      </c>
      <c r="C303" s="320">
        <v>145</v>
      </c>
      <c r="D303" s="320"/>
      <c r="E303" s="320">
        <v>44.091000000000001</v>
      </c>
      <c r="F303" s="320">
        <v>165</v>
      </c>
      <c r="G303" s="15">
        <f t="shared" si="13"/>
        <v>120.90899999999999</v>
      </c>
      <c r="H303" s="15">
        <f>IFERROR(IF(Yearending&gt;B302,'5. Historical demand'!F303-'5. Historical demand'!C303-'5. Historical demand'!D303,""),"")</f>
        <v>20</v>
      </c>
      <c r="I303" s="15">
        <f t="shared" si="14"/>
        <v>100.90899999999999</v>
      </c>
    </row>
    <row r="304" spans="2:9" x14ac:dyDescent="0.2">
      <c r="B304" s="157">
        <f t="shared" si="12"/>
        <v>45735</v>
      </c>
      <c r="C304" s="320">
        <v>145</v>
      </c>
      <c r="D304" s="320"/>
      <c r="E304" s="320">
        <v>38.005000000000003</v>
      </c>
      <c r="F304" s="320">
        <v>165</v>
      </c>
      <c r="G304" s="15">
        <f t="shared" si="13"/>
        <v>126.995</v>
      </c>
      <c r="H304" s="15">
        <f>IFERROR(IF(Yearending&gt;B303,'5. Historical demand'!F304-'5. Historical demand'!C304-'5. Historical demand'!D304,""),"")</f>
        <v>20</v>
      </c>
      <c r="I304" s="15">
        <f t="shared" si="14"/>
        <v>106.995</v>
      </c>
    </row>
    <row r="305" spans="2:9" x14ac:dyDescent="0.2">
      <c r="B305" s="157">
        <f t="shared" si="12"/>
        <v>45736</v>
      </c>
      <c r="C305" s="320">
        <v>145</v>
      </c>
      <c r="D305" s="320"/>
      <c r="E305" s="320">
        <v>45.774999999999999</v>
      </c>
      <c r="F305" s="320">
        <v>165</v>
      </c>
      <c r="G305" s="15">
        <f t="shared" si="13"/>
        <v>119.22499999999999</v>
      </c>
      <c r="H305" s="15">
        <f>IFERROR(IF(Yearending&gt;B304,'5. Historical demand'!F305-'5. Historical demand'!C305-'5. Historical demand'!D305,""),"")</f>
        <v>20</v>
      </c>
      <c r="I305" s="15">
        <f t="shared" si="14"/>
        <v>99.224999999999994</v>
      </c>
    </row>
    <row r="306" spans="2:9" x14ac:dyDescent="0.2">
      <c r="B306" s="157">
        <f t="shared" si="12"/>
        <v>45737</v>
      </c>
      <c r="C306" s="320">
        <v>145</v>
      </c>
      <c r="D306" s="320"/>
      <c r="E306" s="320">
        <v>60.697000000000003</v>
      </c>
      <c r="F306" s="320">
        <v>165</v>
      </c>
      <c r="G306" s="15">
        <f t="shared" si="13"/>
        <v>104.303</v>
      </c>
      <c r="H306" s="15">
        <f>IFERROR(IF(Yearending&gt;B305,'5. Historical demand'!F306-'5. Historical demand'!C306-'5. Historical demand'!D306,""),"")</f>
        <v>20</v>
      </c>
      <c r="I306" s="15">
        <f t="shared" si="14"/>
        <v>84.302999999999997</v>
      </c>
    </row>
    <row r="307" spans="2:9" x14ac:dyDescent="0.2">
      <c r="B307" s="157">
        <f t="shared" si="12"/>
        <v>45738</v>
      </c>
      <c r="C307" s="320">
        <v>145</v>
      </c>
      <c r="D307" s="320"/>
      <c r="E307" s="320">
        <v>75.63</v>
      </c>
      <c r="F307" s="320">
        <v>165</v>
      </c>
      <c r="G307" s="15">
        <f t="shared" si="13"/>
        <v>89.37</v>
      </c>
      <c r="H307" s="15">
        <f>IFERROR(IF(Yearending&gt;B306,'5. Historical demand'!F307-'5. Historical demand'!C307-'5. Historical demand'!D307,""),"")</f>
        <v>20</v>
      </c>
      <c r="I307" s="15">
        <f t="shared" si="14"/>
        <v>69.37</v>
      </c>
    </row>
    <row r="308" spans="2:9" x14ac:dyDescent="0.2">
      <c r="B308" s="157">
        <f t="shared" si="12"/>
        <v>45739</v>
      </c>
      <c r="C308" s="320">
        <v>145</v>
      </c>
      <c r="D308" s="320"/>
      <c r="E308" s="320">
        <v>73.405000000000001</v>
      </c>
      <c r="F308" s="320">
        <v>165</v>
      </c>
      <c r="G308" s="15">
        <f t="shared" si="13"/>
        <v>91.594999999999999</v>
      </c>
      <c r="H308" s="15">
        <f>IFERROR(IF(Yearending&gt;B307,'5. Historical demand'!F308-'5. Historical demand'!C308-'5. Historical demand'!D308,""),"")</f>
        <v>20</v>
      </c>
      <c r="I308" s="15">
        <f t="shared" si="14"/>
        <v>71.594999999999999</v>
      </c>
    </row>
    <row r="309" spans="2:9" x14ac:dyDescent="0.2">
      <c r="B309" s="157">
        <f t="shared" si="12"/>
        <v>45740</v>
      </c>
      <c r="C309" s="320">
        <v>145</v>
      </c>
      <c r="D309" s="320"/>
      <c r="E309" s="320">
        <v>72.299000000000007</v>
      </c>
      <c r="F309" s="320">
        <v>165</v>
      </c>
      <c r="G309" s="15">
        <f t="shared" si="13"/>
        <v>92.700999999999993</v>
      </c>
      <c r="H309" s="15">
        <f>IFERROR(IF(Yearending&gt;B308,'5. Historical demand'!F309-'5. Historical demand'!C309-'5. Historical demand'!D309,""),"")</f>
        <v>20</v>
      </c>
      <c r="I309" s="15">
        <f t="shared" si="14"/>
        <v>72.700999999999993</v>
      </c>
    </row>
    <row r="310" spans="2:9" x14ac:dyDescent="0.2">
      <c r="B310" s="157">
        <f t="shared" si="12"/>
        <v>45741</v>
      </c>
      <c r="C310" s="320">
        <v>145</v>
      </c>
      <c r="D310" s="320"/>
      <c r="E310" s="320">
        <v>71.826999999999998</v>
      </c>
      <c r="F310" s="320">
        <v>165</v>
      </c>
      <c r="G310" s="15">
        <f t="shared" si="13"/>
        <v>93.173000000000002</v>
      </c>
      <c r="H310" s="15">
        <f>IFERROR(IF(Yearending&gt;B309,'5. Historical demand'!F310-'5. Historical demand'!C310-'5. Historical demand'!D310,""),"")</f>
        <v>20</v>
      </c>
      <c r="I310" s="15">
        <f t="shared" si="14"/>
        <v>73.173000000000002</v>
      </c>
    </row>
    <row r="311" spans="2:9" x14ac:dyDescent="0.2">
      <c r="B311" s="157">
        <f t="shared" si="12"/>
        <v>45742</v>
      </c>
      <c r="C311" s="320">
        <v>145</v>
      </c>
      <c r="D311" s="320"/>
      <c r="E311" s="320">
        <v>68.025000000000006</v>
      </c>
      <c r="F311" s="320">
        <v>165</v>
      </c>
      <c r="G311" s="15">
        <f t="shared" si="13"/>
        <v>96.974999999999994</v>
      </c>
      <c r="H311" s="15">
        <f>IFERROR(IF(Yearending&gt;B310,'5. Historical demand'!F311-'5. Historical demand'!C311-'5. Historical demand'!D311,""),"")</f>
        <v>20</v>
      </c>
      <c r="I311" s="15">
        <f t="shared" si="14"/>
        <v>76.974999999999994</v>
      </c>
    </row>
    <row r="312" spans="2:9" x14ac:dyDescent="0.2">
      <c r="B312" s="157">
        <f t="shared" si="12"/>
        <v>45743</v>
      </c>
      <c r="C312" s="320">
        <v>145</v>
      </c>
      <c r="D312" s="320"/>
      <c r="E312" s="320">
        <v>42.58</v>
      </c>
      <c r="F312" s="320">
        <v>165</v>
      </c>
      <c r="G312" s="15">
        <f t="shared" si="13"/>
        <v>122.42</v>
      </c>
      <c r="H312" s="15">
        <f>IFERROR(IF(Yearending&gt;B311,'5. Historical demand'!F312-'5. Historical demand'!C312-'5. Historical demand'!D312,""),"")</f>
        <v>20</v>
      </c>
      <c r="I312" s="15">
        <f t="shared" si="14"/>
        <v>102.42</v>
      </c>
    </row>
    <row r="313" spans="2:9" x14ac:dyDescent="0.2">
      <c r="B313" s="157">
        <f t="shared" si="12"/>
        <v>45744</v>
      </c>
      <c r="C313" s="320">
        <v>145</v>
      </c>
      <c r="D313" s="320"/>
      <c r="E313" s="320">
        <v>41.58</v>
      </c>
      <c r="F313" s="320">
        <v>165</v>
      </c>
      <c r="G313" s="15">
        <f t="shared" si="13"/>
        <v>123.42</v>
      </c>
      <c r="H313" s="15">
        <f>IFERROR(IF(Yearending&gt;B312,'5. Historical demand'!F313-'5. Historical demand'!C313-'5. Historical demand'!D313,""),"")</f>
        <v>20</v>
      </c>
      <c r="I313" s="15">
        <f t="shared" si="14"/>
        <v>103.42</v>
      </c>
    </row>
    <row r="314" spans="2:9" x14ac:dyDescent="0.2">
      <c r="B314" s="157">
        <f t="shared" si="12"/>
        <v>45745</v>
      </c>
      <c r="C314" s="320">
        <v>145</v>
      </c>
      <c r="D314" s="320"/>
      <c r="E314" s="320">
        <v>34.39</v>
      </c>
      <c r="F314" s="320">
        <v>165</v>
      </c>
      <c r="G314" s="15">
        <f t="shared" si="13"/>
        <v>130.61000000000001</v>
      </c>
      <c r="H314" s="15">
        <f>IFERROR(IF(Yearending&gt;B313,'5. Historical demand'!F314-'5. Historical demand'!C314-'5. Historical demand'!D314,""),"")</f>
        <v>20</v>
      </c>
      <c r="I314" s="15">
        <f t="shared" si="14"/>
        <v>110.61</v>
      </c>
    </row>
    <row r="315" spans="2:9" x14ac:dyDescent="0.2">
      <c r="B315" s="157">
        <f t="shared" si="12"/>
        <v>45746</v>
      </c>
      <c r="C315" s="320">
        <v>145</v>
      </c>
      <c r="D315" s="320"/>
      <c r="E315" s="320">
        <v>53.094999999999999</v>
      </c>
      <c r="F315" s="320">
        <v>165</v>
      </c>
      <c r="G315" s="15">
        <f t="shared" si="13"/>
        <v>111.905</v>
      </c>
      <c r="H315" s="15">
        <f>IFERROR(IF(Yearending&gt;B314,'5. Historical demand'!F315-'5. Historical demand'!C315-'5. Historical demand'!D315,""),"")</f>
        <v>20</v>
      </c>
      <c r="I315" s="15">
        <f t="shared" si="14"/>
        <v>91.905000000000001</v>
      </c>
    </row>
    <row r="316" spans="2:9" x14ac:dyDescent="0.2">
      <c r="B316" s="157">
        <f t="shared" si="12"/>
        <v>45747</v>
      </c>
      <c r="C316" s="320">
        <v>145</v>
      </c>
      <c r="D316" s="320"/>
      <c r="E316" s="320">
        <v>52.152999999999999</v>
      </c>
      <c r="F316" s="320">
        <v>165</v>
      </c>
      <c r="G316" s="15">
        <f t="shared" si="13"/>
        <v>112.84700000000001</v>
      </c>
      <c r="H316" s="15">
        <f>IFERROR(IF(Yearending&gt;B315,'5. Historical demand'!F316-'5. Historical demand'!C316-'5. Historical demand'!D316,""),"")</f>
        <v>20</v>
      </c>
      <c r="I316" s="15">
        <f t="shared" si="14"/>
        <v>92.847000000000008</v>
      </c>
    </row>
    <row r="317" spans="2:9" x14ac:dyDescent="0.2">
      <c r="B317" s="157">
        <f t="shared" si="12"/>
        <v>45748</v>
      </c>
      <c r="C317" s="320">
        <v>145</v>
      </c>
      <c r="D317" s="320"/>
      <c r="E317" s="320">
        <v>52.028999999999996</v>
      </c>
      <c r="F317" s="320">
        <v>165</v>
      </c>
      <c r="G317" s="15">
        <f t="shared" si="13"/>
        <v>112.971</v>
      </c>
      <c r="H317" s="15">
        <f>IFERROR(IF(Yearending&gt;B316,'5. Historical demand'!F317-'5. Historical demand'!C317-'5. Historical demand'!D317,""),"")</f>
        <v>20</v>
      </c>
      <c r="I317" s="15">
        <f t="shared" si="14"/>
        <v>92.971000000000004</v>
      </c>
    </row>
    <row r="318" spans="2:9" x14ac:dyDescent="0.2">
      <c r="B318" s="157">
        <f t="shared" si="12"/>
        <v>45749</v>
      </c>
      <c r="C318" s="320">
        <v>145</v>
      </c>
      <c r="D318" s="320"/>
      <c r="E318" s="320">
        <v>54.558999999999997</v>
      </c>
      <c r="F318" s="320">
        <v>165</v>
      </c>
      <c r="G318" s="15">
        <f t="shared" si="13"/>
        <v>110.441</v>
      </c>
      <c r="H318" s="15">
        <f>IFERROR(IF(Yearending&gt;B317,'5. Historical demand'!F318-'5. Historical demand'!C318-'5. Historical demand'!D318,""),"")</f>
        <v>20</v>
      </c>
      <c r="I318" s="15">
        <f t="shared" si="14"/>
        <v>90.441000000000003</v>
      </c>
    </row>
    <row r="319" spans="2:9" x14ac:dyDescent="0.2">
      <c r="B319" s="157">
        <f t="shared" si="12"/>
        <v>45750</v>
      </c>
      <c r="C319" s="320">
        <v>145</v>
      </c>
      <c r="D319" s="320"/>
      <c r="E319" s="320">
        <v>71.638000000000005</v>
      </c>
      <c r="F319" s="320">
        <v>165</v>
      </c>
      <c r="G319" s="15">
        <f t="shared" si="13"/>
        <v>93.361999999999995</v>
      </c>
      <c r="H319" s="15">
        <f>IFERROR(IF(Yearending&gt;B318,'5. Historical demand'!F319-'5. Historical demand'!C319-'5. Historical demand'!D319,""),"")</f>
        <v>20</v>
      </c>
      <c r="I319" s="15">
        <f t="shared" si="14"/>
        <v>73.361999999999995</v>
      </c>
    </row>
    <row r="320" spans="2:9" x14ac:dyDescent="0.2">
      <c r="B320" s="157">
        <f t="shared" si="12"/>
        <v>45751</v>
      </c>
      <c r="C320" s="320">
        <v>145</v>
      </c>
      <c r="D320" s="320"/>
      <c r="E320" s="320">
        <v>79.308999999999997</v>
      </c>
      <c r="F320" s="320">
        <v>165</v>
      </c>
      <c r="G320" s="15">
        <f t="shared" si="13"/>
        <v>85.691000000000003</v>
      </c>
      <c r="H320" s="15">
        <f>IFERROR(IF(Yearending&gt;B319,'5. Historical demand'!F320-'5. Historical demand'!C320-'5. Historical demand'!D320,""),"")</f>
        <v>20</v>
      </c>
      <c r="I320" s="15">
        <f t="shared" si="14"/>
        <v>65.691000000000003</v>
      </c>
    </row>
    <row r="321" spans="2:9" x14ac:dyDescent="0.2">
      <c r="B321" s="157">
        <f t="shared" si="12"/>
        <v>45752</v>
      </c>
      <c r="C321" s="320">
        <v>145</v>
      </c>
      <c r="D321" s="320"/>
      <c r="E321" s="320">
        <v>66.704000000000008</v>
      </c>
      <c r="F321" s="320">
        <v>165</v>
      </c>
      <c r="G321" s="15">
        <f t="shared" si="13"/>
        <v>98.295999999999992</v>
      </c>
      <c r="H321" s="15">
        <f>IFERROR(IF(Yearending&gt;B320,'5. Historical demand'!F321-'5. Historical demand'!C321-'5. Historical demand'!D321,""),"")</f>
        <v>20</v>
      </c>
      <c r="I321" s="15">
        <f t="shared" si="14"/>
        <v>78.295999999999992</v>
      </c>
    </row>
    <row r="322" spans="2:9" x14ac:dyDescent="0.2">
      <c r="B322" s="157">
        <f t="shared" si="12"/>
        <v>45753</v>
      </c>
      <c r="C322" s="320">
        <v>145</v>
      </c>
      <c r="D322" s="320"/>
      <c r="E322" s="320">
        <v>67.876000000000005</v>
      </c>
      <c r="F322" s="320">
        <v>165</v>
      </c>
      <c r="G322" s="15">
        <f t="shared" si="13"/>
        <v>97.123999999999995</v>
      </c>
      <c r="H322" s="15">
        <f>IFERROR(IF(Yearending&gt;B321,'5. Historical demand'!F322-'5. Historical demand'!C322-'5. Historical demand'!D322,""),"")</f>
        <v>20</v>
      </c>
      <c r="I322" s="15">
        <f t="shared" si="14"/>
        <v>77.123999999999995</v>
      </c>
    </row>
    <row r="323" spans="2:9" x14ac:dyDescent="0.2">
      <c r="B323" s="157">
        <f t="shared" si="12"/>
        <v>45754</v>
      </c>
      <c r="C323" s="320">
        <v>145</v>
      </c>
      <c r="D323" s="320"/>
      <c r="E323" s="320">
        <v>83.164999999999992</v>
      </c>
      <c r="F323" s="320">
        <v>165</v>
      </c>
      <c r="G323" s="15">
        <f t="shared" si="13"/>
        <v>81.835000000000008</v>
      </c>
      <c r="H323" s="15">
        <f>IFERROR(IF(Yearending&gt;B322,'5. Historical demand'!F323-'5. Historical demand'!C323-'5. Historical demand'!D323,""),"")</f>
        <v>20</v>
      </c>
      <c r="I323" s="15">
        <f t="shared" si="14"/>
        <v>61.835000000000008</v>
      </c>
    </row>
    <row r="324" spans="2:9" x14ac:dyDescent="0.2">
      <c r="B324" s="157">
        <f t="shared" si="12"/>
        <v>45755</v>
      </c>
      <c r="C324" s="320">
        <v>145</v>
      </c>
      <c r="D324" s="320"/>
      <c r="E324" s="320">
        <v>86.670999999999992</v>
      </c>
      <c r="F324" s="320">
        <v>165</v>
      </c>
      <c r="G324" s="15">
        <f t="shared" si="13"/>
        <v>78.329000000000008</v>
      </c>
      <c r="H324" s="15">
        <f>IFERROR(IF(Yearending&gt;B323,'5. Historical demand'!F324-'5. Historical demand'!C324-'5. Historical demand'!D324,""),"")</f>
        <v>20</v>
      </c>
      <c r="I324" s="15">
        <f t="shared" si="14"/>
        <v>58.329000000000008</v>
      </c>
    </row>
    <row r="325" spans="2:9" x14ac:dyDescent="0.2">
      <c r="B325" s="157">
        <f t="shared" si="12"/>
        <v>45756</v>
      </c>
      <c r="C325" s="320">
        <v>145</v>
      </c>
      <c r="D325" s="320"/>
      <c r="E325" s="320">
        <v>92.673000000000002</v>
      </c>
      <c r="F325" s="320">
        <v>165</v>
      </c>
      <c r="G325" s="15">
        <f t="shared" si="13"/>
        <v>72.326999999999998</v>
      </c>
      <c r="H325" s="15">
        <f>IFERROR(IF(Yearending&gt;B324,'5. Historical demand'!F325-'5. Historical demand'!C325-'5. Historical demand'!D325,""),"")</f>
        <v>20</v>
      </c>
      <c r="I325" s="15">
        <f t="shared" si="14"/>
        <v>52.326999999999998</v>
      </c>
    </row>
    <row r="326" spans="2:9" x14ac:dyDescent="0.2">
      <c r="B326" s="157">
        <f t="shared" si="12"/>
        <v>45757</v>
      </c>
      <c r="C326" s="320">
        <v>145</v>
      </c>
      <c r="D326" s="320"/>
      <c r="E326" s="320">
        <v>94.25200000000001</v>
      </c>
      <c r="F326" s="320">
        <v>165</v>
      </c>
      <c r="G326" s="15">
        <f t="shared" si="13"/>
        <v>70.74799999999999</v>
      </c>
      <c r="H326" s="15">
        <f>IFERROR(IF(Yearending&gt;B325,'5. Historical demand'!F326-'5. Historical demand'!C326-'5. Historical demand'!D326,""),"")</f>
        <v>20</v>
      </c>
      <c r="I326" s="15">
        <f t="shared" si="14"/>
        <v>50.74799999999999</v>
      </c>
    </row>
    <row r="327" spans="2:9" x14ac:dyDescent="0.2">
      <c r="B327" s="157">
        <f t="shared" si="12"/>
        <v>45758</v>
      </c>
      <c r="C327" s="320">
        <v>145</v>
      </c>
      <c r="D327" s="320"/>
      <c r="E327" s="320">
        <v>91.186000000000007</v>
      </c>
      <c r="F327" s="320">
        <v>165</v>
      </c>
      <c r="G327" s="15">
        <f t="shared" si="13"/>
        <v>73.813999999999993</v>
      </c>
      <c r="H327" s="15">
        <f>IFERROR(IF(Yearending&gt;B326,'5. Historical demand'!F327-'5. Historical demand'!C327-'5. Historical demand'!D327,""),"")</f>
        <v>20</v>
      </c>
      <c r="I327" s="15">
        <f t="shared" si="14"/>
        <v>53.813999999999993</v>
      </c>
    </row>
    <row r="328" spans="2:9" x14ac:dyDescent="0.2">
      <c r="B328" s="157">
        <f t="shared" si="12"/>
        <v>45759</v>
      </c>
      <c r="C328" s="320">
        <v>145</v>
      </c>
      <c r="D328" s="320"/>
      <c r="E328" s="320">
        <v>91.087000000000003</v>
      </c>
      <c r="F328" s="320">
        <v>165</v>
      </c>
      <c r="G328" s="15">
        <f t="shared" si="13"/>
        <v>73.912999999999997</v>
      </c>
      <c r="H328" s="15">
        <f>IFERROR(IF(Yearending&gt;B327,'5. Historical demand'!F328-'5. Historical demand'!C328-'5. Historical demand'!D328,""),"")</f>
        <v>20</v>
      </c>
      <c r="I328" s="15">
        <f t="shared" si="14"/>
        <v>53.912999999999997</v>
      </c>
    </row>
    <row r="329" spans="2:9" x14ac:dyDescent="0.2">
      <c r="B329" s="157">
        <f t="shared" si="12"/>
        <v>45760</v>
      </c>
      <c r="C329" s="320">
        <v>145</v>
      </c>
      <c r="D329" s="320"/>
      <c r="E329" s="320">
        <v>85.369</v>
      </c>
      <c r="F329" s="320">
        <v>165</v>
      </c>
      <c r="G329" s="15">
        <f t="shared" si="13"/>
        <v>79.631</v>
      </c>
      <c r="H329" s="15">
        <f>IFERROR(IF(Yearending&gt;B328,'5. Historical demand'!F329-'5. Historical demand'!C329-'5. Historical demand'!D329,""),"")</f>
        <v>20</v>
      </c>
      <c r="I329" s="15">
        <f t="shared" si="14"/>
        <v>59.631</v>
      </c>
    </row>
    <row r="330" spans="2:9" x14ac:dyDescent="0.2">
      <c r="B330" s="157">
        <f t="shared" si="12"/>
        <v>45761</v>
      </c>
      <c r="C330" s="320">
        <v>145</v>
      </c>
      <c r="D330" s="320"/>
      <c r="E330" s="320">
        <v>80.524000000000001</v>
      </c>
      <c r="F330" s="320">
        <v>165</v>
      </c>
      <c r="G330" s="15">
        <f t="shared" si="13"/>
        <v>84.475999999999999</v>
      </c>
      <c r="H330" s="15">
        <f>IFERROR(IF(Yearending&gt;B329,'5. Historical demand'!F330-'5. Historical demand'!C330-'5. Historical demand'!D330,""),"")</f>
        <v>20</v>
      </c>
      <c r="I330" s="15">
        <f t="shared" si="14"/>
        <v>64.475999999999999</v>
      </c>
    </row>
    <row r="331" spans="2:9" x14ac:dyDescent="0.2">
      <c r="B331" s="157">
        <f t="shared" si="12"/>
        <v>45762</v>
      </c>
      <c r="C331" s="320">
        <v>145</v>
      </c>
      <c r="D331" s="320"/>
      <c r="E331" s="320">
        <v>81.98</v>
      </c>
      <c r="F331" s="320">
        <v>165</v>
      </c>
      <c r="G331" s="15">
        <f t="shared" si="13"/>
        <v>83.02</v>
      </c>
      <c r="H331" s="15">
        <f>IFERROR(IF(Yearending&gt;B330,'5. Historical demand'!F331-'5. Historical demand'!C331-'5. Historical demand'!D331,""),"")</f>
        <v>20</v>
      </c>
      <c r="I331" s="15">
        <f t="shared" si="14"/>
        <v>63.019999999999996</v>
      </c>
    </row>
    <row r="332" spans="2:9" x14ac:dyDescent="0.2">
      <c r="B332" s="157">
        <f t="shared" si="12"/>
        <v>45763</v>
      </c>
      <c r="C332" s="320">
        <v>145</v>
      </c>
      <c r="D332" s="320"/>
      <c r="E332" s="320">
        <v>80.403999999999996</v>
      </c>
      <c r="F332" s="320">
        <v>165</v>
      </c>
      <c r="G332" s="15">
        <f t="shared" si="13"/>
        <v>84.596000000000004</v>
      </c>
      <c r="H332" s="15">
        <f>IFERROR(IF(Yearending&gt;B331,'5. Historical demand'!F332-'5. Historical demand'!C332-'5. Historical demand'!D332,""),"")</f>
        <v>20</v>
      </c>
      <c r="I332" s="15">
        <f t="shared" si="14"/>
        <v>64.596000000000004</v>
      </c>
    </row>
    <row r="333" spans="2:9" x14ac:dyDescent="0.2">
      <c r="B333" s="157">
        <f t="shared" si="12"/>
        <v>45764</v>
      </c>
      <c r="C333" s="320">
        <v>145</v>
      </c>
      <c r="D333" s="320"/>
      <c r="E333" s="320">
        <v>90.504000000000005</v>
      </c>
      <c r="F333" s="320">
        <v>165</v>
      </c>
      <c r="G333" s="15">
        <f t="shared" si="13"/>
        <v>74.495999999999995</v>
      </c>
      <c r="H333" s="15">
        <f>IFERROR(IF(Yearending&gt;B332,'5. Historical demand'!F333-'5. Historical demand'!C333-'5. Historical demand'!D333,""),"")</f>
        <v>20</v>
      </c>
      <c r="I333" s="15">
        <f t="shared" si="14"/>
        <v>54.495999999999995</v>
      </c>
    </row>
    <row r="334" spans="2:9" x14ac:dyDescent="0.2">
      <c r="B334" s="157">
        <f t="shared" si="12"/>
        <v>45765</v>
      </c>
      <c r="C334" s="320">
        <v>145</v>
      </c>
      <c r="D334" s="320"/>
      <c r="E334" s="320">
        <v>93.27000000000001</v>
      </c>
      <c r="F334" s="320">
        <v>165</v>
      </c>
      <c r="G334" s="15">
        <f t="shared" si="13"/>
        <v>71.72999999999999</v>
      </c>
      <c r="H334" s="15">
        <f>IFERROR(IF(Yearending&gt;B333,'5. Historical demand'!F334-'5. Historical demand'!C334-'5. Historical demand'!D334,""),"")</f>
        <v>20</v>
      </c>
      <c r="I334" s="15">
        <f t="shared" si="14"/>
        <v>51.72999999999999</v>
      </c>
    </row>
    <row r="335" spans="2:9" x14ac:dyDescent="0.2">
      <c r="B335" s="157">
        <f t="shared" si="12"/>
        <v>45766</v>
      </c>
      <c r="C335" s="320">
        <v>145</v>
      </c>
      <c r="D335" s="320"/>
      <c r="E335" s="320">
        <v>90.55</v>
      </c>
      <c r="F335" s="320">
        <v>165</v>
      </c>
      <c r="G335" s="15">
        <f t="shared" si="13"/>
        <v>74.45</v>
      </c>
      <c r="H335" s="15">
        <f>IFERROR(IF(Yearending&gt;B334,'5. Historical demand'!F335-'5. Historical demand'!C335-'5. Historical demand'!D335,""),"")</f>
        <v>20</v>
      </c>
      <c r="I335" s="15">
        <f t="shared" si="14"/>
        <v>54.45</v>
      </c>
    </row>
    <row r="336" spans="2:9" x14ac:dyDescent="0.2">
      <c r="B336" s="157">
        <f t="shared" si="12"/>
        <v>45767</v>
      </c>
      <c r="C336" s="320">
        <v>145</v>
      </c>
      <c r="D336" s="320"/>
      <c r="E336" s="320">
        <v>86.278999999999996</v>
      </c>
      <c r="F336" s="320">
        <v>165</v>
      </c>
      <c r="G336" s="15">
        <f t="shared" si="13"/>
        <v>78.721000000000004</v>
      </c>
      <c r="H336" s="15">
        <f>IFERROR(IF(Yearending&gt;B335,'5. Historical demand'!F336-'5. Historical demand'!C336-'5. Historical demand'!D336,""),"")</f>
        <v>20</v>
      </c>
      <c r="I336" s="15">
        <f t="shared" si="14"/>
        <v>58.721000000000004</v>
      </c>
    </row>
    <row r="337" spans="2:9" x14ac:dyDescent="0.2">
      <c r="B337" s="157">
        <f t="shared" si="12"/>
        <v>45768</v>
      </c>
      <c r="C337" s="320">
        <v>145</v>
      </c>
      <c r="D337" s="320"/>
      <c r="E337" s="320">
        <v>81.692000000000007</v>
      </c>
      <c r="F337" s="320">
        <v>165</v>
      </c>
      <c r="G337" s="15">
        <f t="shared" si="13"/>
        <v>83.307999999999993</v>
      </c>
      <c r="H337" s="15">
        <f>IFERROR(IF(Yearending&gt;B336,'5. Historical demand'!F337-'5. Historical demand'!C337-'5. Historical demand'!D337,""),"")</f>
        <v>20</v>
      </c>
      <c r="I337" s="15">
        <f t="shared" si="14"/>
        <v>63.307999999999993</v>
      </c>
    </row>
    <row r="338" spans="2:9" x14ac:dyDescent="0.2">
      <c r="B338" s="157">
        <f t="shared" si="12"/>
        <v>45769</v>
      </c>
      <c r="C338" s="320">
        <v>145</v>
      </c>
      <c r="D338" s="320"/>
      <c r="E338" s="320">
        <v>85.253</v>
      </c>
      <c r="F338" s="320">
        <v>165</v>
      </c>
      <c r="G338" s="15">
        <f t="shared" si="13"/>
        <v>79.747</v>
      </c>
      <c r="H338" s="15">
        <f>IFERROR(IF(Yearending&gt;B337,'5. Historical demand'!F338-'5. Historical demand'!C338-'5. Historical demand'!D338,""),"")</f>
        <v>20</v>
      </c>
      <c r="I338" s="15">
        <f t="shared" si="14"/>
        <v>59.747</v>
      </c>
    </row>
    <row r="339" spans="2:9" x14ac:dyDescent="0.2">
      <c r="B339" s="157">
        <f t="shared" si="12"/>
        <v>45770</v>
      </c>
      <c r="C339" s="320">
        <v>145</v>
      </c>
      <c r="D339" s="320"/>
      <c r="E339" s="320">
        <v>91.221000000000004</v>
      </c>
      <c r="F339" s="320">
        <v>165</v>
      </c>
      <c r="G339" s="15">
        <f t="shared" si="13"/>
        <v>73.778999999999996</v>
      </c>
      <c r="H339" s="15">
        <f>IFERROR(IF(Yearending&gt;B338,'5. Historical demand'!F339-'5. Historical demand'!C339-'5. Historical demand'!D339,""),"")</f>
        <v>20</v>
      </c>
      <c r="I339" s="15">
        <f t="shared" si="14"/>
        <v>53.778999999999996</v>
      </c>
    </row>
    <row r="340" spans="2:9" x14ac:dyDescent="0.2">
      <c r="B340" s="157">
        <f t="shared" si="12"/>
        <v>45771</v>
      </c>
      <c r="C340" s="320">
        <v>145</v>
      </c>
      <c r="D340" s="320"/>
      <c r="E340" s="320">
        <v>93.853000000000009</v>
      </c>
      <c r="F340" s="320">
        <v>165</v>
      </c>
      <c r="G340" s="15">
        <f t="shared" si="13"/>
        <v>71.146999999999991</v>
      </c>
      <c r="H340" s="15">
        <f>IFERROR(IF(Yearending&gt;B339,'5. Historical demand'!F340-'5. Historical demand'!C340-'5. Historical demand'!D340,""),"")</f>
        <v>20</v>
      </c>
      <c r="I340" s="15">
        <f t="shared" si="14"/>
        <v>51.146999999999991</v>
      </c>
    </row>
    <row r="341" spans="2:9" x14ac:dyDescent="0.2">
      <c r="B341" s="157">
        <f t="shared" si="12"/>
        <v>45772</v>
      </c>
      <c r="C341" s="320">
        <v>145</v>
      </c>
      <c r="D341" s="320"/>
      <c r="E341" s="320">
        <v>88.450999999999993</v>
      </c>
      <c r="F341" s="320">
        <v>165</v>
      </c>
      <c r="G341" s="15">
        <f t="shared" si="13"/>
        <v>76.549000000000007</v>
      </c>
      <c r="H341" s="15">
        <f>IFERROR(IF(Yearending&gt;B340,'5. Historical demand'!F341-'5. Historical demand'!C341-'5. Historical demand'!D341,""),"")</f>
        <v>20</v>
      </c>
      <c r="I341" s="15">
        <f t="shared" si="14"/>
        <v>56.549000000000007</v>
      </c>
    </row>
    <row r="342" spans="2:9" x14ac:dyDescent="0.2">
      <c r="B342" s="157">
        <f t="shared" si="12"/>
        <v>45773</v>
      </c>
      <c r="C342" s="320">
        <v>145</v>
      </c>
      <c r="D342" s="320"/>
      <c r="E342" s="320">
        <v>86.227000000000004</v>
      </c>
      <c r="F342" s="320">
        <v>165</v>
      </c>
      <c r="G342" s="15">
        <f t="shared" si="13"/>
        <v>78.772999999999996</v>
      </c>
      <c r="H342" s="15">
        <f>IFERROR(IF(Yearending&gt;B341,'5. Historical demand'!F342-'5. Historical demand'!C342-'5. Historical demand'!D342,""),"")</f>
        <v>20</v>
      </c>
      <c r="I342" s="15">
        <f t="shared" si="14"/>
        <v>58.772999999999996</v>
      </c>
    </row>
    <row r="343" spans="2:9" x14ac:dyDescent="0.2">
      <c r="B343" s="157">
        <f t="shared" si="12"/>
        <v>45774</v>
      </c>
      <c r="C343" s="320">
        <v>145</v>
      </c>
      <c r="D343" s="320"/>
      <c r="E343" s="320">
        <v>85.781000000000006</v>
      </c>
      <c r="F343" s="320">
        <v>165</v>
      </c>
      <c r="G343" s="15">
        <f t="shared" si="13"/>
        <v>79.218999999999994</v>
      </c>
      <c r="H343" s="15">
        <f>IFERROR(IF(Yearending&gt;B342,'5. Historical demand'!F343-'5. Historical demand'!C343-'5. Historical demand'!D343,""),"")</f>
        <v>20</v>
      </c>
      <c r="I343" s="15">
        <f t="shared" si="14"/>
        <v>59.218999999999994</v>
      </c>
    </row>
    <row r="344" spans="2:9" x14ac:dyDescent="0.2">
      <c r="B344" s="157">
        <f t="shared" si="12"/>
        <v>45775</v>
      </c>
      <c r="C344" s="320">
        <v>145</v>
      </c>
      <c r="D344" s="320"/>
      <c r="E344" s="320">
        <v>84.072000000000003</v>
      </c>
      <c r="F344" s="320">
        <v>165</v>
      </c>
      <c r="G344" s="15">
        <f t="shared" si="13"/>
        <v>80.927999999999997</v>
      </c>
      <c r="H344" s="15">
        <f>IFERROR(IF(Yearending&gt;B343,'5. Historical demand'!F344-'5. Historical demand'!C344-'5. Historical demand'!D344,""),"")</f>
        <v>20</v>
      </c>
      <c r="I344" s="15">
        <f t="shared" si="14"/>
        <v>60.927999999999997</v>
      </c>
    </row>
    <row r="345" spans="2:9" x14ac:dyDescent="0.2">
      <c r="B345" s="157">
        <f t="shared" si="12"/>
        <v>45776</v>
      </c>
      <c r="C345" s="320">
        <v>145</v>
      </c>
      <c r="D345" s="320"/>
      <c r="E345" s="320">
        <v>80.841999999999999</v>
      </c>
      <c r="F345" s="320">
        <v>165</v>
      </c>
      <c r="G345" s="15">
        <f t="shared" si="13"/>
        <v>84.158000000000001</v>
      </c>
      <c r="H345" s="15">
        <f>IFERROR(IF(Yearending&gt;B344,'5. Historical demand'!F345-'5. Historical demand'!C345-'5. Historical demand'!D345,""),"")</f>
        <v>20</v>
      </c>
      <c r="I345" s="15">
        <f t="shared" si="14"/>
        <v>64.158000000000001</v>
      </c>
    </row>
    <row r="346" spans="2:9" x14ac:dyDescent="0.2">
      <c r="B346" s="157">
        <f t="shared" si="12"/>
        <v>45777</v>
      </c>
      <c r="C346" s="320">
        <v>145</v>
      </c>
      <c r="D346" s="320"/>
      <c r="E346" s="320">
        <v>84.652999999999992</v>
      </c>
      <c r="F346" s="320">
        <v>165</v>
      </c>
      <c r="G346" s="15">
        <f t="shared" si="13"/>
        <v>80.347000000000008</v>
      </c>
      <c r="H346" s="15">
        <f>IFERROR(IF(Yearending&gt;B345,'5. Historical demand'!F346-'5. Historical demand'!C346-'5. Historical demand'!D346,""),"")</f>
        <v>20</v>
      </c>
      <c r="I346" s="15">
        <f t="shared" si="14"/>
        <v>60.347000000000008</v>
      </c>
    </row>
    <row r="347" spans="2:9" x14ac:dyDescent="0.2">
      <c r="B347" s="157">
        <f t="shared" si="12"/>
        <v>45778</v>
      </c>
      <c r="C347" s="320">
        <v>145</v>
      </c>
      <c r="D347" s="320"/>
      <c r="E347" s="320">
        <v>79.701999999999998</v>
      </c>
      <c r="F347" s="320">
        <v>165</v>
      </c>
      <c r="G347" s="15">
        <f t="shared" si="13"/>
        <v>85.298000000000002</v>
      </c>
      <c r="H347" s="15">
        <f>IFERROR(IF(Yearending&gt;B346,'5. Historical demand'!F347-'5. Historical demand'!C347-'5. Historical demand'!D347,""),"")</f>
        <v>20</v>
      </c>
      <c r="I347" s="15">
        <f t="shared" si="14"/>
        <v>65.298000000000002</v>
      </c>
    </row>
    <row r="348" spans="2:9" x14ac:dyDescent="0.2">
      <c r="B348" s="157">
        <f t="shared" si="12"/>
        <v>45779</v>
      </c>
      <c r="C348" s="320">
        <v>145</v>
      </c>
      <c r="D348" s="320"/>
      <c r="E348" s="320">
        <v>76.620999999999995</v>
      </c>
      <c r="F348" s="320">
        <v>165</v>
      </c>
      <c r="G348" s="15">
        <f t="shared" si="13"/>
        <v>88.379000000000005</v>
      </c>
      <c r="H348" s="15">
        <f>IFERROR(IF(Yearending&gt;B347,'5. Historical demand'!F348-'5. Historical demand'!C348-'5. Historical demand'!D348,""),"")</f>
        <v>20</v>
      </c>
      <c r="I348" s="15">
        <f t="shared" si="14"/>
        <v>68.379000000000005</v>
      </c>
    </row>
    <row r="349" spans="2:9" x14ac:dyDescent="0.2">
      <c r="B349" s="157">
        <f t="shared" si="12"/>
        <v>45780</v>
      </c>
      <c r="C349" s="320">
        <v>145</v>
      </c>
      <c r="D349" s="320"/>
      <c r="E349" s="320">
        <v>76.05</v>
      </c>
      <c r="F349" s="320">
        <v>165</v>
      </c>
      <c r="G349" s="15">
        <f t="shared" si="13"/>
        <v>88.95</v>
      </c>
      <c r="H349" s="15">
        <f>IFERROR(IF(Yearending&gt;B348,'5. Historical demand'!F349-'5. Historical demand'!C349-'5. Historical demand'!D349,""),"")</f>
        <v>20</v>
      </c>
      <c r="I349" s="15">
        <f t="shared" si="14"/>
        <v>68.95</v>
      </c>
    </row>
    <row r="350" spans="2:9" x14ac:dyDescent="0.2">
      <c r="B350" s="157">
        <f t="shared" si="12"/>
        <v>45781</v>
      </c>
      <c r="C350" s="320">
        <v>145</v>
      </c>
      <c r="D350" s="320"/>
      <c r="E350" s="320">
        <v>69.923000000000002</v>
      </c>
      <c r="F350" s="320">
        <v>165</v>
      </c>
      <c r="G350" s="15">
        <f t="shared" si="13"/>
        <v>95.076999999999998</v>
      </c>
      <c r="H350" s="15">
        <f>IFERROR(IF(Yearending&gt;B349,'5. Historical demand'!F350-'5. Historical demand'!C350-'5. Historical demand'!D350,""),"")</f>
        <v>20</v>
      </c>
      <c r="I350" s="15">
        <f t="shared" si="14"/>
        <v>75.076999999999998</v>
      </c>
    </row>
    <row r="351" spans="2:9" x14ac:dyDescent="0.2">
      <c r="B351" s="157">
        <f t="shared" si="12"/>
        <v>45782</v>
      </c>
      <c r="C351" s="320">
        <v>145</v>
      </c>
      <c r="D351" s="320"/>
      <c r="E351" s="320">
        <v>70.911000000000001</v>
      </c>
      <c r="F351" s="320">
        <v>165</v>
      </c>
      <c r="G351" s="15">
        <f t="shared" si="13"/>
        <v>94.088999999999999</v>
      </c>
      <c r="H351" s="15">
        <f>IFERROR(IF(Yearending&gt;B350,'5. Historical demand'!F351-'5. Historical demand'!C351-'5. Historical demand'!D351,""),"")</f>
        <v>20</v>
      </c>
      <c r="I351" s="15">
        <f t="shared" si="14"/>
        <v>74.088999999999999</v>
      </c>
    </row>
    <row r="352" spans="2:9" x14ac:dyDescent="0.2">
      <c r="B352" s="157">
        <f t="shared" si="12"/>
        <v>45783</v>
      </c>
      <c r="C352" s="320">
        <v>145</v>
      </c>
      <c r="D352" s="320"/>
      <c r="E352" s="320">
        <v>75.010999999999996</v>
      </c>
      <c r="F352" s="320">
        <v>165</v>
      </c>
      <c r="G352" s="15">
        <f t="shared" si="13"/>
        <v>89.989000000000004</v>
      </c>
      <c r="H352" s="15">
        <f>IFERROR(IF(Yearending&gt;B351,'5. Historical demand'!F352-'5. Historical demand'!C352-'5. Historical demand'!D352,""),"")</f>
        <v>20</v>
      </c>
      <c r="I352" s="15">
        <f t="shared" si="14"/>
        <v>69.989000000000004</v>
      </c>
    </row>
    <row r="353" spans="2:9" x14ac:dyDescent="0.2">
      <c r="B353" s="157">
        <f t="shared" si="12"/>
        <v>45784</v>
      </c>
      <c r="C353" s="320">
        <v>145</v>
      </c>
      <c r="D353" s="320"/>
      <c r="E353" s="320">
        <v>71.997</v>
      </c>
      <c r="F353" s="320">
        <v>165</v>
      </c>
      <c r="G353" s="15">
        <f t="shared" si="13"/>
        <v>93.003</v>
      </c>
      <c r="H353" s="15">
        <f>IFERROR(IF(Yearending&gt;B352,'5. Historical demand'!F353-'5. Historical demand'!C353-'5. Historical demand'!D353,""),"")</f>
        <v>20</v>
      </c>
      <c r="I353" s="15">
        <f t="shared" si="14"/>
        <v>73.003</v>
      </c>
    </row>
    <row r="354" spans="2:9" x14ac:dyDescent="0.2">
      <c r="B354" s="157">
        <f t="shared" si="12"/>
        <v>45785</v>
      </c>
      <c r="C354" s="320">
        <v>145</v>
      </c>
      <c r="D354" s="320"/>
      <c r="E354" s="320">
        <v>69.405000000000001</v>
      </c>
      <c r="F354" s="320">
        <v>165</v>
      </c>
      <c r="G354" s="15">
        <f t="shared" si="13"/>
        <v>95.594999999999999</v>
      </c>
      <c r="H354" s="15">
        <f>IFERROR(IF(Yearending&gt;B353,'5. Historical demand'!F354-'5. Historical demand'!C354-'5. Historical demand'!D354,""),"")</f>
        <v>20</v>
      </c>
      <c r="I354" s="15">
        <f t="shared" si="14"/>
        <v>75.594999999999999</v>
      </c>
    </row>
    <row r="355" spans="2:9" x14ac:dyDescent="0.2">
      <c r="B355" s="157">
        <f t="shared" si="12"/>
        <v>45786</v>
      </c>
      <c r="C355" s="320">
        <v>145</v>
      </c>
      <c r="D355" s="320"/>
      <c r="E355" s="320">
        <v>90.841999999999999</v>
      </c>
      <c r="F355" s="320">
        <v>165</v>
      </c>
      <c r="G355" s="15">
        <f t="shared" si="13"/>
        <v>74.158000000000001</v>
      </c>
      <c r="H355" s="15">
        <f>IFERROR(IF(Yearending&gt;B354,'5. Historical demand'!F355-'5. Historical demand'!C355-'5. Historical demand'!D355,""),"")</f>
        <v>20</v>
      </c>
      <c r="I355" s="15">
        <f t="shared" si="14"/>
        <v>54.158000000000001</v>
      </c>
    </row>
    <row r="356" spans="2:9" x14ac:dyDescent="0.2">
      <c r="B356" s="157">
        <f t="shared" si="12"/>
        <v>45787</v>
      </c>
      <c r="C356" s="320">
        <v>145</v>
      </c>
      <c r="D356" s="320"/>
      <c r="E356" s="320">
        <v>83.82</v>
      </c>
      <c r="F356" s="320">
        <v>165</v>
      </c>
      <c r="G356" s="15">
        <f t="shared" si="13"/>
        <v>81.180000000000007</v>
      </c>
      <c r="H356" s="15">
        <f>IFERROR(IF(Yearending&gt;B355,'5. Historical demand'!F356-'5. Historical demand'!C356-'5. Historical demand'!D356,""),"")</f>
        <v>20</v>
      </c>
      <c r="I356" s="15">
        <f t="shared" si="14"/>
        <v>61.180000000000007</v>
      </c>
    </row>
    <row r="357" spans="2:9" x14ac:dyDescent="0.2">
      <c r="B357" s="157">
        <f t="shared" si="12"/>
        <v>45788</v>
      </c>
      <c r="C357" s="320">
        <v>145</v>
      </c>
      <c r="D357" s="320"/>
      <c r="E357" s="320">
        <v>87.59899999999999</v>
      </c>
      <c r="F357" s="320">
        <v>165</v>
      </c>
      <c r="G357" s="15">
        <f t="shared" si="13"/>
        <v>77.40100000000001</v>
      </c>
      <c r="H357" s="15">
        <f>IFERROR(IF(Yearending&gt;B356,'5. Historical demand'!F357-'5. Historical demand'!C357-'5. Historical demand'!D357,""),"")</f>
        <v>20</v>
      </c>
      <c r="I357" s="15">
        <f t="shared" si="14"/>
        <v>57.40100000000001</v>
      </c>
    </row>
    <row r="358" spans="2:9" x14ac:dyDescent="0.2">
      <c r="B358" s="157">
        <f t="shared" si="12"/>
        <v>45789</v>
      </c>
      <c r="C358" s="320">
        <v>145</v>
      </c>
      <c r="D358" s="320"/>
      <c r="E358" s="320">
        <v>62.382000000000005</v>
      </c>
      <c r="F358" s="320">
        <v>165</v>
      </c>
      <c r="G358" s="15">
        <f t="shared" si="13"/>
        <v>102.61799999999999</v>
      </c>
      <c r="H358" s="15">
        <f>IFERROR(IF(Yearending&gt;B357,'5. Historical demand'!F358-'5. Historical demand'!C358-'5. Historical demand'!D358,""),"")</f>
        <v>20</v>
      </c>
      <c r="I358" s="15">
        <f t="shared" si="14"/>
        <v>82.617999999999995</v>
      </c>
    </row>
    <row r="359" spans="2:9" x14ac:dyDescent="0.2">
      <c r="B359" s="157">
        <f t="shared" si="12"/>
        <v>45790</v>
      </c>
      <c r="C359" s="320">
        <v>145</v>
      </c>
      <c r="D359" s="320"/>
      <c r="E359" s="320">
        <v>69.738</v>
      </c>
      <c r="F359" s="320">
        <v>165</v>
      </c>
      <c r="G359" s="15">
        <f t="shared" si="13"/>
        <v>95.262</v>
      </c>
      <c r="H359" s="15">
        <f>IFERROR(IF(Yearending&gt;B358,'5. Historical demand'!F359-'5. Historical demand'!C359-'5. Historical demand'!D359,""),"")</f>
        <v>20</v>
      </c>
      <c r="I359" s="15">
        <f t="shared" si="14"/>
        <v>75.262</v>
      </c>
    </row>
    <row r="360" spans="2:9" x14ac:dyDescent="0.2">
      <c r="B360" s="157">
        <f t="shared" si="12"/>
        <v>45791</v>
      </c>
      <c r="C360" s="320">
        <v>145</v>
      </c>
      <c r="D360" s="320"/>
      <c r="E360" s="320">
        <v>88.504000000000005</v>
      </c>
      <c r="F360" s="320">
        <v>165</v>
      </c>
      <c r="G360" s="15">
        <f t="shared" si="13"/>
        <v>76.495999999999995</v>
      </c>
      <c r="H360" s="15">
        <f>IFERROR(IF(Yearending&gt;B359,'5. Historical demand'!F360-'5. Historical demand'!C360-'5. Historical demand'!D360,""),"")</f>
        <v>20</v>
      </c>
      <c r="I360" s="15">
        <f t="shared" si="14"/>
        <v>56.495999999999995</v>
      </c>
    </row>
    <row r="361" spans="2:9" x14ac:dyDescent="0.2">
      <c r="B361" s="157">
        <f t="shared" si="12"/>
        <v>45792</v>
      </c>
      <c r="C361" s="320">
        <v>145</v>
      </c>
      <c r="D361" s="320"/>
      <c r="E361" s="320">
        <v>80.163999999999987</v>
      </c>
      <c r="F361" s="320">
        <v>165</v>
      </c>
      <c r="G361" s="15">
        <f t="shared" si="13"/>
        <v>84.836000000000013</v>
      </c>
      <c r="H361" s="15">
        <f>IFERROR(IF(Yearending&gt;B360,'5. Historical demand'!F361-'5. Historical demand'!C361-'5. Historical demand'!D361,""),"")</f>
        <v>20</v>
      </c>
      <c r="I361" s="15">
        <f t="shared" si="14"/>
        <v>64.836000000000013</v>
      </c>
    </row>
    <row r="362" spans="2:9" x14ac:dyDescent="0.2">
      <c r="B362" s="157">
        <f t="shared" si="12"/>
        <v>45793</v>
      </c>
      <c r="C362" s="320">
        <v>145</v>
      </c>
      <c r="D362" s="320"/>
      <c r="E362" s="320">
        <v>78.115000000000009</v>
      </c>
      <c r="F362" s="320">
        <v>165</v>
      </c>
      <c r="G362" s="15">
        <f t="shared" si="13"/>
        <v>86.884999999999991</v>
      </c>
      <c r="H362" s="15">
        <f>IFERROR(IF(Yearending&gt;B361,'5. Historical demand'!F362-'5. Historical demand'!C362-'5. Historical demand'!D362,""),"")</f>
        <v>20</v>
      </c>
      <c r="I362" s="15">
        <f t="shared" si="14"/>
        <v>66.884999999999991</v>
      </c>
    </row>
    <row r="363" spans="2:9" x14ac:dyDescent="0.2">
      <c r="B363" s="157">
        <f t="shared" si="12"/>
        <v>45794</v>
      </c>
      <c r="C363" s="320">
        <v>145</v>
      </c>
      <c r="D363" s="320"/>
      <c r="E363" s="320">
        <v>70.474000000000004</v>
      </c>
      <c r="F363" s="320">
        <v>165</v>
      </c>
      <c r="G363" s="15">
        <f t="shared" si="13"/>
        <v>94.525999999999996</v>
      </c>
      <c r="H363" s="15">
        <f>IFERROR(IF(Yearending&gt;B362,'5. Historical demand'!F363-'5. Historical demand'!C363-'5. Historical demand'!D363,""),"")</f>
        <v>20</v>
      </c>
      <c r="I363" s="15">
        <f t="shared" si="14"/>
        <v>74.525999999999996</v>
      </c>
    </row>
    <row r="364" spans="2:9" x14ac:dyDescent="0.2">
      <c r="B364" s="157">
        <f t="shared" ref="B364:B408" si="15">IFERROR(IF(Yearending&gt;B363, B363+1, ""),"")</f>
        <v>45795</v>
      </c>
      <c r="C364" s="320">
        <v>145</v>
      </c>
      <c r="D364" s="320"/>
      <c r="E364" s="320">
        <v>69.11699999999999</v>
      </c>
      <c r="F364" s="320">
        <v>165</v>
      </c>
      <c r="G364" s="15">
        <f t="shared" ref="G364:G408" si="16">IFERROR(IF(Yearending&gt;B363,F364-E364,""),"")</f>
        <v>95.88300000000001</v>
      </c>
      <c r="H364" s="15">
        <f>IFERROR(IF(Yearending&gt;B363,'5. Historical demand'!F364-'5. Historical demand'!C364-'5. Historical demand'!D364,""),"")</f>
        <v>20</v>
      </c>
      <c r="I364" s="15">
        <f t="shared" ref="I364:I408" si="17">IFERROR(IF(Yearending&gt;B363,C364+D364-E364,""),"")</f>
        <v>75.88300000000001</v>
      </c>
    </row>
    <row r="365" spans="2:9" x14ac:dyDescent="0.2">
      <c r="B365" s="157">
        <f t="shared" si="15"/>
        <v>45796</v>
      </c>
      <c r="C365" s="320">
        <v>145</v>
      </c>
      <c r="D365" s="320"/>
      <c r="E365" s="320">
        <v>68.376999999999995</v>
      </c>
      <c r="F365" s="320">
        <v>165</v>
      </c>
      <c r="G365" s="15">
        <f t="shared" si="16"/>
        <v>96.623000000000005</v>
      </c>
      <c r="H365" s="15">
        <f>IFERROR(IF(Yearending&gt;B364,'5. Historical demand'!F365-'5. Historical demand'!C365-'5. Historical demand'!D365,""),"")</f>
        <v>20</v>
      </c>
      <c r="I365" s="15">
        <f t="shared" si="17"/>
        <v>76.623000000000005</v>
      </c>
    </row>
    <row r="366" spans="2:9" x14ac:dyDescent="0.2">
      <c r="B366" s="157">
        <f t="shared" si="15"/>
        <v>45797</v>
      </c>
      <c r="C366" s="320">
        <v>145</v>
      </c>
      <c r="D366" s="320"/>
      <c r="E366" s="320">
        <v>71.438999999999993</v>
      </c>
      <c r="F366" s="320">
        <v>165</v>
      </c>
      <c r="G366" s="15">
        <f t="shared" si="16"/>
        <v>93.561000000000007</v>
      </c>
      <c r="H366" s="15">
        <f>IFERROR(IF(Yearending&gt;B365,'5. Historical demand'!F366-'5. Historical demand'!C366-'5. Historical demand'!D366,""),"")</f>
        <v>20</v>
      </c>
      <c r="I366" s="15">
        <f t="shared" si="17"/>
        <v>73.561000000000007</v>
      </c>
    </row>
    <row r="367" spans="2:9" x14ac:dyDescent="0.2">
      <c r="B367" s="157">
        <f t="shared" si="15"/>
        <v>45798</v>
      </c>
      <c r="C367" s="320">
        <v>145</v>
      </c>
      <c r="D367" s="320"/>
      <c r="E367" s="320">
        <v>72.896000000000001</v>
      </c>
      <c r="F367" s="320">
        <v>165</v>
      </c>
      <c r="G367" s="15">
        <f t="shared" si="16"/>
        <v>92.103999999999999</v>
      </c>
      <c r="H367" s="15">
        <f>IFERROR(IF(Yearending&gt;B366,'5. Historical demand'!F367-'5. Historical demand'!C367-'5. Historical demand'!D367,""),"")</f>
        <v>20</v>
      </c>
      <c r="I367" s="15">
        <f t="shared" si="17"/>
        <v>72.103999999999999</v>
      </c>
    </row>
    <row r="368" spans="2:9" x14ac:dyDescent="0.2">
      <c r="B368" s="157">
        <f t="shared" si="15"/>
        <v>45799</v>
      </c>
      <c r="C368" s="320">
        <v>145</v>
      </c>
      <c r="D368" s="320"/>
      <c r="E368" s="320">
        <v>88.888000000000005</v>
      </c>
      <c r="F368" s="320">
        <v>165</v>
      </c>
      <c r="G368" s="15">
        <f t="shared" si="16"/>
        <v>76.111999999999995</v>
      </c>
      <c r="H368" s="15">
        <f>IFERROR(IF(Yearending&gt;B367,'5. Historical demand'!F368-'5. Historical demand'!C368-'5. Historical demand'!D368,""),"")</f>
        <v>20</v>
      </c>
      <c r="I368" s="15">
        <f t="shared" si="17"/>
        <v>56.111999999999995</v>
      </c>
    </row>
    <row r="369" spans="2:9" x14ac:dyDescent="0.2">
      <c r="B369" s="157">
        <f t="shared" si="15"/>
        <v>45800</v>
      </c>
      <c r="C369" s="320">
        <v>145</v>
      </c>
      <c r="D369" s="320"/>
      <c r="E369" s="320">
        <v>94.943000000000012</v>
      </c>
      <c r="F369" s="320">
        <v>165</v>
      </c>
      <c r="G369" s="15">
        <f t="shared" si="16"/>
        <v>70.056999999999988</v>
      </c>
      <c r="H369" s="15">
        <f>IFERROR(IF(Yearending&gt;B368,'5. Historical demand'!F369-'5. Historical demand'!C369-'5. Historical demand'!D369,""),"")</f>
        <v>20</v>
      </c>
      <c r="I369" s="15">
        <f t="shared" si="17"/>
        <v>50.056999999999988</v>
      </c>
    </row>
    <row r="370" spans="2:9" x14ac:dyDescent="0.2">
      <c r="B370" s="157">
        <f t="shared" si="15"/>
        <v>45801</v>
      </c>
      <c r="C370" s="320">
        <v>145</v>
      </c>
      <c r="D370" s="320"/>
      <c r="E370" s="320">
        <v>96.931000000000012</v>
      </c>
      <c r="F370" s="320">
        <v>165</v>
      </c>
      <c r="G370" s="15">
        <f t="shared" si="16"/>
        <v>68.068999999999988</v>
      </c>
      <c r="H370" s="15">
        <f>IFERROR(IF(Yearending&gt;B369,'5. Historical demand'!F370-'5. Historical demand'!C370-'5. Historical demand'!D370,""),"")</f>
        <v>20</v>
      </c>
      <c r="I370" s="15">
        <f t="shared" si="17"/>
        <v>48.068999999999988</v>
      </c>
    </row>
    <row r="371" spans="2:9" x14ac:dyDescent="0.2">
      <c r="B371" s="157">
        <f t="shared" si="15"/>
        <v>45802</v>
      </c>
      <c r="C371" s="320">
        <v>145</v>
      </c>
      <c r="D371" s="320"/>
      <c r="E371" s="320">
        <v>92.893000000000001</v>
      </c>
      <c r="F371" s="320">
        <v>165</v>
      </c>
      <c r="G371" s="15">
        <f t="shared" si="16"/>
        <v>72.106999999999999</v>
      </c>
      <c r="H371" s="15">
        <f>IFERROR(IF(Yearending&gt;B370,'5. Historical demand'!F371-'5. Historical demand'!C371-'5. Historical demand'!D371,""),"")</f>
        <v>20</v>
      </c>
      <c r="I371" s="15">
        <f t="shared" si="17"/>
        <v>52.106999999999999</v>
      </c>
    </row>
    <row r="372" spans="2:9" x14ac:dyDescent="0.2">
      <c r="B372" s="157">
        <f t="shared" si="15"/>
        <v>45803</v>
      </c>
      <c r="C372" s="320">
        <v>145</v>
      </c>
      <c r="D372" s="320"/>
      <c r="E372" s="320">
        <v>95.504999999999995</v>
      </c>
      <c r="F372" s="320">
        <v>165</v>
      </c>
      <c r="G372" s="15">
        <f t="shared" si="16"/>
        <v>69.495000000000005</v>
      </c>
      <c r="H372" s="15">
        <f>IFERROR(IF(Yearending&gt;B371,'5. Historical demand'!F372-'5. Historical demand'!C372-'5. Historical demand'!D372,""),"")</f>
        <v>20</v>
      </c>
      <c r="I372" s="15">
        <f t="shared" si="17"/>
        <v>49.495000000000005</v>
      </c>
    </row>
    <row r="373" spans="2:9" x14ac:dyDescent="0.2">
      <c r="B373" s="157">
        <f t="shared" si="15"/>
        <v>45804</v>
      </c>
      <c r="C373" s="320">
        <v>145</v>
      </c>
      <c r="D373" s="320"/>
      <c r="E373" s="320">
        <v>90.093999999999994</v>
      </c>
      <c r="F373" s="320">
        <v>165</v>
      </c>
      <c r="G373" s="15">
        <f t="shared" si="16"/>
        <v>74.906000000000006</v>
      </c>
      <c r="H373" s="15">
        <f>IFERROR(IF(Yearending&gt;B372,'5. Historical demand'!F373-'5. Historical demand'!C373-'5. Historical demand'!D373,""),"")</f>
        <v>20</v>
      </c>
      <c r="I373" s="15">
        <f t="shared" si="17"/>
        <v>54.906000000000006</v>
      </c>
    </row>
    <row r="374" spans="2:9" x14ac:dyDescent="0.2">
      <c r="B374" s="157">
        <f t="shared" si="15"/>
        <v>45805</v>
      </c>
      <c r="C374" s="320">
        <v>145</v>
      </c>
      <c r="D374" s="320"/>
      <c r="E374" s="320">
        <v>80.727999999999994</v>
      </c>
      <c r="F374" s="320">
        <v>165</v>
      </c>
      <c r="G374" s="15">
        <f t="shared" si="16"/>
        <v>84.272000000000006</v>
      </c>
      <c r="H374" s="15">
        <f>IFERROR(IF(Yearending&gt;B373,'5. Historical demand'!F374-'5. Historical demand'!C374-'5. Historical demand'!D374,""),"")</f>
        <v>20</v>
      </c>
      <c r="I374" s="15">
        <f t="shared" si="17"/>
        <v>64.272000000000006</v>
      </c>
    </row>
    <row r="375" spans="2:9" x14ac:dyDescent="0.2">
      <c r="B375" s="157">
        <f t="shared" si="15"/>
        <v>45806</v>
      </c>
      <c r="C375" s="320">
        <v>145</v>
      </c>
      <c r="D375" s="320"/>
      <c r="E375" s="320">
        <v>81.319999999999993</v>
      </c>
      <c r="F375" s="320">
        <v>165</v>
      </c>
      <c r="G375" s="15">
        <f t="shared" si="16"/>
        <v>83.68</v>
      </c>
      <c r="H375" s="15">
        <f>IFERROR(IF(Yearending&gt;B374,'5. Historical demand'!F375-'5. Historical demand'!C375-'5. Historical demand'!D375,""),"")</f>
        <v>20</v>
      </c>
      <c r="I375" s="15">
        <f t="shared" si="17"/>
        <v>63.680000000000007</v>
      </c>
    </row>
    <row r="376" spans="2:9" x14ac:dyDescent="0.2">
      <c r="B376" s="157">
        <f t="shared" si="15"/>
        <v>45807</v>
      </c>
      <c r="C376" s="320">
        <v>145</v>
      </c>
      <c r="D376" s="320"/>
      <c r="E376" s="320">
        <v>88.657000000000011</v>
      </c>
      <c r="F376" s="320">
        <v>165</v>
      </c>
      <c r="G376" s="15">
        <f t="shared" si="16"/>
        <v>76.342999999999989</v>
      </c>
      <c r="H376" s="15">
        <f>IFERROR(IF(Yearending&gt;B375,'5. Historical demand'!F376-'5. Historical demand'!C376-'5. Historical demand'!D376,""),"")</f>
        <v>20</v>
      </c>
      <c r="I376" s="15">
        <f t="shared" si="17"/>
        <v>56.342999999999989</v>
      </c>
    </row>
    <row r="377" spans="2:9" x14ac:dyDescent="0.2">
      <c r="B377" s="157">
        <f t="shared" si="15"/>
        <v>45808</v>
      </c>
      <c r="C377" s="320">
        <v>145</v>
      </c>
      <c r="D377" s="320"/>
      <c r="E377" s="320">
        <v>91.960999999999999</v>
      </c>
      <c r="F377" s="320">
        <v>165</v>
      </c>
      <c r="G377" s="15">
        <f t="shared" si="16"/>
        <v>73.039000000000001</v>
      </c>
      <c r="H377" s="15">
        <f>IFERROR(IF(Yearending&gt;B376,'5. Historical demand'!F377-'5. Historical demand'!C377-'5. Historical demand'!D377,""),"")</f>
        <v>20</v>
      </c>
      <c r="I377" s="15">
        <f t="shared" si="17"/>
        <v>53.039000000000001</v>
      </c>
    </row>
    <row r="378" spans="2:9" x14ac:dyDescent="0.2">
      <c r="B378" s="157">
        <f t="shared" si="15"/>
        <v>45809</v>
      </c>
      <c r="C378" s="320">
        <v>145</v>
      </c>
      <c r="D378" s="320"/>
      <c r="E378" s="320">
        <v>92.344999999999999</v>
      </c>
      <c r="F378" s="320">
        <v>165</v>
      </c>
      <c r="G378" s="15">
        <f t="shared" si="16"/>
        <v>72.655000000000001</v>
      </c>
      <c r="H378" s="15">
        <f>IFERROR(IF(Yearending&gt;B377,'5. Historical demand'!F378-'5. Historical demand'!C378-'5. Historical demand'!D378,""),"")</f>
        <v>20</v>
      </c>
      <c r="I378" s="15">
        <f t="shared" si="17"/>
        <v>52.655000000000001</v>
      </c>
    </row>
    <row r="379" spans="2:9" x14ac:dyDescent="0.2">
      <c r="B379" s="157">
        <f t="shared" si="15"/>
        <v>45810</v>
      </c>
      <c r="C379" s="320">
        <v>145</v>
      </c>
      <c r="D379" s="320"/>
      <c r="E379" s="320">
        <v>88.391999999999996</v>
      </c>
      <c r="F379" s="320">
        <v>165</v>
      </c>
      <c r="G379" s="15">
        <f t="shared" si="16"/>
        <v>76.608000000000004</v>
      </c>
      <c r="H379" s="15">
        <f>IFERROR(IF(Yearending&gt;B378,'5. Historical demand'!F379-'5. Historical demand'!C379-'5. Historical demand'!D379,""),"")</f>
        <v>20</v>
      </c>
      <c r="I379" s="15">
        <f t="shared" si="17"/>
        <v>56.608000000000004</v>
      </c>
    </row>
    <row r="380" spans="2:9" x14ac:dyDescent="0.2">
      <c r="B380" s="157">
        <f t="shared" si="15"/>
        <v>45811</v>
      </c>
      <c r="C380" s="320">
        <v>145</v>
      </c>
      <c r="D380" s="320"/>
      <c r="E380" s="320">
        <v>88.936999999999998</v>
      </c>
      <c r="F380" s="320">
        <v>165</v>
      </c>
      <c r="G380" s="15">
        <f t="shared" si="16"/>
        <v>76.063000000000002</v>
      </c>
      <c r="H380" s="15">
        <f>IFERROR(IF(Yearending&gt;B379,'5. Historical demand'!F380-'5. Historical demand'!C380-'5. Historical demand'!D380,""),"")</f>
        <v>20</v>
      </c>
      <c r="I380" s="15">
        <f t="shared" si="17"/>
        <v>56.063000000000002</v>
      </c>
    </row>
    <row r="381" spans="2:9" x14ac:dyDescent="0.2">
      <c r="B381" s="157">
        <f t="shared" si="15"/>
        <v>45812</v>
      </c>
      <c r="C381" s="320">
        <v>145</v>
      </c>
      <c r="D381" s="320"/>
      <c r="E381" s="320">
        <v>88.396000000000001</v>
      </c>
      <c r="F381" s="320">
        <v>165</v>
      </c>
      <c r="G381" s="15">
        <f t="shared" si="16"/>
        <v>76.603999999999999</v>
      </c>
      <c r="H381" s="15">
        <f>IFERROR(IF(Yearending&gt;B380,'5. Historical demand'!F381-'5. Historical demand'!C381-'5. Historical demand'!D381,""),"")</f>
        <v>20</v>
      </c>
      <c r="I381" s="15">
        <f t="shared" si="17"/>
        <v>56.603999999999999</v>
      </c>
    </row>
    <row r="382" spans="2:9" x14ac:dyDescent="0.2">
      <c r="B382" s="157">
        <f t="shared" si="15"/>
        <v>45813</v>
      </c>
      <c r="C382" s="320">
        <v>145</v>
      </c>
      <c r="D382" s="320"/>
      <c r="E382" s="320">
        <v>85.747</v>
      </c>
      <c r="F382" s="320">
        <v>165</v>
      </c>
      <c r="G382" s="15">
        <f t="shared" si="16"/>
        <v>79.253</v>
      </c>
      <c r="H382" s="15">
        <f>IFERROR(IF(Yearending&gt;B381,'5. Historical demand'!F382-'5. Historical demand'!C382-'5. Historical demand'!D382,""),"")</f>
        <v>20</v>
      </c>
      <c r="I382" s="15">
        <f t="shared" si="17"/>
        <v>59.253</v>
      </c>
    </row>
    <row r="383" spans="2:9" x14ac:dyDescent="0.2">
      <c r="B383" s="157">
        <f t="shared" si="15"/>
        <v>45814</v>
      </c>
      <c r="C383" s="320">
        <v>145</v>
      </c>
      <c r="D383" s="320"/>
      <c r="E383" s="320">
        <v>93.290999999999997</v>
      </c>
      <c r="F383" s="320">
        <v>165</v>
      </c>
      <c r="G383" s="15">
        <f t="shared" si="16"/>
        <v>71.709000000000003</v>
      </c>
      <c r="H383" s="15">
        <f>IFERROR(IF(Yearending&gt;B382,'5. Historical demand'!F383-'5. Historical demand'!C383-'5. Historical demand'!D383,""),"")</f>
        <v>20</v>
      </c>
      <c r="I383" s="15">
        <f t="shared" si="17"/>
        <v>51.709000000000003</v>
      </c>
    </row>
    <row r="384" spans="2:9" x14ac:dyDescent="0.2">
      <c r="B384" s="157">
        <f t="shared" si="15"/>
        <v>45815</v>
      </c>
      <c r="C384" s="320">
        <v>145</v>
      </c>
      <c r="D384" s="320"/>
      <c r="E384" s="320">
        <v>84.763000000000005</v>
      </c>
      <c r="F384" s="320">
        <v>165</v>
      </c>
      <c r="G384" s="15">
        <f t="shared" si="16"/>
        <v>80.236999999999995</v>
      </c>
      <c r="H384" s="15">
        <f>IFERROR(IF(Yearending&gt;B383,'5. Historical demand'!F384-'5. Historical demand'!C384-'5. Historical demand'!D384,""),"")</f>
        <v>20</v>
      </c>
      <c r="I384" s="15">
        <f t="shared" si="17"/>
        <v>60.236999999999995</v>
      </c>
    </row>
    <row r="385" spans="2:9" x14ac:dyDescent="0.2">
      <c r="B385" s="157">
        <f t="shared" si="15"/>
        <v>45816</v>
      </c>
      <c r="C385" s="320">
        <v>145</v>
      </c>
      <c r="D385" s="320"/>
      <c r="E385" s="320">
        <v>81.058999999999997</v>
      </c>
      <c r="F385" s="320">
        <v>165</v>
      </c>
      <c r="G385" s="15">
        <f t="shared" si="16"/>
        <v>83.941000000000003</v>
      </c>
      <c r="H385" s="15">
        <f>IFERROR(IF(Yearending&gt;B384,'5. Historical demand'!F385-'5. Historical demand'!C385-'5. Historical demand'!D385,""),"")</f>
        <v>20</v>
      </c>
      <c r="I385" s="15">
        <f t="shared" si="17"/>
        <v>63.941000000000003</v>
      </c>
    </row>
    <row r="386" spans="2:9" x14ac:dyDescent="0.2">
      <c r="B386" s="157">
        <f t="shared" si="15"/>
        <v>45817</v>
      </c>
      <c r="C386" s="320">
        <v>145</v>
      </c>
      <c r="D386" s="320"/>
      <c r="E386" s="320">
        <v>85.265000000000015</v>
      </c>
      <c r="F386" s="320">
        <v>165</v>
      </c>
      <c r="G386" s="15">
        <f t="shared" si="16"/>
        <v>79.734999999999985</v>
      </c>
      <c r="H386" s="15">
        <f>IFERROR(IF(Yearending&gt;B385,'5. Historical demand'!F386-'5. Historical demand'!C386-'5. Historical demand'!D386,""),"")</f>
        <v>20</v>
      </c>
      <c r="I386" s="15">
        <f t="shared" si="17"/>
        <v>59.734999999999985</v>
      </c>
    </row>
    <row r="387" spans="2:9" x14ac:dyDescent="0.2">
      <c r="B387" s="157">
        <f t="shared" si="15"/>
        <v>45818</v>
      </c>
      <c r="C387" s="320">
        <v>145</v>
      </c>
      <c r="D387" s="320"/>
      <c r="E387" s="320">
        <v>88.010999999999996</v>
      </c>
      <c r="F387" s="320">
        <v>165</v>
      </c>
      <c r="G387" s="15">
        <f t="shared" si="16"/>
        <v>76.989000000000004</v>
      </c>
      <c r="H387" s="15">
        <f>IFERROR(IF(Yearending&gt;B386,'5. Historical demand'!F387-'5. Historical demand'!C387-'5. Historical demand'!D387,""),"")</f>
        <v>20</v>
      </c>
      <c r="I387" s="15">
        <f t="shared" si="17"/>
        <v>56.989000000000004</v>
      </c>
    </row>
    <row r="388" spans="2:9" x14ac:dyDescent="0.2">
      <c r="B388" s="157">
        <f t="shared" si="15"/>
        <v>45819</v>
      </c>
      <c r="C388" s="320">
        <v>145</v>
      </c>
      <c r="D388" s="320"/>
      <c r="E388" s="320">
        <v>85.292000000000002</v>
      </c>
      <c r="F388" s="320">
        <v>165</v>
      </c>
      <c r="G388" s="15">
        <f t="shared" si="16"/>
        <v>79.707999999999998</v>
      </c>
      <c r="H388" s="15">
        <f>IFERROR(IF(Yearending&gt;B387,'5. Historical demand'!F388-'5. Historical demand'!C388-'5. Historical demand'!D388,""),"")</f>
        <v>20</v>
      </c>
      <c r="I388" s="15">
        <f t="shared" si="17"/>
        <v>59.707999999999998</v>
      </c>
    </row>
    <row r="389" spans="2:9" x14ac:dyDescent="0.2">
      <c r="B389" s="157">
        <f t="shared" si="15"/>
        <v>45820</v>
      </c>
      <c r="C389" s="320">
        <v>145</v>
      </c>
      <c r="D389" s="320"/>
      <c r="E389" s="320">
        <v>85.192000000000007</v>
      </c>
      <c r="F389" s="320">
        <v>165</v>
      </c>
      <c r="G389" s="15">
        <f t="shared" si="16"/>
        <v>79.807999999999993</v>
      </c>
      <c r="H389" s="15">
        <f>IFERROR(IF(Yearending&gt;B388,'5. Historical demand'!F389-'5. Historical demand'!C389-'5. Historical demand'!D389,""),"")</f>
        <v>20</v>
      </c>
      <c r="I389" s="15">
        <f t="shared" si="17"/>
        <v>59.807999999999993</v>
      </c>
    </row>
    <row r="390" spans="2:9" x14ac:dyDescent="0.2">
      <c r="B390" s="157">
        <f t="shared" si="15"/>
        <v>45821</v>
      </c>
      <c r="C390" s="320">
        <v>145</v>
      </c>
      <c r="D390" s="320"/>
      <c r="E390" s="320">
        <v>85.228999999999999</v>
      </c>
      <c r="F390" s="320">
        <v>165</v>
      </c>
      <c r="G390" s="15">
        <f t="shared" si="16"/>
        <v>79.771000000000001</v>
      </c>
      <c r="H390" s="15">
        <f>IFERROR(IF(Yearending&gt;B389,'5. Historical demand'!F390-'5. Historical demand'!C390-'5. Historical demand'!D390,""),"")</f>
        <v>20</v>
      </c>
      <c r="I390" s="15">
        <f t="shared" si="17"/>
        <v>59.771000000000001</v>
      </c>
    </row>
    <row r="391" spans="2:9" x14ac:dyDescent="0.2">
      <c r="B391" s="157">
        <f t="shared" si="15"/>
        <v>45822</v>
      </c>
      <c r="C391" s="320">
        <v>145</v>
      </c>
      <c r="D391" s="320"/>
      <c r="E391" s="320">
        <v>84.727000000000004</v>
      </c>
      <c r="F391" s="320">
        <v>165</v>
      </c>
      <c r="G391" s="15">
        <f t="shared" si="16"/>
        <v>80.272999999999996</v>
      </c>
      <c r="H391" s="15">
        <f>IFERROR(IF(Yearending&gt;B390,'5. Historical demand'!F391-'5. Historical demand'!C391-'5. Historical demand'!D391,""),"")</f>
        <v>20</v>
      </c>
      <c r="I391" s="15">
        <f t="shared" si="17"/>
        <v>60.272999999999996</v>
      </c>
    </row>
    <row r="392" spans="2:9" x14ac:dyDescent="0.2">
      <c r="B392" s="157">
        <f t="shared" si="15"/>
        <v>45823</v>
      </c>
      <c r="C392" s="320">
        <v>145</v>
      </c>
      <c r="D392" s="320"/>
      <c r="E392" s="320">
        <v>85.9</v>
      </c>
      <c r="F392" s="320">
        <v>165</v>
      </c>
      <c r="G392" s="15">
        <f t="shared" si="16"/>
        <v>79.099999999999994</v>
      </c>
      <c r="H392" s="15">
        <f>IFERROR(IF(Yearending&gt;B391,'5. Historical demand'!F392-'5. Historical demand'!C392-'5. Historical demand'!D392,""),"")</f>
        <v>20</v>
      </c>
      <c r="I392" s="15">
        <f t="shared" si="17"/>
        <v>59.099999999999994</v>
      </c>
    </row>
    <row r="393" spans="2:9" x14ac:dyDescent="0.2">
      <c r="B393" s="157">
        <f t="shared" si="15"/>
        <v>45824</v>
      </c>
      <c r="C393" s="320">
        <v>145</v>
      </c>
      <c r="D393" s="320"/>
      <c r="E393" s="320">
        <v>87.989000000000004</v>
      </c>
      <c r="F393" s="320">
        <v>165</v>
      </c>
      <c r="G393" s="15">
        <f t="shared" si="16"/>
        <v>77.010999999999996</v>
      </c>
      <c r="H393" s="15">
        <f>IFERROR(IF(Yearending&gt;B392,'5. Historical demand'!F393-'5. Historical demand'!C393-'5. Historical demand'!D393,""),"")</f>
        <v>20</v>
      </c>
      <c r="I393" s="15">
        <f t="shared" si="17"/>
        <v>57.010999999999996</v>
      </c>
    </row>
    <row r="394" spans="2:9" x14ac:dyDescent="0.2">
      <c r="B394" s="157">
        <f t="shared" si="15"/>
        <v>45825</v>
      </c>
      <c r="C394" s="320">
        <v>145</v>
      </c>
      <c r="D394" s="320"/>
      <c r="E394" s="320">
        <v>87.522999999999996</v>
      </c>
      <c r="F394" s="320">
        <v>165</v>
      </c>
      <c r="G394" s="15">
        <f t="shared" si="16"/>
        <v>77.477000000000004</v>
      </c>
      <c r="H394" s="15">
        <f>IFERROR(IF(Yearending&gt;B393,'5. Historical demand'!F394-'5. Historical demand'!C394-'5. Historical demand'!D394,""),"")</f>
        <v>20</v>
      </c>
      <c r="I394" s="15">
        <f t="shared" si="17"/>
        <v>57.477000000000004</v>
      </c>
    </row>
    <row r="395" spans="2:9" x14ac:dyDescent="0.2">
      <c r="B395" s="157">
        <f t="shared" si="15"/>
        <v>45826</v>
      </c>
      <c r="C395" s="320">
        <v>145</v>
      </c>
      <c r="D395" s="320"/>
      <c r="E395" s="320">
        <v>84.539999999999992</v>
      </c>
      <c r="F395" s="320">
        <v>165</v>
      </c>
      <c r="G395" s="15">
        <f t="shared" si="16"/>
        <v>80.460000000000008</v>
      </c>
      <c r="H395" s="15">
        <f>IFERROR(IF(Yearending&gt;B394,'5. Historical demand'!F395-'5. Historical demand'!C395-'5. Historical demand'!D395,""),"")</f>
        <v>20</v>
      </c>
      <c r="I395" s="15">
        <f t="shared" si="17"/>
        <v>60.460000000000008</v>
      </c>
    </row>
    <row r="396" spans="2:9" x14ac:dyDescent="0.2">
      <c r="B396" s="157">
        <f t="shared" si="15"/>
        <v>45827</v>
      </c>
      <c r="C396" s="320">
        <v>145</v>
      </c>
      <c r="D396" s="320"/>
      <c r="E396" s="320">
        <v>87.39500000000001</v>
      </c>
      <c r="F396" s="320">
        <v>165</v>
      </c>
      <c r="G396" s="15">
        <f t="shared" si="16"/>
        <v>77.60499999999999</v>
      </c>
      <c r="H396" s="15">
        <f>IFERROR(IF(Yearending&gt;B395,'5. Historical demand'!F396-'5. Historical demand'!C396-'5. Historical demand'!D396,""),"")</f>
        <v>20</v>
      </c>
      <c r="I396" s="15">
        <f t="shared" si="17"/>
        <v>57.60499999999999</v>
      </c>
    </row>
    <row r="397" spans="2:9" x14ac:dyDescent="0.2">
      <c r="B397" s="157">
        <f t="shared" si="15"/>
        <v>45828</v>
      </c>
      <c r="C397" s="320">
        <v>145</v>
      </c>
      <c r="D397" s="320"/>
      <c r="E397" s="320">
        <v>88.378</v>
      </c>
      <c r="F397" s="320">
        <v>165</v>
      </c>
      <c r="G397" s="15">
        <f t="shared" si="16"/>
        <v>76.622</v>
      </c>
      <c r="H397" s="15">
        <f>IFERROR(IF(Yearending&gt;B396,'5. Historical demand'!F397-'5. Historical demand'!C397-'5. Historical demand'!D397,""),"")</f>
        <v>20</v>
      </c>
      <c r="I397" s="15">
        <f t="shared" si="17"/>
        <v>56.622</v>
      </c>
    </row>
    <row r="398" spans="2:9" x14ac:dyDescent="0.2">
      <c r="B398" s="157">
        <f t="shared" si="15"/>
        <v>45829</v>
      </c>
      <c r="C398" s="320">
        <v>145</v>
      </c>
      <c r="D398" s="320"/>
      <c r="E398" s="320">
        <v>88.699000000000012</v>
      </c>
      <c r="F398" s="320">
        <v>165</v>
      </c>
      <c r="G398" s="15">
        <f t="shared" si="16"/>
        <v>76.300999999999988</v>
      </c>
      <c r="H398" s="15">
        <f>IFERROR(IF(Yearending&gt;B397,'5. Historical demand'!F398-'5. Historical demand'!C398-'5. Historical demand'!D398,""),"")</f>
        <v>20</v>
      </c>
      <c r="I398" s="15">
        <f t="shared" si="17"/>
        <v>56.300999999999988</v>
      </c>
    </row>
    <row r="399" spans="2:9" x14ac:dyDescent="0.2">
      <c r="B399" s="157">
        <f t="shared" si="15"/>
        <v>45830</v>
      </c>
      <c r="C399" s="320">
        <v>145</v>
      </c>
      <c r="D399" s="320"/>
      <c r="E399" s="320">
        <v>87.90100000000001</v>
      </c>
      <c r="F399" s="320">
        <v>165</v>
      </c>
      <c r="G399" s="15">
        <f t="shared" si="16"/>
        <v>77.09899999999999</v>
      </c>
      <c r="H399" s="15">
        <f>IFERROR(IF(Yearending&gt;B398,'5. Historical demand'!F399-'5. Historical demand'!C399-'5. Historical demand'!D399,""),"")</f>
        <v>20</v>
      </c>
      <c r="I399" s="15">
        <f t="shared" si="17"/>
        <v>57.09899999999999</v>
      </c>
    </row>
    <row r="400" spans="2:9" x14ac:dyDescent="0.2">
      <c r="B400" s="157">
        <f t="shared" si="15"/>
        <v>45831</v>
      </c>
      <c r="C400" s="320">
        <v>145</v>
      </c>
      <c r="D400" s="320"/>
      <c r="E400" s="320">
        <v>80.981999999999999</v>
      </c>
      <c r="F400" s="320">
        <v>165</v>
      </c>
      <c r="G400" s="15">
        <f t="shared" si="16"/>
        <v>84.018000000000001</v>
      </c>
      <c r="H400" s="15">
        <f>IFERROR(IF(Yearending&gt;B399,'5. Historical demand'!F400-'5. Historical demand'!C400-'5. Historical demand'!D400,""),"")</f>
        <v>20</v>
      </c>
      <c r="I400" s="15">
        <f t="shared" si="17"/>
        <v>64.018000000000001</v>
      </c>
    </row>
    <row r="401" spans="2:9" x14ac:dyDescent="0.2">
      <c r="B401" s="157">
        <f t="shared" si="15"/>
        <v>45832</v>
      </c>
      <c r="C401" s="320">
        <v>145</v>
      </c>
      <c r="D401" s="320"/>
      <c r="E401" s="320">
        <v>77.22</v>
      </c>
      <c r="F401" s="320">
        <v>165</v>
      </c>
      <c r="G401" s="15">
        <f t="shared" si="16"/>
        <v>87.78</v>
      </c>
      <c r="H401" s="15">
        <f>IFERROR(IF(Yearending&gt;B400,'5. Historical demand'!F401-'5. Historical demand'!C401-'5. Historical demand'!D401,""),"")</f>
        <v>20</v>
      </c>
      <c r="I401" s="15">
        <f t="shared" si="17"/>
        <v>67.78</v>
      </c>
    </row>
    <row r="402" spans="2:9" x14ac:dyDescent="0.2">
      <c r="B402" s="157">
        <f t="shared" si="15"/>
        <v>45833</v>
      </c>
      <c r="C402" s="320">
        <v>145</v>
      </c>
      <c r="D402" s="320"/>
      <c r="E402" s="320">
        <v>93.82</v>
      </c>
      <c r="F402" s="320">
        <v>165</v>
      </c>
      <c r="G402" s="15">
        <f t="shared" si="16"/>
        <v>71.180000000000007</v>
      </c>
      <c r="H402" s="15">
        <f>IFERROR(IF(Yearending&gt;B401,'5. Historical demand'!F402-'5. Historical demand'!C402-'5. Historical demand'!D402,""),"")</f>
        <v>20</v>
      </c>
      <c r="I402" s="15">
        <f t="shared" si="17"/>
        <v>51.180000000000007</v>
      </c>
    </row>
    <row r="403" spans="2:9" x14ac:dyDescent="0.2">
      <c r="B403" s="157">
        <f t="shared" si="15"/>
        <v>45834</v>
      </c>
      <c r="C403" s="320">
        <v>145</v>
      </c>
      <c r="D403" s="320"/>
      <c r="E403" s="320">
        <v>86.665999999999997</v>
      </c>
      <c r="F403" s="320">
        <v>165</v>
      </c>
      <c r="G403" s="15">
        <f t="shared" si="16"/>
        <v>78.334000000000003</v>
      </c>
      <c r="H403" s="15">
        <f>IFERROR(IF(Yearending&gt;B402,'5. Historical demand'!F403-'5. Historical demand'!C403-'5. Historical demand'!D403,""),"")</f>
        <v>20</v>
      </c>
      <c r="I403" s="15">
        <f t="shared" si="17"/>
        <v>58.334000000000003</v>
      </c>
    </row>
    <row r="404" spans="2:9" x14ac:dyDescent="0.2">
      <c r="B404" s="157">
        <f t="shared" si="15"/>
        <v>45835</v>
      </c>
      <c r="C404" s="320">
        <v>145</v>
      </c>
      <c r="D404" s="320"/>
      <c r="E404" s="320">
        <v>70.242000000000004</v>
      </c>
      <c r="F404" s="320">
        <v>165</v>
      </c>
      <c r="G404" s="15">
        <f t="shared" si="16"/>
        <v>94.757999999999996</v>
      </c>
      <c r="H404" s="15">
        <f>IFERROR(IF(Yearending&gt;B403,'5. Historical demand'!F404-'5. Historical demand'!C404-'5. Historical demand'!D404,""),"")</f>
        <v>20</v>
      </c>
      <c r="I404" s="15">
        <f t="shared" si="17"/>
        <v>74.757999999999996</v>
      </c>
    </row>
    <row r="405" spans="2:9" x14ac:dyDescent="0.2">
      <c r="B405" s="157">
        <f t="shared" si="15"/>
        <v>45836</v>
      </c>
      <c r="C405" s="320">
        <v>145</v>
      </c>
      <c r="D405" s="320"/>
      <c r="E405" s="320">
        <v>64.16</v>
      </c>
      <c r="F405" s="320">
        <v>165</v>
      </c>
      <c r="G405" s="15">
        <f t="shared" si="16"/>
        <v>100.84</v>
      </c>
      <c r="H405" s="15">
        <f>IFERROR(IF(Yearending&gt;B404,'5. Historical demand'!F405-'5. Historical demand'!C405-'5. Historical demand'!D405,""),"")</f>
        <v>20</v>
      </c>
      <c r="I405" s="15">
        <f t="shared" si="17"/>
        <v>80.84</v>
      </c>
    </row>
    <row r="406" spans="2:9" x14ac:dyDescent="0.2">
      <c r="B406" s="157">
        <f t="shared" si="15"/>
        <v>45837</v>
      </c>
      <c r="C406" s="320">
        <v>145</v>
      </c>
      <c r="D406" s="320"/>
      <c r="E406" s="320">
        <v>64.007000000000005</v>
      </c>
      <c r="F406" s="320">
        <v>165</v>
      </c>
      <c r="G406" s="15">
        <f t="shared" si="16"/>
        <v>100.99299999999999</v>
      </c>
      <c r="H406" s="15">
        <f>IFERROR(IF(Yearending&gt;B405,'5. Historical demand'!F406-'5. Historical demand'!C406-'5. Historical demand'!D406,""),"")</f>
        <v>20</v>
      </c>
      <c r="I406" s="15">
        <f t="shared" si="17"/>
        <v>80.992999999999995</v>
      </c>
    </row>
    <row r="407" spans="2:9" x14ac:dyDescent="0.2">
      <c r="B407" s="157">
        <f t="shared" si="15"/>
        <v>45838</v>
      </c>
      <c r="C407" s="320">
        <v>145</v>
      </c>
      <c r="D407" s="320"/>
      <c r="E407" s="320">
        <v>65.14</v>
      </c>
      <c r="F407" s="320">
        <v>165</v>
      </c>
      <c r="G407" s="15">
        <f t="shared" si="16"/>
        <v>99.86</v>
      </c>
      <c r="H407" s="15">
        <f>IFERROR(IF(Yearending&gt;B406,'5. Historical demand'!F407-'5. Historical demand'!C407-'5. Historical demand'!D407,""),"")</f>
        <v>20</v>
      </c>
      <c r="I407" s="15">
        <f t="shared" si="17"/>
        <v>79.86</v>
      </c>
    </row>
    <row r="408" spans="2:9" x14ac:dyDescent="0.2">
      <c r="B408" s="157" t="str">
        <f t="shared" si="15"/>
        <v/>
      </c>
      <c r="C408" s="320"/>
      <c r="D408" s="320"/>
      <c r="E408" s="320"/>
      <c r="F408" s="320"/>
      <c r="G408" s="15" t="str">
        <f t="shared" si="16"/>
        <v/>
      </c>
      <c r="H408" s="15" t="str">
        <f>IFERROR(IF(Yearending&gt;B407,'5. Historical demand'!F408-'5. Historical demand'!C408-'5. Historical demand'!D408,""),"")</f>
        <v/>
      </c>
      <c r="I408" s="15" t="str">
        <f t="shared" si="17"/>
        <v/>
      </c>
    </row>
  </sheetData>
  <sheetProtection insertRows="0"/>
  <mergeCells count="1">
    <mergeCell ref="B6:D9"/>
  </mergeCells>
  <conditionalFormatting sqref="B43:B408">
    <cfRule type="containsErrors" dxfId="2" priority="1" stopIfTrue="1">
      <formula>ISERROR(B43)</formula>
    </cfRule>
  </conditionalFormatting>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6A699-8C06-4B24-A3FA-70B4096193A5}">
  <sheetPr>
    <tabColor theme="9" tint="0.79998168889431442"/>
  </sheetPr>
  <dimension ref="A1"/>
  <sheetViews>
    <sheetView showGridLines="0" workbookViewId="0"/>
  </sheetViews>
  <sheetFormatPr defaultRowHeight="12.75" x14ac:dyDescent="0.2"/>
  <sheetData>
    <row r="1" spans="1:1" x14ac:dyDescent="0.2">
      <c r="A1" s="248" t="s">
        <v>739</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C06E1-45A1-40AB-90B2-C4AFFFA6EE77}">
  <sheetPr codeName="Sheet31">
    <tabColor rgb="FF17415D"/>
  </sheetPr>
  <dimension ref="A1:K195"/>
  <sheetViews>
    <sheetView showGridLines="0" zoomScale="107" zoomScaleNormal="100" workbookViewId="0">
      <pane xSplit="1" ySplit="13" topLeftCell="B14" activePane="bottomRight" state="frozen"/>
      <selection pane="topRight" activeCell="B1" sqref="B1"/>
      <selection pane="bottomLeft" activeCell="A14" sqref="A14"/>
      <selection pane="bottomRight"/>
    </sheetView>
  </sheetViews>
  <sheetFormatPr defaultColWidth="9.140625" defaultRowHeight="12.75" x14ac:dyDescent="0.2"/>
  <cols>
    <col min="1" max="1" width="11.85546875" style="155" customWidth="1"/>
    <col min="2" max="2" width="57.7109375" style="155" customWidth="1"/>
    <col min="3" max="3" width="44.7109375" style="155" customWidth="1"/>
    <col min="4" max="11" width="39" style="155" customWidth="1"/>
    <col min="12" max="16384" width="9.140625" style="155"/>
  </cols>
  <sheetData>
    <row r="1" spans="1:4" ht="20.25" x14ac:dyDescent="0.2">
      <c r="A1" s="156"/>
      <c r="B1" s="103" t="s">
        <v>66</v>
      </c>
      <c r="C1" s="103"/>
    </row>
    <row r="2" spans="1:4" ht="20.25" x14ac:dyDescent="0.2">
      <c r="A2" s="156"/>
      <c r="B2" s="103" t="str">
        <f>IF(Tradingname=0," ",Tradingname)</f>
        <v>APT PIPELINES (NT) PTY LIMITED</v>
      </c>
      <c r="C2" s="103"/>
    </row>
    <row r="3" spans="1:4" ht="20.25" x14ac:dyDescent="0.3">
      <c r="B3" s="103" t="s">
        <v>44</v>
      </c>
      <c r="C3" s="80">
        <f>IF(Yearending=0, "0/01/2000", Yearending)</f>
        <v>45838</v>
      </c>
    </row>
    <row r="4" spans="1:4" ht="20.25" x14ac:dyDescent="0.2">
      <c r="B4" s="72" t="s">
        <v>436</v>
      </c>
      <c r="C4" s="72"/>
    </row>
    <row r="5" spans="1:4" x14ac:dyDescent="0.2">
      <c r="B5" s="155" t="s">
        <v>437</v>
      </c>
    </row>
    <row r="6" spans="1:4" ht="15.75" x14ac:dyDescent="0.25">
      <c r="B6" s="154"/>
    </row>
    <row r="7" spans="1:4" ht="12.75" customHeight="1" x14ac:dyDescent="0.2">
      <c r="B7" s="401" t="s">
        <v>438</v>
      </c>
      <c r="C7" s="401"/>
      <c r="D7" s="401"/>
    </row>
    <row r="8" spans="1:4" ht="12.75" customHeight="1" x14ac:dyDescent="0.2">
      <c r="B8" s="401"/>
      <c r="C8" s="401"/>
      <c r="D8" s="401"/>
    </row>
    <row r="9" spans="1:4" ht="12.75" customHeight="1" x14ac:dyDescent="0.2">
      <c r="B9" s="401"/>
      <c r="C9" s="401"/>
      <c r="D9" s="401"/>
    </row>
    <row r="10" spans="1:4" ht="12.75" customHeight="1" x14ac:dyDescent="0.2">
      <c r="B10" s="401"/>
      <c r="C10" s="401"/>
      <c r="D10" s="401"/>
    </row>
    <row r="11" spans="1:4" ht="12.75" customHeight="1" x14ac:dyDescent="0.2">
      <c r="B11" s="401"/>
      <c r="C11" s="401"/>
      <c r="D11" s="401"/>
    </row>
    <row r="12" spans="1:4" ht="12.75" customHeight="1" x14ac:dyDescent="0.2">
      <c r="B12" s="401"/>
      <c r="C12" s="401"/>
      <c r="D12" s="401"/>
    </row>
    <row r="13" spans="1:4" ht="12.75" customHeight="1" x14ac:dyDescent="0.2">
      <c r="B13" s="401"/>
      <c r="C13" s="401"/>
      <c r="D13" s="401"/>
    </row>
    <row r="16" spans="1:4" ht="12.75" customHeight="1" x14ac:dyDescent="0.25">
      <c r="B16" s="154" t="s">
        <v>439</v>
      </c>
    </row>
    <row r="17" spans="2:5" ht="12.75" customHeight="1" x14ac:dyDescent="0.25">
      <c r="B17" s="154"/>
    </row>
    <row r="18" spans="2:5" x14ac:dyDescent="0.2">
      <c r="B18" s="396" t="s">
        <v>440</v>
      </c>
      <c r="C18" s="398"/>
      <c r="D18" s="396" t="s">
        <v>441</v>
      </c>
      <c r="E18" s="398"/>
    </row>
    <row r="19" spans="2:5" x14ac:dyDescent="0.2">
      <c r="B19" s="433" t="s">
        <v>129</v>
      </c>
      <c r="C19" s="179" t="s">
        <v>442</v>
      </c>
      <c r="D19" s="439" t="s">
        <v>129</v>
      </c>
      <c r="E19" s="435" t="s">
        <v>180</v>
      </c>
    </row>
    <row r="20" spans="2:5" x14ac:dyDescent="0.2">
      <c r="B20" s="434"/>
      <c r="C20" s="90" t="s">
        <v>180</v>
      </c>
      <c r="D20" s="440"/>
      <c r="E20" s="436"/>
    </row>
    <row r="21" spans="2:5" x14ac:dyDescent="0.2">
      <c r="B21" s="91" t="s">
        <v>91</v>
      </c>
      <c r="C21" s="164">
        <v>0.89856657813508078</v>
      </c>
      <c r="D21" s="153" t="s">
        <v>443</v>
      </c>
      <c r="E21" s="164">
        <v>4.6399999999999997E-2</v>
      </c>
    </row>
    <row r="22" spans="2:5" x14ac:dyDescent="0.2">
      <c r="B22" s="91" t="s">
        <v>93</v>
      </c>
      <c r="C22" s="164">
        <v>0</v>
      </c>
      <c r="D22" s="153" t="s">
        <v>444</v>
      </c>
      <c r="E22" s="163">
        <v>0.6</v>
      </c>
    </row>
    <row r="23" spans="2:5" x14ac:dyDescent="0.2">
      <c r="B23" s="91" t="s">
        <v>94</v>
      </c>
      <c r="C23" s="164">
        <v>8.2094253892326594E-2</v>
      </c>
      <c r="D23" s="153" t="s">
        <v>445</v>
      </c>
      <c r="E23" s="163">
        <v>0.3</v>
      </c>
    </row>
    <row r="24" spans="2:5" x14ac:dyDescent="0.2">
      <c r="B24" s="91" t="s">
        <v>95</v>
      </c>
      <c r="C24" s="164">
        <v>0</v>
      </c>
      <c r="D24" s="153" t="s">
        <v>446</v>
      </c>
      <c r="E24" s="163">
        <v>0.58499999999999996</v>
      </c>
    </row>
    <row r="25" spans="2:5" x14ac:dyDescent="0.2">
      <c r="B25" s="159" t="s">
        <v>96</v>
      </c>
      <c r="C25" s="164">
        <v>0</v>
      </c>
      <c r="D25" s="152" t="s">
        <v>447</v>
      </c>
      <c r="E25" s="164">
        <v>4.7800000000000002E-2</v>
      </c>
    </row>
    <row r="26" spans="2:5" x14ac:dyDescent="0.2">
      <c r="B26" s="91" t="s">
        <v>97</v>
      </c>
      <c r="C26" s="164">
        <v>0</v>
      </c>
      <c r="D26" s="307"/>
      <c r="E26" s="307"/>
    </row>
    <row r="27" spans="2:5" x14ac:dyDescent="0.2">
      <c r="B27" s="91" t="s">
        <v>98</v>
      </c>
      <c r="C27" s="164">
        <v>7.8570113955323678E-3</v>
      </c>
      <c r="D27" s="307"/>
      <c r="E27" s="307"/>
    </row>
    <row r="28" spans="2:5" x14ac:dyDescent="0.2">
      <c r="B28" s="91" t="s">
        <v>99</v>
      </c>
      <c r="C28" s="164">
        <v>0</v>
      </c>
      <c r="D28" s="307"/>
      <c r="E28" s="307"/>
    </row>
    <row r="29" spans="2:5" x14ac:dyDescent="0.2">
      <c r="B29" s="91" t="s">
        <v>101</v>
      </c>
      <c r="C29" s="164">
        <v>8.8582492499020488E-4</v>
      </c>
      <c r="D29" s="307"/>
      <c r="E29" s="307"/>
    </row>
    <row r="30" spans="2:5" x14ac:dyDescent="0.2">
      <c r="B30" s="91" t="s">
        <v>103</v>
      </c>
      <c r="C30" s="164">
        <v>1.0596331652070131E-2</v>
      </c>
      <c r="D30" s="307"/>
      <c r="E30" s="307"/>
    </row>
    <row r="31" spans="2:5" x14ac:dyDescent="0.2">
      <c r="B31" s="151" t="s">
        <v>69</v>
      </c>
      <c r="C31" s="96">
        <f>SUM(C21:C30)</f>
        <v>1.0000000000000002</v>
      </c>
      <c r="D31" s="307"/>
      <c r="E31" s="307"/>
    </row>
    <row r="34" spans="2:8" ht="15.75" x14ac:dyDescent="0.25">
      <c r="B34" s="154" t="s">
        <v>448</v>
      </c>
      <c r="C34" s="154"/>
    </row>
    <row r="36" spans="2:8" x14ac:dyDescent="0.2">
      <c r="B36" s="150"/>
      <c r="C36" s="150"/>
      <c r="D36" s="150" t="s">
        <v>449</v>
      </c>
      <c r="E36" s="150" t="s">
        <v>450</v>
      </c>
      <c r="F36" s="150" t="s">
        <v>451</v>
      </c>
      <c r="G36" s="150" t="s">
        <v>87</v>
      </c>
      <c r="H36" s="150" t="s">
        <v>88</v>
      </c>
    </row>
    <row r="37" spans="2:8" x14ac:dyDescent="0.2">
      <c r="B37" s="437" t="s">
        <v>91</v>
      </c>
      <c r="C37" s="150" t="s">
        <v>89</v>
      </c>
      <c r="D37" s="149">
        <f>MIN(C64:D64)</f>
        <v>0.22477837304494941</v>
      </c>
      <c r="E37" s="149">
        <f>MIN(E64:G64)</f>
        <v>0</v>
      </c>
      <c r="F37" s="149">
        <f>MIN(H64,J64)+MIN(I64,K64)</f>
        <v>0.13761124313371265</v>
      </c>
      <c r="G37" s="149">
        <f t="shared" ref="G37:G56" si="0">SUM(D37:F37)</f>
        <v>0.36238961617866206</v>
      </c>
      <c r="H37" s="441" t="s">
        <v>92</v>
      </c>
    </row>
    <row r="38" spans="2:8" x14ac:dyDescent="0.2">
      <c r="B38" s="438"/>
      <c r="C38" s="150" t="s">
        <v>90</v>
      </c>
      <c r="D38" s="149">
        <f>MAX(C64:D64)</f>
        <v>0.2626581504321</v>
      </c>
      <c r="E38" s="149">
        <f>MAX(E64:G64)</f>
        <v>9.7985127270900793E-2</v>
      </c>
      <c r="F38" s="149">
        <f>MAX(H64,J64)+MAX(I64,K64)</f>
        <v>0.13761124313371265</v>
      </c>
      <c r="G38" s="149">
        <f t="shared" si="0"/>
        <v>0.49825452083671345</v>
      </c>
      <c r="H38" s="441"/>
    </row>
    <row r="39" spans="2:8" x14ac:dyDescent="0.2">
      <c r="B39" s="437" t="s">
        <v>93</v>
      </c>
      <c r="C39" s="150" t="s">
        <v>89</v>
      </c>
      <c r="D39" s="149">
        <f>MIN(C65:D65)</f>
        <v>0</v>
      </c>
      <c r="E39" s="149">
        <f>MIN(E65:G65)</f>
        <v>0</v>
      </c>
      <c r="F39" s="149">
        <f>MIN(H65,J65)+MIN(I65,K65)</f>
        <v>0</v>
      </c>
      <c r="G39" s="149">
        <f t="shared" si="0"/>
        <v>0</v>
      </c>
      <c r="H39" s="441" t="s">
        <v>92</v>
      </c>
    </row>
    <row r="40" spans="2:8" x14ac:dyDescent="0.2">
      <c r="B40" s="438"/>
      <c r="C40" s="150" t="s">
        <v>90</v>
      </c>
      <c r="D40" s="149">
        <f>MAX(C65:D65)</f>
        <v>0</v>
      </c>
      <c r="E40" s="149">
        <f>MAX(E65:G65)</f>
        <v>0</v>
      </c>
      <c r="F40" s="149">
        <f>MAX(H65,J65)+MAX(I65,K65)</f>
        <v>0</v>
      </c>
      <c r="G40" s="149">
        <f t="shared" si="0"/>
        <v>0</v>
      </c>
      <c r="H40" s="441"/>
    </row>
    <row r="41" spans="2:8" x14ac:dyDescent="0.2">
      <c r="B41" s="437" t="s">
        <v>94</v>
      </c>
      <c r="C41" s="150" t="s">
        <v>89</v>
      </c>
      <c r="D41" s="149">
        <f>MIN(C66:D66)</f>
        <v>0</v>
      </c>
      <c r="E41" s="149">
        <f>MIN(E66:G66)</f>
        <v>0</v>
      </c>
      <c r="F41" s="149">
        <f>MIN(H66,J66)+MIN(I66,K66)</f>
        <v>0</v>
      </c>
      <c r="G41" s="149">
        <f t="shared" si="0"/>
        <v>0</v>
      </c>
      <c r="H41" s="441" t="s">
        <v>92</v>
      </c>
    </row>
    <row r="42" spans="2:8" x14ac:dyDescent="0.2">
      <c r="B42" s="438"/>
      <c r="C42" s="150" t="s">
        <v>90</v>
      </c>
      <c r="D42" s="149">
        <f>MAX(C66:D66)</f>
        <v>0</v>
      </c>
      <c r="E42" s="149">
        <f>MAX(E66:G66)</f>
        <v>0</v>
      </c>
      <c r="F42" s="149">
        <f>MAX(H66,J66)+MAX(I66,K66)</f>
        <v>0</v>
      </c>
      <c r="G42" s="149">
        <f t="shared" si="0"/>
        <v>0</v>
      </c>
      <c r="H42" s="441"/>
    </row>
    <row r="43" spans="2:8" x14ac:dyDescent="0.2">
      <c r="B43" s="437" t="s">
        <v>95</v>
      </c>
      <c r="C43" s="150" t="s">
        <v>89</v>
      </c>
      <c r="D43" s="149">
        <f>MIN(C67:D67)</f>
        <v>0</v>
      </c>
      <c r="E43" s="149">
        <f>MIN(E67:G67)</f>
        <v>0</v>
      </c>
      <c r="F43" s="149">
        <f>MIN(H67,J67)+MIN(I67,K67)</f>
        <v>0</v>
      </c>
      <c r="G43" s="149">
        <f t="shared" si="0"/>
        <v>0</v>
      </c>
      <c r="H43" s="441" t="s">
        <v>92</v>
      </c>
    </row>
    <row r="44" spans="2:8" x14ac:dyDescent="0.2">
      <c r="B44" s="438"/>
      <c r="C44" s="150" t="s">
        <v>90</v>
      </c>
      <c r="D44" s="149">
        <f>MAX(C67:D67)</f>
        <v>0</v>
      </c>
      <c r="E44" s="149">
        <f>MAX(E67:G67)</f>
        <v>0</v>
      </c>
      <c r="F44" s="149">
        <f>MAX(H67,J67)+MAX(I67,K67)</f>
        <v>0</v>
      </c>
      <c r="G44" s="149">
        <f t="shared" si="0"/>
        <v>0</v>
      </c>
      <c r="H44" s="441"/>
    </row>
    <row r="45" spans="2:8" x14ac:dyDescent="0.2">
      <c r="B45" s="437" t="s">
        <v>96</v>
      </c>
      <c r="C45" s="150" t="s">
        <v>89</v>
      </c>
      <c r="D45" s="149">
        <f>MIN(C68:D68)</f>
        <v>0</v>
      </c>
      <c r="E45" s="149">
        <f>MIN(E68:G68)</f>
        <v>0</v>
      </c>
      <c r="F45" s="149">
        <f>MIN(H68,J68)+MIN(I68,K68)</f>
        <v>0</v>
      </c>
      <c r="G45" s="149">
        <f t="shared" si="0"/>
        <v>0</v>
      </c>
      <c r="H45" s="441" t="s">
        <v>92</v>
      </c>
    </row>
    <row r="46" spans="2:8" x14ac:dyDescent="0.2">
      <c r="B46" s="438"/>
      <c r="C46" s="150" t="s">
        <v>90</v>
      </c>
      <c r="D46" s="149">
        <f>MAX(C68:D68)</f>
        <v>0</v>
      </c>
      <c r="E46" s="149">
        <f>MAX(E68:G68)</f>
        <v>0</v>
      </c>
      <c r="F46" s="149">
        <f>MAX(H68,J68)+MAX(I68,K68)</f>
        <v>0</v>
      </c>
      <c r="G46" s="149">
        <f t="shared" si="0"/>
        <v>0</v>
      </c>
      <c r="H46" s="441"/>
    </row>
    <row r="47" spans="2:8" x14ac:dyDescent="0.2">
      <c r="B47" s="437" t="s">
        <v>97</v>
      </c>
      <c r="C47" s="150" t="s">
        <v>89</v>
      </c>
      <c r="D47" s="149">
        <f>MIN(C69:D69)</f>
        <v>0</v>
      </c>
      <c r="E47" s="149">
        <f>MIN(E69:G69)</f>
        <v>0</v>
      </c>
      <c r="F47" s="149">
        <f>MIN(H69,J69)+MIN(I69,K69)</f>
        <v>0</v>
      </c>
      <c r="G47" s="149">
        <f t="shared" si="0"/>
        <v>0</v>
      </c>
      <c r="H47" s="441" t="s">
        <v>92</v>
      </c>
    </row>
    <row r="48" spans="2:8" x14ac:dyDescent="0.2">
      <c r="B48" s="438"/>
      <c r="C48" s="150" t="s">
        <v>90</v>
      </c>
      <c r="D48" s="149">
        <f>MAX(C69:D69)</f>
        <v>0</v>
      </c>
      <c r="E48" s="149">
        <f>MAX(E69:G69)</f>
        <v>0</v>
      </c>
      <c r="F48" s="149">
        <f>MAX(H69,J69)+MAX(I69,K69)</f>
        <v>0</v>
      </c>
      <c r="G48" s="149">
        <f t="shared" si="0"/>
        <v>0</v>
      </c>
      <c r="H48" s="441"/>
    </row>
    <row r="49" spans="2:11" x14ac:dyDescent="0.2">
      <c r="B49" s="437" t="s">
        <v>98</v>
      </c>
      <c r="C49" s="150" t="s">
        <v>89</v>
      </c>
      <c r="D49" s="149">
        <f>MIN(C70:D70)</f>
        <v>0</v>
      </c>
      <c r="E49" s="149">
        <f>MIN(E70:G70)</f>
        <v>0</v>
      </c>
      <c r="F49" s="149">
        <f>MIN(H70,J70)+MIN(I70,K70)</f>
        <v>0</v>
      </c>
      <c r="G49" s="149">
        <f t="shared" si="0"/>
        <v>0</v>
      </c>
      <c r="H49" s="441" t="s">
        <v>92</v>
      </c>
    </row>
    <row r="50" spans="2:11" x14ac:dyDescent="0.2">
      <c r="B50" s="438"/>
      <c r="C50" s="150" t="s">
        <v>90</v>
      </c>
      <c r="D50" s="149">
        <f>MAX(C70:D70)</f>
        <v>0</v>
      </c>
      <c r="E50" s="149">
        <f>MAX(E70:G70)</f>
        <v>0</v>
      </c>
      <c r="F50" s="149">
        <f>MAX(H70,J70)+MAX(I70,K70)</f>
        <v>0</v>
      </c>
      <c r="G50" s="149">
        <f t="shared" si="0"/>
        <v>0</v>
      </c>
      <c r="H50" s="441"/>
    </row>
    <row r="51" spans="2:11" x14ac:dyDescent="0.2">
      <c r="B51" s="437" t="s">
        <v>99</v>
      </c>
      <c r="C51" s="150" t="s">
        <v>89</v>
      </c>
      <c r="D51" s="149">
        <f>MIN(C71:D71)</f>
        <v>0</v>
      </c>
      <c r="E51" s="149">
        <f>MIN(E71:G71)</f>
        <v>0</v>
      </c>
      <c r="F51" s="149">
        <f>MIN(H71,J71)+MIN(I71,K71)</f>
        <v>0</v>
      </c>
      <c r="G51" s="149">
        <f t="shared" si="0"/>
        <v>0</v>
      </c>
      <c r="H51" s="441" t="s">
        <v>100</v>
      </c>
    </row>
    <row r="52" spans="2:11" x14ac:dyDescent="0.2">
      <c r="B52" s="438"/>
      <c r="C52" s="150" t="s">
        <v>90</v>
      </c>
      <c r="D52" s="149">
        <f>MAX(C71:D71)</f>
        <v>0</v>
      </c>
      <c r="E52" s="149">
        <f>MAX(E71:G71)</f>
        <v>0</v>
      </c>
      <c r="F52" s="149">
        <f>MAX(H71,J71)+MAX(I71,K71)</f>
        <v>0</v>
      </c>
      <c r="G52" s="149">
        <f t="shared" si="0"/>
        <v>0</v>
      </c>
      <c r="H52" s="441"/>
    </row>
    <row r="53" spans="2:11" x14ac:dyDescent="0.2">
      <c r="B53" s="437" t="s">
        <v>101</v>
      </c>
      <c r="C53" s="150" t="s">
        <v>89</v>
      </c>
      <c r="D53" s="149">
        <f>MIN(C72:D72)</f>
        <v>0</v>
      </c>
      <c r="E53" s="149">
        <f>MIN(E72:G72)</f>
        <v>0</v>
      </c>
      <c r="F53" s="149">
        <f>MIN(H72,J72)+MIN(I72,K72)</f>
        <v>0</v>
      </c>
      <c r="G53" s="149">
        <f t="shared" si="0"/>
        <v>0</v>
      </c>
      <c r="H53" s="441" t="s">
        <v>102</v>
      </c>
    </row>
    <row r="54" spans="2:11" x14ac:dyDescent="0.2">
      <c r="B54" s="438"/>
      <c r="C54" s="150" t="s">
        <v>90</v>
      </c>
      <c r="D54" s="149">
        <f>MAX(C72:D72)</f>
        <v>0</v>
      </c>
      <c r="E54" s="149">
        <f>MAX(E72:G72)</f>
        <v>0</v>
      </c>
      <c r="F54" s="149">
        <f>MAX(H72,J72)+MAX(I72,K72)</f>
        <v>0</v>
      </c>
      <c r="G54" s="149">
        <f t="shared" si="0"/>
        <v>0</v>
      </c>
      <c r="H54" s="441"/>
    </row>
    <row r="55" spans="2:11" x14ac:dyDescent="0.2">
      <c r="B55" s="437" t="s">
        <v>103</v>
      </c>
      <c r="C55" s="150" t="s">
        <v>89</v>
      </c>
      <c r="D55" s="149">
        <f>MIN(C73:D73)</f>
        <v>0</v>
      </c>
      <c r="E55" s="149">
        <f>MIN(E73:G73)</f>
        <v>0</v>
      </c>
      <c r="F55" s="149">
        <f>MIN(H73,J73)+MIN(I73,K73)</f>
        <v>0</v>
      </c>
      <c r="G55" s="149">
        <f t="shared" si="0"/>
        <v>0</v>
      </c>
      <c r="H55" s="441"/>
    </row>
    <row r="56" spans="2:11" x14ac:dyDescent="0.2">
      <c r="B56" s="438"/>
      <c r="C56" s="150" t="s">
        <v>90</v>
      </c>
      <c r="D56" s="149">
        <f>MAX(C73:D73)</f>
        <v>0</v>
      </c>
      <c r="E56" s="149">
        <f>MAX(E73:G73)</f>
        <v>0</v>
      </c>
      <c r="F56" s="149">
        <f>MAX(H73,J73)+MAX(I73,K73)</f>
        <v>0</v>
      </c>
      <c r="G56" s="149">
        <f t="shared" si="0"/>
        <v>0</v>
      </c>
      <c r="H56" s="441"/>
    </row>
    <row r="59" spans="2:11" ht="15.75" x14ac:dyDescent="0.25">
      <c r="B59" s="154" t="s">
        <v>452</v>
      </c>
    </row>
    <row r="60" spans="2:11" ht="16.5" thickBot="1" x14ac:dyDescent="0.3">
      <c r="B60" s="148" t="s">
        <v>453</v>
      </c>
    </row>
    <row r="61" spans="2:11" s="146" customFormat="1" ht="13.5" thickBot="1" x14ac:dyDescent="0.25">
      <c r="B61" s="147"/>
      <c r="C61" s="424" t="s">
        <v>454</v>
      </c>
      <c r="D61" s="426"/>
      <c r="E61" s="424" t="s">
        <v>455</v>
      </c>
      <c r="F61" s="425"/>
      <c r="G61" s="426"/>
      <c r="H61" s="421" t="s">
        <v>456</v>
      </c>
      <c r="I61" s="422"/>
      <c r="J61" s="422"/>
      <c r="K61" s="423"/>
    </row>
    <row r="62" spans="2:11" s="146" customFormat="1" x14ac:dyDescent="0.2">
      <c r="B62" s="147"/>
      <c r="C62" s="427" t="s">
        <v>457</v>
      </c>
      <c r="D62" s="431" t="s">
        <v>458</v>
      </c>
      <c r="E62" s="427" t="s">
        <v>459</v>
      </c>
      <c r="F62" s="429" t="s">
        <v>460</v>
      </c>
      <c r="G62" s="431" t="s">
        <v>461</v>
      </c>
      <c r="H62" s="424" t="s">
        <v>462</v>
      </c>
      <c r="I62" s="426"/>
      <c r="J62" s="419" t="s">
        <v>463</v>
      </c>
      <c r="K62" s="420"/>
    </row>
    <row r="63" spans="2:11" s="146" customFormat="1" x14ac:dyDescent="0.2">
      <c r="B63" s="147"/>
      <c r="C63" s="428"/>
      <c r="D63" s="432"/>
      <c r="E63" s="428"/>
      <c r="F63" s="430"/>
      <c r="G63" s="432"/>
      <c r="H63" s="145" t="s">
        <v>464</v>
      </c>
      <c r="I63" s="178" t="s">
        <v>465</v>
      </c>
      <c r="J63" s="145" t="s">
        <v>464</v>
      </c>
      <c r="K63" s="178" t="s">
        <v>465</v>
      </c>
    </row>
    <row r="64" spans="2:11" x14ac:dyDescent="0.2">
      <c r="B64" s="91" t="s">
        <v>91</v>
      </c>
      <c r="C64" s="144">
        <f>INDEX($F$79:$G$88,MATCH($B64,$B$79:$B$88,0),MATCH(C$62,$F$78:$G$78,0))</f>
        <v>0.2626581504321</v>
      </c>
      <c r="D64" s="143">
        <f>INDEX($F$79:$G$88,MATCH($B64,$B$79:$B$88,0),MATCH(D$62,$F$78:$G$78,0))</f>
        <v>0.22477837304494941</v>
      </c>
      <c r="E64" s="144">
        <f t="shared" ref="E64:F73" si="1">F104</f>
        <v>9.7985127270900793E-2</v>
      </c>
      <c r="F64" s="142">
        <f t="shared" si="1"/>
        <v>9.1999662587412087E-2</v>
      </c>
      <c r="G64" s="143">
        <f t="shared" ref="G64:G73" si="2">G116</f>
        <v>0</v>
      </c>
      <c r="H64" s="144" t="str">
        <f>I137</f>
        <v xml:space="preserve"> - </v>
      </c>
      <c r="I64" s="143" t="str">
        <f>J137</f>
        <v xml:space="preserve"> - </v>
      </c>
      <c r="J64" s="144">
        <f>I149</f>
        <v>0.12989781081344548</v>
      </c>
      <c r="K64" s="143">
        <f>J149</f>
        <v>7.7134323202671671E-3</v>
      </c>
    </row>
    <row r="65" spans="2:11" x14ac:dyDescent="0.2">
      <c r="B65" s="91" t="s">
        <v>93</v>
      </c>
      <c r="C65" s="144" t="str">
        <f t="shared" ref="C65:D73" si="3">INDEX($F$79:$G$88,MATCH($B65,$B$79:$B$88,0),MATCH(C$62,$F$78:$G$78,0))</f>
        <v xml:space="preserve"> -</v>
      </c>
      <c r="D65" s="143" t="str">
        <f t="shared" si="3"/>
        <v xml:space="preserve"> -</v>
      </c>
      <c r="E65" s="144" t="str">
        <f t="shared" si="1"/>
        <v xml:space="preserve"> - </v>
      </c>
      <c r="F65" s="142" t="str">
        <f t="shared" si="1"/>
        <v xml:space="preserve"> - </v>
      </c>
      <c r="G65" s="143" t="str">
        <f t="shared" si="2"/>
        <v xml:space="preserve"> - </v>
      </c>
      <c r="H65" s="144" t="str">
        <f t="shared" ref="H65:I73" si="4">I138</f>
        <v xml:space="preserve"> - </v>
      </c>
      <c r="I65" s="143" t="str">
        <f t="shared" si="4"/>
        <v xml:space="preserve"> - </v>
      </c>
      <c r="J65" s="144" t="str">
        <f t="shared" ref="J65:K73" si="5">I150</f>
        <v xml:space="preserve"> - </v>
      </c>
      <c r="K65" s="143" t="str">
        <f t="shared" si="5"/>
        <v xml:space="preserve"> - </v>
      </c>
    </row>
    <row r="66" spans="2:11" x14ac:dyDescent="0.2">
      <c r="B66" s="91" t="s">
        <v>94</v>
      </c>
      <c r="C66" s="144" t="str">
        <f t="shared" si="3"/>
        <v xml:space="preserve"> -</v>
      </c>
      <c r="D66" s="143" t="str">
        <f t="shared" si="3"/>
        <v xml:space="preserve"> -</v>
      </c>
      <c r="E66" s="144" t="str">
        <f t="shared" si="1"/>
        <v xml:space="preserve"> - </v>
      </c>
      <c r="F66" s="142" t="str">
        <f t="shared" si="1"/>
        <v xml:space="preserve"> - </v>
      </c>
      <c r="G66" s="143" t="str">
        <f t="shared" si="2"/>
        <v xml:space="preserve"> - </v>
      </c>
      <c r="H66" s="144" t="str">
        <f t="shared" si="4"/>
        <v xml:space="preserve"> - </v>
      </c>
      <c r="I66" s="143" t="str">
        <f t="shared" si="4"/>
        <v xml:space="preserve"> - </v>
      </c>
      <c r="J66" s="144" t="str">
        <f>I151</f>
        <v xml:space="preserve"> - </v>
      </c>
      <c r="K66" s="143" t="str">
        <f t="shared" si="5"/>
        <v xml:space="preserve"> - </v>
      </c>
    </row>
    <row r="67" spans="2:11" x14ac:dyDescent="0.2">
      <c r="B67" s="91" t="s">
        <v>95</v>
      </c>
      <c r="C67" s="144" t="str">
        <f t="shared" si="3"/>
        <v xml:space="preserve"> -</v>
      </c>
      <c r="D67" s="143" t="str">
        <f t="shared" si="3"/>
        <v xml:space="preserve"> -</v>
      </c>
      <c r="E67" s="144" t="str">
        <f t="shared" si="1"/>
        <v xml:space="preserve"> - </v>
      </c>
      <c r="F67" s="142" t="str">
        <f t="shared" si="1"/>
        <v xml:space="preserve"> - </v>
      </c>
      <c r="G67" s="143" t="str">
        <f t="shared" si="2"/>
        <v xml:space="preserve"> - </v>
      </c>
      <c r="H67" s="144" t="str">
        <f t="shared" si="4"/>
        <v xml:space="preserve"> - </v>
      </c>
      <c r="I67" s="143" t="str">
        <f t="shared" si="4"/>
        <v xml:space="preserve"> - </v>
      </c>
      <c r="J67" s="144" t="str">
        <f t="shared" si="5"/>
        <v xml:space="preserve"> - </v>
      </c>
      <c r="K67" s="143" t="str">
        <f t="shared" si="5"/>
        <v xml:space="preserve"> - </v>
      </c>
    </row>
    <row r="68" spans="2:11" x14ac:dyDescent="0.2">
      <c r="B68" s="159" t="s">
        <v>96</v>
      </c>
      <c r="C68" s="144" t="str">
        <f t="shared" si="3"/>
        <v xml:space="preserve"> -</v>
      </c>
      <c r="D68" s="143" t="str">
        <f t="shared" si="3"/>
        <v xml:space="preserve"> -</v>
      </c>
      <c r="E68" s="144" t="str">
        <f t="shared" si="1"/>
        <v xml:space="preserve"> - </v>
      </c>
      <c r="F68" s="142" t="str">
        <f t="shared" si="1"/>
        <v xml:space="preserve"> - </v>
      </c>
      <c r="G68" s="143" t="str">
        <f t="shared" si="2"/>
        <v xml:space="preserve"> - </v>
      </c>
      <c r="H68" s="144" t="str">
        <f t="shared" si="4"/>
        <v xml:space="preserve"> - </v>
      </c>
      <c r="I68" s="143" t="str">
        <f t="shared" si="4"/>
        <v xml:space="preserve"> - </v>
      </c>
      <c r="J68" s="144" t="str">
        <f t="shared" si="5"/>
        <v xml:space="preserve"> - </v>
      </c>
      <c r="K68" s="143" t="str">
        <f t="shared" si="5"/>
        <v xml:space="preserve"> - </v>
      </c>
    </row>
    <row r="69" spans="2:11" x14ac:dyDescent="0.2">
      <c r="B69" s="91" t="s">
        <v>97</v>
      </c>
      <c r="C69" s="144" t="str">
        <f t="shared" si="3"/>
        <v xml:space="preserve"> -</v>
      </c>
      <c r="D69" s="143" t="str">
        <f t="shared" si="3"/>
        <v xml:space="preserve"> -</v>
      </c>
      <c r="E69" s="144" t="str">
        <f t="shared" si="1"/>
        <v xml:space="preserve"> - </v>
      </c>
      <c r="F69" s="142" t="str">
        <f t="shared" si="1"/>
        <v xml:space="preserve"> - </v>
      </c>
      <c r="G69" s="143" t="str">
        <f t="shared" si="2"/>
        <v xml:space="preserve"> - </v>
      </c>
      <c r="H69" s="144" t="str">
        <f t="shared" si="4"/>
        <v xml:space="preserve"> - </v>
      </c>
      <c r="I69" s="143" t="str">
        <f>J142</f>
        <v xml:space="preserve"> - </v>
      </c>
      <c r="J69" s="144" t="str">
        <f t="shared" si="5"/>
        <v xml:space="preserve"> - </v>
      </c>
      <c r="K69" s="143" t="str">
        <f t="shared" si="5"/>
        <v xml:space="preserve"> - </v>
      </c>
    </row>
    <row r="70" spans="2:11" x14ac:dyDescent="0.2">
      <c r="B70" s="91" t="s">
        <v>98</v>
      </c>
      <c r="C70" s="144" t="str">
        <f t="shared" si="3"/>
        <v xml:space="preserve"> -</v>
      </c>
      <c r="D70" s="143" t="str">
        <f t="shared" si="3"/>
        <v xml:space="preserve"> -</v>
      </c>
      <c r="E70" s="144" t="str">
        <f t="shared" si="1"/>
        <v xml:space="preserve"> - </v>
      </c>
      <c r="F70" s="142" t="str">
        <f t="shared" si="1"/>
        <v xml:space="preserve"> - </v>
      </c>
      <c r="G70" s="143" t="str">
        <f t="shared" si="2"/>
        <v xml:space="preserve"> - </v>
      </c>
      <c r="H70" s="144" t="str">
        <f t="shared" si="4"/>
        <v xml:space="preserve"> - </v>
      </c>
      <c r="I70" s="143" t="str">
        <f t="shared" si="4"/>
        <v xml:space="preserve"> - </v>
      </c>
      <c r="J70" s="144" t="str">
        <f t="shared" si="5"/>
        <v xml:space="preserve"> - </v>
      </c>
      <c r="K70" s="143" t="str">
        <f>J155</f>
        <v xml:space="preserve"> - </v>
      </c>
    </row>
    <row r="71" spans="2:11" x14ac:dyDescent="0.2">
      <c r="B71" s="91" t="s">
        <v>99</v>
      </c>
      <c r="C71" s="144" t="str">
        <f t="shared" si="3"/>
        <v xml:space="preserve"> -</v>
      </c>
      <c r="D71" s="143" t="str">
        <f t="shared" si="3"/>
        <v xml:space="preserve"> -</v>
      </c>
      <c r="E71" s="144" t="str">
        <f t="shared" si="1"/>
        <v xml:space="preserve"> - </v>
      </c>
      <c r="F71" s="142" t="str">
        <f t="shared" si="1"/>
        <v xml:space="preserve"> - </v>
      </c>
      <c r="G71" s="143" t="str">
        <f t="shared" si="2"/>
        <v xml:space="preserve"> - </v>
      </c>
      <c r="H71" s="144" t="str">
        <f>I144</f>
        <v xml:space="preserve"> - </v>
      </c>
      <c r="I71" s="143" t="str">
        <f t="shared" si="4"/>
        <v xml:space="preserve"> - </v>
      </c>
      <c r="J71" s="144" t="str">
        <f t="shared" si="5"/>
        <v xml:space="preserve"> - </v>
      </c>
      <c r="K71" s="143" t="str">
        <f t="shared" si="5"/>
        <v xml:space="preserve"> - </v>
      </c>
    </row>
    <row r="72" spans="2:11" x14ac:dyDescent="0.2">
      <c r="B72" s="91" t="s">
        <v>101</v>
      </c>
      <c r="C72" s="144" t="str">
        <f t="shared" si="3"/>
        <v xml:space="preserve"> -</v>
      </c>
      <c r="D72" s="143" t="str">
        <f t="shared" si="3"/>
        <v xml:space="preserve"> -</v>
      </c>
      <c r="E72" s="144" t="str">
        <f t="shared" si="1"/>
        <v xml:space="preserve"> - </v>
      </c>
      <c r="F72" s="142" t="str">
        <f t="shared" si="1"/>
        <v xml:space="preserve"> - </v>
      </c>
      <c r="G72" s="143" t="str">
        <f t="shared" si="2"/>
        <v xml:space="preserve"> - </v>
      </c>
      <c r="H72" s="144" t="str">
        <f t="shared" si="4"/>
        <v xml:space="preserve"> - </v>
      </c>
      <c r="I72" s="143" t="str">
        <f t="shared" si="4"/>
        <v xml:space="preserve"> - </v>
      </c>
      <c r="J72" s="144" t="str">
        <f t="shared" si="5"/>
        <v xml:space="preserve"> - </v>
      </c>
      <c r="K72" s="143" t="str">
        <f t="shared" si="5"/>
        <v xml:space="preserve"> - </v>
      </c>
    </row>
    <row r="73" spans="2:11" ht="13.5" thickBot="1" x14ac:dyDescent="0.25">
      <c r="B73" s="91" t="s">
        <v>103</v>
      </c>
      <c r="C73" s="141" t="str">
        <f t="shared" si="3"/>
        <v xml:space="preserve"> -</v>
      </c>
      <c r="D73" s="140" t="str">
        <f t="shared" si="3"/>
        <v xml:space="preserve"> -</v>
      </c>
      <c r="E73" s="141" t="str">
        <f t="shared" si="1"/>
        <v xml:space="preserve"> - </v>
      </c>
      <c r="F73" s="139" t="str">
        <f t="shared" si="1"/>
        <v xml:space="preserve"> - </v>
      </c>
      <c r="G73" s="140" t="str">
        <f t="shared" si="2"/>
        <v xml:space="preserve"> - </v>
      </c>
      <c r="H73" s="141" t="str">
        <f t="shared" si="4"/>
        <v xml:space="preserve"> - </v>
      </c>
      <c r="I73" s="140" t="str">
        <f t="shared" si="4"/>
        <v xml:space="preserve"> - </v>
      </c>
      <c r="J73" s="141" t="str">
        <f t="shared" si="5"/>
        <v xml:space="preserve"> - </v>
      </c>
      <c r="K73" s="140" t="str">
        <f t="shared" si="5"/>
        <v xml:space="preserve"> - </v>
      </c>
    </row>
    <row r="76" spans="2:11" ht="15.75" x14ac:dyDescent="0.25">
      <c r="B76" s="154" t="s">
        <v>466</v>
      </c>
    </row>
    <row r="77" spans="2:11" ht="15.75" x14ac:dyDescent="0.25">
      <c r="B77" s="148" t="s">
        <v>467</v>
      </c>
    </row>
    <row r="78" spans="2:11" s="136" customFormat="1" ht="24.75" customHeight="1" x14ac:dyDescent="0.2">
      <c r="B78" s="138" t="s">
        <v>468</v>
      </c>
      <c r="C78" s="137" t="s">
        <v>469</v>
      </c>
      <c r="D78" s="137" t="s">
        <v>470</v>
      </c>
      <c r="E78" s="137" t="s">
        <v>471</v>
      </c>
      <c r="F78" s="138" t="s">
        <v>457</v>
      </c>
      <c r="G78" s="138" t="s">
        <v>458</v>
      </c>
    </row>
    <row r="79" spans="2:11" x14ac:dyDescent="0.2">
      <c r="B79" s="91" t="s">
        <v>91</v>
      </c>
      <c r="C79" s="135">
        <f>ABS('2.1 Profit &amp; Loss by component'!$F$32*INDEX('2.2 Allocation to services'!$D$56:$D$65,MATCH('6. Pricing template'!B79,'2.2 Allocation to services'!$C$56:$C$65,0),1))+ABS('2.1 Profit &amp; Loss by component'!$F$43*INDEX('2.2 Allocation to services'!$D$80:$D$89,MATCH('6. Pricing template'!B79,'2.2 Allocation to services'!$C$80:$C$89,0),1))-ABS('2.1 Profit &amp; Loss by component'!$F$37+'2.1 Profit &amp; Loss by component'!$F$26)*INDEX('2.2 Allocation to services'!$D$68:$D$77,MATCH('6. Pricing template'!B79,'2.2 Allocation to services'!$C$68:$C$77,0),1)</f>
        <v>14316628.043878101</v>
      </c>
      <c r="D79" s="135">
        <f>ABS('2.1 Profit &amp; Loss by component'!$F$32*INDEX('2.2 Allocation to services'!$D$56:$D$65,MATCH('6. Pricing template'!B79,'2.2 Allocation to services'!$C$56:$C$65,0),1))-ABS('2.1 Profit &amp; Loss by component'!$F$26)*INDEX('2.2 Allocation to services'!$D$68:$D$77,MATCH('6. Pricing template'!B79,'2.2 Allocation to services'!$C$68:$C$77,0),1)</f>
        <v>12251926.520835385</v>
      </c>
      <c r="E79" s="134">
        <f>INDEX('5. Historical demand'!$C$26:$C$35,MATCH('6. Pricing template'!B79,'5. Historical demand'!$B$26:$B$35,0),1)*(Yearending-Yearstart)</f>
        <v>54506.696328767095</v>
      </c>
      <c r="F79" s="133">
        <f>IFERROR(C79/(E79*1000)," -")</f>
        <v>0.2626581504321</v>
      </c>
      <c r="G79" s="133">
        <f>IFERROR(D79/(E79*1000)," -")</f>
        <v>0.22477837304494941</v>
      </c>
    </row>
    <row r="80" spans="2:11" x14ac:dyDescent="0.2">
      <c r="B80" s="91" t="s">
        <v>93</v>
      </c>
      <c r="C80" s="135">
        <f>ABS('2.1 Profit &amp; Loss by component'!$F$32*INDEX('2.2 Allocation to services'!$D$56:$D$65,MATCH('6. Pricing template'!B80,'2.2 Allocation to services'!$C$56:$C$65,0),1))+ABS('2.1 Profit &amp; Loss by component'!$F$43*INDEX('2.2 Allocation to services'!$D$80:$D$89,MATCH('6. Pricing template'!B80,'2.2 Allocation to services'!$C$80:$C$89,0),1))-ABS('2.1 Profit &amp; Loss by component'!$F$37+'2.1 Profit &amp; Loss by component'!$F$26)*INDEX('2.2 Allocation to services'!$D$68:$D$77,MATCH('6. Pricing template'!B80,'2.2 Allocation to services'!$C$68:$C$77,0),1)</f>
        <v>0</v>
      </c>
      <c r="D80" s="135">
        <f>ABS('2.1 Profit &amp; Loss by component'!$F$32*INDEX('2.2 Allocation to services'!$D$56:$D$65,MATCH('6. Pricing template'!B80,'2.2 Allocation to services'!$C$56:$C$65,0),1))-ABS('2.1 Profit &amp; Loss by component'!$F$26)*INDEX('2.2 Allocation to services'!$D$68:$D$77,MATCH('6. Pricing template'!B80,'2.2 Allocation to services'!$C$68:$C$77,0),1)</f>
        <v>0</v>
      </c>
      <c r="E80" s="134">
        <f>INDEX('5. Historical demand'!$C$26:$C$35,MATCH('6. Pricing template'!B80,'5. Historical demand'!$B$26:$B$35,0),1)*(Yearending-Yearstart)</f>
        <v>0</v>
      </c>
      <c r="F80" s="133" t="str">
        <f t="shared" ref="F80:F88" si="6">IFERROR(C80/(E80*1000)," -")</f>
        <v xml:space="preserve"> -</v>
      </c>
      <c r="G80" s="133" t="str">
        <f t="shared" ref="G80:G88" si="7">IFERROR(D80/(E80*1000)," -")</f>
        <v xml:space="preserve"> -</v>
      </c>
    </row>
    <row r="81" spans="2:7" x14ac:dyDescent="0.2">
      <c r="B81" s="91" t="s">
        <v>94</v>
      </c>
      <c r="C81" s="135">
        <f>ABS('2.1 Profit &amp; Loss by component'!$F$32*INDEX('2.2 Allocation to services'!$D$56:$D$65,MATCH('6. Pricing template'!B81,'2.2 Allocation to services'!$C$56:$C$65,0),1))+ABS('2.1 Profit &amp; Loss by component'!$F$43*INDEX('2.2 Allocation to services'!$D$80:$D$89,MATCH('6. Pricing template'!B81,'2.2 Allocation to services'!$C$80:$C$89,0),1))-ABS('2.1 Profit &amp; Loss by component'!$F$37+'2.1 Profit &amp; Loss by component'!$F$26)*INDEX('2.2 Allocation to services'!$D$68:$D$77,MATCH('6. Pricing template'!B81,'2.2 Allocation to services'!$C$68:$C$77,0),1)</f>
        <v>1307986.4376387345</v>
      </c>
      <c r="D81" s="135">
        <f>ABS('2.1 Profit &amp; Loss by component'!$F$32*INDEX('2.2 Allocation to services'!$D$56:$D$65,MATCH('6. Pricing template'!B81,'2.2 Allocation to services'!$C$56:$C$65,0),1))-ABS('2.1 Profit &amp; Loss by component'!$F$26)*INDEX('2.2 Allocation to services'!$D$68:$D$77,MATCH('6. Pricing template'!B81,'2.2 Allocation to services'!$C$68:$C$77,0),1)</f>
        <v>1119352.5231698377</v>
      </c>
      <c r="E81" s="134">
        <f>INDEX('5. Historical demand'!$C$26:$C$35,MATCH('6. Pricing template'!B81,'5. Historical demand'!$B$26:$B$35,0),1)*(Yearending-Yearstart)</f>
        <v>0</v>
      </c>
      <c r="F81" s="133" t="str">
        <f t="shared" si="6"/>
        <v xml:space="preserve"> -</v>
      </c>
      <c r="G81" s="133" t="str">
        <f t="shared" si="7"/>
        <v xml:space="preserve"> -</v>
      </c>
    </row>
    <row r="82" spans="2:7" x14ac:dyDescent="0.2">
      <c r="B82" s="91" t="s">
        <v>95</v>
      </c>
      <c r="C82" s="135">
        <f>ABS('2.1 Profit &amp; Loss by component'!$F$32*INDEX('2.2 Allocation to services'!$D$56:$D$65,MATCH('6. Pricing template'!B82,'2.2 Allocation to services'!$C$56:$C$65,0),1))+ABS('2.1 Profit &amp; Loss by component'!$F$43*INDEX('2.2 Allocation to services'!$D$80:$D$89,MATCH('6. Pricing template'!B82,'2.2 Allocation to services'!$C$80:$C$89,0),1))-ABS('2.1 Profit &amp; Loss by component'!$F$37+'2.1 Profit &amp; Loss by component'!$F$26)*INDEX('2.2 Allocation to services'!$D$68:$D$77,MATCH('6. Pricing template'!B82,'2.2 Allocation to services'!$C$68:$C$77,0),1)</f>
        <v>0</v>
      </c>
      <c r="D82" s="135">
        <f>ABS('2.1 Profit &amp; Loss by component'!$F$32*INDEX('2.2 Allocation to services'!$D$56:$D$65,MATCH('6. Pricing template'!B82,'2.2 Allocation to services'!$C$56:$C$65,0),1))-ABS('2.1 Profit &amp; Loss by component'!$F$26)*INDEX('2.2 Allocation to services'!$D$68:$D$77,MATCH('6. Pricing template'!B82,'2.2 Allocation to services'!$C$68:$C$77,0),1)</f>
        <v>0</v>
      </c>
      <c r="E82" s="134">
        <f>INDEX('5. Historical demand'!$C$26:$C$35,MATCH('6. Pricing template'!B82,'5. Historical demand'!$B$26:$B$35,0),1)*(Yearending-Yearstart)</f>
        <v>0</v>
      </c>
      <c r="F82" s="133" t="str">
        <f t="shared" si="6"/>
        <v xml:space="preserve"> -</v>
      </c>
      <c r="G82" s="133" t="str">
        <f t="shared" si="7"/>
        <v xml:space="preserve"> -</v>
      </c>
    </row>
    <row r="83" spans="2:7" x14ac:dyDescent="0.2">
      <c r="B83" s="159" t="s">
        <v>96</v>
      </c>
      <c r="C83" s="135">
        <f>ABS('2.1 Profit &amp; Loss by component'!$F$32*INDEX('2.2 Allocation to services'!$D$56:$D$65,MATCH('6. Pricing template'!B83,'2.2 Allocation to services'!$C$56:$C$65,0),1))+ABS('2.1 Profit &amp; Loss by component'!$F$43*INDEX('2.2 Allocation to services'!$D$80:$D$89,MATCH('6. Pricing template'!B83,'2.2 Allocation to services'!$C$80:$C$89,0),1))-ABS('2.1 Profit &amp; Loss by component'!$F$37+'2.1 Profit &amp; Loss by component'!$F$26)*INDEX('2.2 Allocation to services'!$D$68:$D$77,MATCH('6. Pricing template'!B83,'2.2 Allocation to services'!$C$68:$C$77,0),1)</f>
        <v>0</v>
      </c>
      <c r="D83" s="135">
        <f>ABS('2.1 Profit &amp; Loss by component'!$F$32*INDEX('2.2 Allocation to services'!$D$56:$D$65,MATCH('6. Pricing template'!B83,'2.2 Allocation to services'!$C$56:$C$65,0),1))-ABS('2.1 Profit &amp; Loss by component'!$F$26)*INDEX('2.2 Allocation to services'!$D$68:$D$77,MATCH('6. Pricing template'!B83,'2.2 Allocation to services'!$C$68:$C$77,0),1)</f>
        <v>0</v>
      </c>
      <c r="E83" s="134">
        <f>INDEX('5. Historical demand'!$C$26:$C$35,MATCH('6. Pricing template'!B83,'5. Historical demand'!$B$26:$B$35,0),1)*(Yearending-Yearstart)</f>
        <v>0</v>
      </c>
      <c r="F83" s="133" t="str">
        <f t="shared" si="6"/>
        <v xml:space="preserve"> -</v>
      </c>
      <c r="G83" s="133" t="str">
        <f t="shared" si="7"/>
        <v xml:space="preserve"> -</v>
      </c>
    </row>
    <row r="84" spans="2:7" x14ac:dyDescent="0.2">
      <c r="B84" s="91" t="s">
        <v>97</v>
      </c>
      <c r="C84" s="135">
        <f>ABS('2.1 Profit &amp; Loss by component'!$F$32*INDEX('2.2 Allocation to services'!$D$56:$D$65,MATCH('6. Pricing template'!B84,'2.2 Allocation to services'!$C$56:$C$65,0),1))+ABS('2.1 Profit &amp; Loss by component'!$F$43*INDEX('2.2 Allocation to services'!$D$80:$D$89,MATCH('6. Pricing template'!B84,'2.2 Allocation to services'!$C$80:$C$89,0),1))-ABS('2.1 Profit &amp; Loss by component'!$F$37+'2.1 Profit &amp; Loss by component'!$F$26)*INDEX('2.2 Allocation to services'!$D$68:$D$77,MATCH('6. Pricing template'!B84,'2.2 Allocation to services'!$C$68:$C$77,0),1)</f>
        <v>0</v>
      </c>
      <c r="D84" s="135">
        <f>ABS('2.1 Profit &amp; Loss by component'!$F$32*INDEX('2.2 Allocation to services'!$D$56:$D$65,MATCH('6. Pricing template'!B84,'2.2 Allocation to services'!$C$56:$C$65,0),1))-ABS('2.1 Profit &amp; Loss by component'!$F$26)*INDEX('2.2 Allocation to services'!$D$68:$D$77,MATCH('6. Pricing template'!B84,'2.2 Allocation to services'!$C$68:$C$77,0),1)</f>
        <v>0</v>
      </c>
      <c r="E84" s="134">
        <f>INDEX('5. Historical demand'!$C$26:$C$35,MATCH('6. Pricing template'!B84,'5. Historical demand'!$B$26:$B$35,0),1)*(Yearending-Yearstart)</f>
        <v>0</v>
      </c>
      <c r="F84" s="133" t="str">
        <f t="shared" si="6"/>
        <v xml:space="preserve"> -</v>
      </c>
      <c r="G84" s="133" t="str">
        <f t="shared" si="7"/>
        <v xml:space="preserve"> -</v>
      </c>
    </row>
    <row r="85" spans="2:7" x14ac:dyDescent="0.2">
      <c r="B85" s="91" t="s">
        <v>98</v>
      </c>
      <c r="C85" s="135">
        <f>ABS('2.1 Profit &amp; Loss by component'!$F$32*INDEX('2.2 Allocation to services'!$D$56:$D$65,MATCH('6. Pricing template'!B85,'2.2 Allocation to services'!$C$56:$C$65,0),1))+ABS('2.1 Profit &amp; Loss by component'!$F$43*INDEX('2.2 Allocation to services'!$D$80:$D$89,MATCH('6. Pricing template'!B85,'2.2 Allocation to services'!$C$80:$C$89,0),1))-ABS('2.1 Profit &amp; Loss by component'!$F$37+'2.1 Profit &amp; Loss by component'!$F$26)*INDEX('2.2 Allocation to services'!$D$68:$D$77,MATCH('6. Pricing template'!B85,'2.2 Allocation to services'!$C$68:$C$77,0),1)</f>
        <v>125183.72308015954</v>
      </c>
      <c r="D85" s="135">
        <f>ABS('2.1 Profit &amp; Loss by component'!$F$32*INDEX('2.2 Allocation to services'!$D$56:$D$65,MATCH('6. Pricing template'!B85,'2.2 Allocation to services'!$C$56:$C$65,0),1))-ABS('2.1 Profit &amp; Loss by component'!$F$26)*INDEX('2.2 Allocation to services'!$D$68:$D$77,MATCH('6. Pricing template'!B85,'2.2 Allocation to services'!$C$68:$C$77,0),1)</f>
        <v>107130.09879715073</v>
      </c>
      <c r="E85" s="134">
        <f>INDEX('5. Historical demand'!$C$26:$C$35,MATCH('6. Pricing template'!B85,'5. Historical demand'!$B$26:$B$35,0),1)*(Yearending-Yearstart)</f>
        <v>0</v>
      </c>
      <c r="F85" s="133" t="str">
        <f t="shared" si="6"/>
        <v xml:space="preserve"> -</v>
      </c>
      <c r="G85" s="133" t="str">
        <f t="shared" si="7"/>
        <v xml:space="preserve"> -</v>
      </c>
    </row>
    <row r="86" spans="2:7" x14ac:dyDescent="0.2">
      <c r="B86" s="91" t="s">
        <v>99</v>
      </c>
      <c r="C86" s="135">
        <f>ABS('2.1 Profit &amp; Loss by component'!$F$32*INDEX('2.2 Allocation to services'!$D$56:$D$65,MATCH('6. Pricing template'!B86,'2.2 Allocation to services'!$C$56:$C$65,0),1))+ABS('2.1 Profit &amp; Loss by component'!$F$43*INDEX('2.2 Allocation to services'!$D$80:$D$89,MATCH('6. Pricing template'!B86,'2.2 Allocation to services'!$C$80:$C$89,0),1))-ABS('2.1 Profit &amp; Loss by component'!$F$37+'2.1 Profit &amp; Loss by component'!$F$26)*INDEX('2.2 Allocation to services'!$D$68:$D$77,MATCH('6. Pricing template'!B86,'2.2 Allocation to services'!$C$68:$C$77,0),1)</f>
        <v>0</v>
      </c>
      <c r="D86" s="135">
        <f>ABS('2.1 Profit &amp; Loss by component'!$F$32*INDEX('2.2 Allocation to services'!$D$56:$D$65,MATCH('6. Pricing template'!B86,'2.2 Allocation to services'!$C$56:$C$65,0),1))-ABS('2.1 Profit &amp; Loss by component'!$F$26)*INDEX('2.2 Allocation to services'!$D$68:$D$77,MATCH('6. Pricing template'!B86,'2.2 Allocation to services'!$C$68:$C$77,0),1)</f>
        <v>0</v>
      </c>
      <c r="E86" s="134">
        <f>INDEX('5. Historical demand'!$C$26:$C$35,MATCH('6. Pricing template'!B86,'5. Historical demand'!$B$26:$B$35,0),1)*(Yearending-Yearstart)</f>
        <v>0</v>
      </c>
      <c r="F86" s="133" t="str">
        <f t="shared" si="6"/>
        <v xml:space="preserve"> -</v>
      </c>
      <c r="G86" s="133" t="str">
        <f t="shared" si="7"/>
        <v xml:space="preserve"> -</v>
      </c>
    </row>
    <row r="87" spans="2:7" x14ac:dyDescent="0.2">
      <c r="B87" s="91" t="s">
        <v>101</v>
      </c>
      <c r="C87" s="135">
        <f>ABS('2.1 Profit &amp; Loss by component'!$F$32*INDEX('2.2 Allocation to services'!$D$56:$D$65,MATCH('6. Pricing template'!B87,'2.2 Allocation to services'!$C$56:$C$65,0),1))+ABS('2.1 Profit &amp; Loss by component'!$F$43*INDEX('2.2 Allocation to services'!$D$80:$D$89,MATCH('6. Pricing template'!B87,'2.2 Allocation to services'!$C$80:$C$89,0),1))-ABS('2.1 Profit &amp; Loss by component'!$F$37+'2.1 Profit &amp; Loss by component'!$F$26)*INDEX('2.2 Allocation to services'!$D$68:$D$77,MATCH('6. Pricing template'!B87,'2.2 Allocation to services'!$C$68:$C$77,0),1)</f>
        <v>14113.618591737235</v>
      </c>
      <c r="D87" s="135">
        <f>ABS('2.1 Profit &amp; Loss by component'!$F$32*INDEX('2.2 Allocation to services'!$D$56:$D$65,MATCH('6. Pricing template'!B87,'2.2 Allocation to services'!$C$56:$C$65,0),1))-ABS('2.1 Profit &amp; Loss by component'!$F$26)*INDEX('2.2 Allocation to services'!$D$68:$D$77,MATCH('6. Pricing template'!B87,'2.2 Allocation to services'!$C$68:$C$77,0),1)</f>
        <v>12078.19448819181</v>
      </c>
      <c r="E87" s="134">
        <f>INDEX('5. Historical demand'!$C$26:$C$35,MATCH('6. Pricing template'!B87,'5. Historical demand'!$B$26:$B$35,0),1)*(Yearending-Yearstart)</f>
        <v>0</v>
      </c>
      <c r="F87" s="133" t="str">
        <f t="shared" si="6"/>
        <v xml:space="preserve"> -</v>
      </c>
      <c r="G87" s="133" t="str">
        <f t="shared" si="7"/>
        <v xml:space="preserve"> -</v>
      </c>
    </row>
    <row r="88" spans="2:7" x14ac:dyDescent="0.2">
      <c r="B88" s="91" t="s">
        <v>103</v>
      </c>
      <c r="C88" s="135">
        <f>ABS('2.1 Profit &amp; Loss by component'!$F$32*INDEX('2.2 Allocation to services'!$D$56:$D$65,MATCH('6. Pricing template'!B88,'2.2 Allocation to services'!$C$56:$C$65,0),1))+ABS('2.1 Profit &amp; Loss by component'!$F$43*INDEX('2.2 Allocation to services'!$D$80:$D$89,MATCH('6. Pricing template'!B88,'2.2 Allocation to services'!$C$80:$C$89,0),1))-ABS('2.1 Profit &amp; Loss by component'!$F$37+'2.1 Profit &amp; Loss by component'!$F$26)*INDEX('2.2 Allocation to services'!$D$68:$D$77,MATCH('6. Pricing template'!B88,'2.2 Allocation to services'!$C$68:$C$77,0),1)</f>
        <v>168828.60166812805</v>
      </c>
      <c r="D88" s="135">
        <f>ABS('2.1 Profit &amp; Loss by component'!$F$32*INDEX('2.2 Allocation to services'!$D$56:$D$65,MATCH('6. Pricing template'!B88,'2.2 Allocation to services'!$C$56:$C$65,0),1))-ABS('2.1 Profit &amp; Loss by component'!$F$26)*INDEX('2.2 Allocation to services'!$D$68:$D$77,MATCH('6. Pricing template'!B88,'2.2 Allocation to services'!$C$68:$C$77,0),1)</f>
        <v>144480.64278220787</v>
      </c>
      <c r="E88" s="134">
        <f>INDEX('5. Historical demand'!$C$26:$C$35,MATCH('6. Pricing template'!B88,'5. Historical demand'!$B$26:$B$35,0),1)*(Yearending-Yearstart)</f>
        <v>0</v>
      </c>
      <c r="F88" s="133" t="str">
        <f t="shared" si="6"/>
        <v xml:space="preserve"> -</v>
      </c>
      <c r="G88" s="133" t="str">
        <f t="shared" si="7"/>
        <v xml:space="preserve"> -</v>
      </c>
    </row>
    <row r="90" spans="2:7" ht="15.75" x14ac:dyDescent="0.25">
      <c r="B90" s="148" t="s">
        <v>390</v>
      </c>
    </row>
    <row r="91" spans="2:7" x14ac:dyDescent="0.2">
      <c r="B91" s="132" t="s">
        <v>472</v>
      </c>
      <c r="C91" s="153" t="s">
        <v>473</v>
      </c>
      <c r="D91" s="153" t="s">
        <v>474</v>
      </c>
      <c r="E91" s="153" t="s">
        <v>475</v>
      </c>
    </row>
    <row r="92" spans="2:7" x14ac:dyDescent="0.2">
      <c r="B92" s="91" t="s">
        <v>91</v>
      </c>
      <c r="C92" s="135">
        <f>IF(Cover!$C$23="Scheme pipeline",( '3.2 Regulatory Asset Base'!$H$95-'3.2 Regulatory Asset Base'!$H$94)*C21,('3.1 Depreciated Book Value'!$D$25+'3.1 Depreciated Book Value'!$D$33+'3.1 Depreciated Book Value'!$D$41+'3.1 Depreciated Book Value'!$D$49+'3.1 Depreciated Book Value'!$D$57+'3.1 Depreciated Book Value'!$D$65+'3.1 Depreciated Book Value'!$D$73+'3.1 Depreciated Book Value'!$D$88+'3.1 Depreciated Book Value'!$D$96)*C21)</f>
        <v>148123442.00376806</v>
      </c>
      <c r="D92" s="135">
        <f>ABS('2.1 Profit &amp; Loss by component'!$F$26)*INDEX('2.2 Allocation to services'!$D$68:$D$77,MATCH('6. Pricing template'!B79,'2.2 Allocation to services'!$C$68:$C$77,0),1)/(Yearending-Yearstart)*365</f>
        <v>5028374.0382291311</v>
      </c>
      <c r="E92" s="131">
        <f t="shared" ref="E92:E101" si="8">IFERROR(C92/D92," - ")</f>
        <v>29.457522626127762</v>
      </c>
    </row>
    <row r="93" spans="2:7" x14ac:dyDescent="0.2">
      <c r="B93" s="91" t="s">
        <v>93</v>
      </c>
      <c r="C93" s="135">
        <f>IF(Cover!$C$23="Scheme pipeline",( '3.2 Regulatory Asset Base'!$H$95-'3.2 Regulatory Asset Base'!$H$94)*C22,('3.1 Depreciated Book Value'!$D$25+'3.1 Depreciated Book Value'!$D$33+'3.1 Depreciated Book Value'!$D$41+'3.1 Depreciated Book Value'!$D$49+'3.1 Depreciated Book Value'!$D$57+'3.1 Depreciated Book Value'!$D$65+'3.1 Depreciated Book Value'!$D$73+'3.1 Depreciated Book Value'!$D$88+'3.1 Depreciated Book Value'!$D$96)*C22)</f>
        <v>0</v>
      </c>
      <c r="D93" s="135">
        <f>ABS('2.1 Profit &amp; Loss by component'!$F$26)*INDEX('2.2 Allocation to services'!$D$68:$D$77,MATCH('6. Pricing template'!B80,'2.2 Allocation to services'!$C$68:$C$77,0),1)/(Yearending-Yearstart)*365</f>
        <v>0</v>
      </c>
      <c r="E93" s="131" t="str">
        <f t="shared" si="8"/>
        <v xml:space="preserve"> - </v>
      </c>
      <c r="G93" s="130"/>
    </row>
    <row r="94" spans="2:7" x14ac:dyDescent="0.2">
      <c r="B94" s="91" t="s">
        <v>94</v>
      </c>
      <c r="C94" s="135">
        <f>IF(Cover!$C$23="Scheme pipeline",( '3.2 Regulatory Asset Base'!$H$95-'3.2 Regulatory Asset Base'!$H$94)*C23,('3.1 Depreciated Book Value'!$D$25+'3.1 Depreciated Book Value'!$D$33+'3.1 Depreciated Book Value'!$D$41+'3.1 Depreciated Book Value'!$D$49+'3.1 Depreciated Book Value'!$D$57+'3.1 Depreciated Book Value'!$D$65+'3.1 Depreciated Book Value'!$D$73+'3.1 Depreciated Book Value'!$D$88+'3.1 Depreciated Book Value'!$D$96)*C23)</f>
        <v>13532757.339472994</v>
      </c>
      <c r="D94" s="135">
        <f>ABS('2.1 Profit &amp; Loss by component'!$F$26)*INDEX('2.2 Allocation to services'!$D$68:$D$77,MATCH('6. Pricing template'!B81,'2.2 Allocation to services'!$C$68:$C$77,0),1)/(Yearending-Yearstart)*365</f>
        <v>459399.03063911851</v>
      </c>
      <c r="E94" s="131">
        <f t="shared" si="8"/>
        <v>29.457522626127762</v>
      </c>
    </row>
    <row r="95" spans="2:7" x14ac:dyDescent="0.2">
      <c r="B95" s="91" t="s">
        <v>95</v>
      </c>
      <c r="C95" s="135">
        <f>IF(Cover!$C$23="Scheme pipeline",( '3.2 Regulatory Asset Base'!$H$95-'3.2 Regulatory Asset Base'!$H$94)*C24,('3.1 Depreciated Book Value'!$D$25+'3.1 Depreciated Book Value'!$D$33+'3.1 Depreciated Book Value'!$D$41+'3.1 Depreciated Book Value'!$D$49+'3.1 Depreciated Book Value'!$D$57+'3.1 Depreciated Book Value'!$D$65+'3.1 Depreciated Book Value'!$D$73+'3.1 Depreciated Book Value'!$D$88+'3.1 Depreciated Book Value'!$D$96)*C24)</f>
        <v>0</v>
      </c>
      <c r="D95" s="135">
        <f>ABS('2.1 Profit &amp; Loss by component'!$F$26)*INDEX('2.2 Allocation to services'!$D$68:$D$77,MATCH('6. Pricing template'!B82,'2.2 Allocation to services'!$C$68:$C$77,0),1)/(Yearending-Yearstart)*365</f>
        <v>0</v>
      </c>
      <c r="E95" s="131" t="str">
        <f t="shared" si="8"/>
        <v xml:space="preserve"> - </v>
      </c>
    </row>
    <row r="96" spans="2:7" x14ac:dyDescent="0.2">
      <c r="B96" s="159" t="s">
        <v>96</v>
      </c>
      <c r="C96" s="135">
        <f>IF(Cover!$C$23="Scheme pipeline",( '3.2 Regulatory Asset Base'!$H$95-'3.2 Regulatory Asset Base'!$H$94)*C25,('3.1 Depreciated Book Value'!$D$25+'3.1 Depreciated Book Value'!$D$33+'3.1 Depreciated Book Value'!$D$41+'3.1 Depreciated Book Value'!$D$49+'3.1 Depreciated Book Value'!$D$57+'3.1 Depreciated Book Value'!$D$65+'3.1 Depreciated Book Value'!$D$73+'3.1 Depreciated Book Value'!$D$88+'3.1 Depreciated Book Value'!$D$96)*C25)</f>
        <v>0</v>
      </c>
      <c r="D96" s="135">
        <f>ABS('2.1 Profit &amp; Loss by component'!$F$26)*INDEX('2.2 Allocation to services'!$D$68:$D$77,MATCH('6. Pricing template'!B83,'2.2 Allocation to services'!$C$68:$C$77,0),1)/(Yearending-Yearstart)*365</f>
        <v>0</v>
      </c>
      <c r="E96" s="131" t="str">
        <f t="shared" si="8"/>
        <v xml:space="preserve"> - </v>
      </c>
    </row>
    <row r="97" spans="2:7" x14ac:dyDescent="0.2">
      <c r="B97" s="91" t="s">
        <v>97</v>
      </c>
      <c r="C97" s="135">
        <f>IF(Cover!$C$23="Scheme pipeline",( '3.2 Regulatory Asset Base'!$H$95-'3.2 Regulatory Asset Base'!$H$94)*C26,('3.1 Depreciated Book Value'!$D$25+'3.1 Depreciated Book Value'!$D$33+'3.1 Depreciated Book Value'!$D$41+'3.1 Depreciated Book Value'!$D$49+'3.1 Depreciated Book Value'!$D$57+'3.1 Depreciated Book Value'!$D$65+'3.1 Depreciated Book Value'!$D$73+'3.1 Depreciated Book Value'!$D$88+'3.1 Depreciated Book Value'!$D$96)*C26)</f>
        <v>0</v>
      </c>
      <c r="D97" s="135">
        <f>ABS('2.1 Profit &amp; Loss by component'!$F$26)*INDEX('2.2 Allocation to services'!$D$68:$D$77,MATCH('6. Pricing template'!B84,'2.2 Allocation to services'!$C$68:$C$77,0),1)/(Yearending-Yearstart)*365</f>
        <v>0</v>
      </c>
      <c r="E97" s="131" t="str">
        <f t="shared" si="8"/>
        <v xml:space="preserve"> - </v>
      </c>
    </row>
    <row r="98" spans="2:7" x14ac:dyDescent="0.2">
      <c r="B98" s="91" t="s">
        <v>98</v>
      </c>
      <c r="C98" s="135">
        <f>IF(Cover!$C$23="Scheme pipeline",( '3.2 Regulatory Asset Base'!$H$95-'3.2 Regulatory Asset Base'!$H$94)*C27,('3.1 Depreciated Book Value'!$D$25+'3.1 Depreciated Book Value'!$D$33+'3.1 Depreciated Book Value'!$D$41+'3.1 Depreciated Book Value'!$D$49+'3.1 Depreciated Book Value'!$D$57+'3.1 Depreciated Book Value'!$D$65+'3.1 Depreciated Book Value'!$D$73+'3.1 Depreciated Book Value'!$D$88+'3.1 Depreciated Book Value'!$D$96)*C27)</f>
        <v>1295182.349408648</v>
      </c>
      <c r="D98" s="135">
        <f>ABS('2.1 Profit &amp; Loss by component'!$F$26)*INDEX('2.2 Allocation to services'!$D$68:$D$77,MATCH('6. Pricing template'!B85,'2.2 Allocation to services'!$C$68:$C$77,0),1)/(Yearending-Yearstart)*365</f>
        <v>43967.796132994154</v>
      </c>
      <c r="E98" s="131">
        <f t="shared" si="8"/>
        <v>29.457522626127762</v>
      </c>
    </row>
    <row r="99" spans="2:7" x14ac:dyDescent="0.2">
      <c r="B99" s="91" t="s">
        <v>99</v>
      </c>
      <c r="C99" s="135">
        <f>IF(Cover!$C$23="Scheme pipeline",( '3.2 Regulatory Asset Base'!$H$95-'3.2 Regulatory Asset Base'!$H$94)*C28,('3.1 Depreciated Book Value'!$D$25+'3.1 Depreciated Book Value'!$D$33+'3.1 Depreciated Book Value'!$D$41+'3.1 Depreciated Book Value'!$D$49+'3.1 Depreciated Book Value'!$D$57+'3.1 Depreciated Book Value'!$D$65+'3.1 Depreciated Book Value'!$D$73+'3.1 Depreciated Book Value'!$D$88+'3.1 Depreciated Book Value'!$D$96)*C28)</f>
        <v>0</v>
      </c>
      <c r="D99" s="135">
        <f>ABS('2.1 Profit &amp; Loss by component'!$F$26)*INDEX('2.2 Allocation to services'!$D$68:$D$77,MATCH('6. Pricing template'!B86,'2.2 Allocation to services'!$C$68:$C$77,0),1)/(Yearending-Yearstart)*365</f>
        <v>0</v>
      </c>
      <c r="E99" s="131" t="str">
        <f t="shared" si="8"/>
        <v xml:space="preserve"> - </v>
      </c>
    </row>
    <row r="100" spans="2:7" x14ac:dyDescent="0.2">
      <c r="B100" s="91" t="s">
        <v>101</v>
      </c>
      <c r="C100" s="135">
        <f>IF(Cover!$C$23="Scheme pipeline",( '3.2 Regulatory Asset Base'!$H$95-'3.2 Regulatory Asset Base'!$H$94)*C29,('3.1 Depreciated Book Value'!$D$25+'3.1 Depreciated Book Value'!$D$33+'3.1 Depreciated Book Value'!$D$41+'3.1 Depreciated Book Value'!$D$49+'3.1 Depreciated Book Value'!$D$57+'3.1 Depreciated Book Value'!$D$65+'3.1 Depreciated Book Value'!$D$73+'3.1 Depreciated Book Value'!$D$88+'3.1 Depreciated Book Value'!$D$96)*C29)</f>
        <v>146023.05504685029</v>
      </c>
      <c r="D100" s="135">
        <f>ABS('2.1 Profit &amp; Loss by component'!$F$26)*INDEX('2.2 Allocation to services'!$D$68:$D$77,MATCH('6. Pricing template'!B87,'2.2 Allocation to services'!$C$68:$C$77,0),1)/(Yearending-Yearstart)*365</f>
        <v>4957.0718115084501</v>
      </c>
      <c r="E100" s="131">
        <f t="shared" si="8"/>
        <v>29.457522626127759</v>
      </c>
    </row>
    <row r="101" spans="2:7" x14ac:dyDescent="0.2">
      <c r="B101" s="91" t="s">
        <v>103</v>
      </c>
      <c r="C101" s="135">
        <f>IF(Cover!$C$23="Scheme pipeline",( '3.2 Regulatory Asset Base'!$H$95-'3.2 Regulatory Asset Base'!$H$94)*C30,('3.1 Depreciated Book Value'!$D$25+'3.1 Depreciated Book Value'!$D$33+'3.1 Depreciated Book Value'!$D$41+'3.1 Depreciated Book Value'!$D$49+'3.1 Depreciated Book Value'!$D$57+'3.1 Depreciated Book Value'!$D$65+'3.1 Depreciated Book Value'!$D$73+'3.1 Depreciated Book Value'!$D$88+'3.1 Depreciated Book Value'!$D$96)*C30)</f>
        <v>1746743.2632266791</v>
      </c>
      <c r="D101" s="135">
        <f>ABS('2.1 Profit &amp; Loss by component'!$F$26)*INDEX('2.2 Allocation to services'!$D$68:$D$77,MATCH('6. Pricing template'!B88,'2.2 Allocation to services'!$C$68:$C$77,0),1)/(Yearending-Yearstart)*365</f>
        <v>59297.018469481911</v>
      </c>
      <c r="E101" s="131">
        <f t="shared" si="8"/>
        <v>29.457522626127759</v>
      </c>
    </row>
    <row r="103" spans="2:7" s="136" customFormat="1" ht="27" customHeight="1" x14ac:dyDescent="0.2">
      <c r="B103" s="129" t="s">
        <v>476</v>
      </c>
      <c r="C103" s="137" t="s">
        <v>477</v>
      </c>
      <c r="D103" s="137" t="s">
        <v>478</v>
      </c>
      <c r="E103" s="137" t="s">
        <v>471</v>
      </c>
      <c r="F103" s="138" t="s">
        <v>459</v>
      </c>
      <c r="G103" s="165" t="s">
        <v>460</v>
      </c>
    </row>
    <row r="104" spans="2:7" x14ac:dyDescent="0.2">
      <c r="B104" s="91" t="s">
        <v>91</v>
      </c>
      <c r="C104" s="135">
        <f>ABS('2.1 Profit &amp; Loss by component'!$F$26+'2.1 Profit &amp; Loss by component'!$F$37)*INDEX('2.2 Allocation to services'!$D$68:$D$77,MATCH(B104,'2.2 Allocation to services'!$C$68:$C$77,0),1)</f>
        <v>5340845.576890585</v>
      </c>
      <c r="D104" s="135">
        <f>ABS('2.1 Profit &amp; Loss by component'!$F$26*INDEX('2.2 Allocation to services'!$D$68:$D$77,MATCH(B104,'2.2 Allocation to services'!$C$68:$C$77,0),1))</f>
        <v>5014597.6710011065</v>
      </c>
      <c r="E104" s="134">
        <f>INDEX('5. Historical demand'!$C$26:$C$35,MATCH(B104,'5. Historical demand'!$B$26:$B$35,0),1)*(Yearending-Yearstart)</f>
        <v>54506.696328767095</v>
      </c>
      <c r="F104" s="166">
        <f>IFERROR(C104/(E104*1000)," - ")</f>
        <v>9.7985127270900793E-2</v>
      </c>
      <c r="G104" s="166">
        <f>IFERROR(D104/(E104*1000)," - ")</f>
        <v>9.1999662587412087E-2</v>
      </c>
    </row>
    <row r="105" spans="2:7" x14ac:dyDescent="0.2">
      <c r="B105" s="91" t="s">
        <v>93</v>
      </c>
      <c r="C105" s="135">
        <f>ABS('2.1 Profit &amp; Loss by component'!$F$26+'2.1 Profit &amp; Loss by component'!$F$37)*INDEX('2.2 Allocation to services'!$D$68:$D$77,MATCH(B105,'2.2 Allocation to services'!$C$68:$C$77,0),1)</f>
        <v>0</v>
      </c>
      <c r="D105" s="135">
        <f>ABS('2.1 Profit &amp; Loss by component'!$F$26*INDEX('2.2 Allocation to services'!$D$68:$D$77,MATCH(B105,'2.2 Allocation to services'!$C$68:$C$77,0),1))</f>
        <v>0</v>
      </c>
      <c r="E105" s="134">
        <f>INDEX('5. Historical demand'!$C$26:$C$35,MATCH(B105,'5. Historical demand'!$B$26:$B$35,0),1)*(Yearending-Yearstart)</f>
        <v>0</v>
      </c>
      <c r="F105" s="166" t="str">
        <f t="shared" ref="F105:F113" si="9">IFERROR(C105/(E105*1000)," - ")</f>
        <v xml:space="preserve"> - </v>
      </c>
      <c r="G105" s="166" t="str">
        <f t="shared" ref="G105:G113" si="10">IFERROR(D105/(E105*1000)," - ")</f>
        <v xml:space="preserve"> - </v>
      </c>
    </row>
    <row r="106" spans="2:7" x14ac:dyDescent="0.2">
      <c r="B106" s="91" t="s">
        <v>94</v>
      </c>
      <c r="C106" s="135">
        <f>ABS('2.1 Profit &amp; Loss by component'!$F$26+'2.1 Profit &amp; Loss by component'!$F$37)*INDEX('2.2 Allocation to services'!$D$68:$D$77,MATCH(B106,'2.2 Allocation to services'!$C$68:$C$77,0),1)</f>
        <v>487946.85163891432</v>
      </c>
      <c r="D106" s="135">
        <f>ABS('2.1 Profit &amp; Loss by component'!$F$26*INDEX('2.2 Allocation to services'!$D$68:$D$77,MATCH(B106,'2.2 Allocation to services'!$C$68:$C$77,0),1))</f>
        <v>458140.40315791545</v>
      </c>
      <c r="E106" s="134">
        <f>INDEX('5. Historical demand'!$C$26:$C$35,MATCH(B106,'5. Historical demand'!$B$26:$B$35,0),1)*(Yearending-Yearstart)</f>
        <v>0</v>
      </c>
      <c r="F106" s="166" t="str">
        <f t="shared" si="9"/>
        <v xml:space="preserve"> - </v>
      </c>
      <c r="G106" s="166" t="str">
        <f t="shared" si="10"/>
        <v xml:space="preserve"> - </v>
      </c>
    </row>
    <row r="107" spans="2:7" x14ac:dyDescent="0.2">
      <c r="B107" s="91" t="s">
        <v>95</v>
      </c>
      <c r="C107" s="135">
        <f>ABS('2.1 Profit &amp; Loss by component'!$F$26+'2.1 Profit &amp; Loss by component'!$F$37)*INDEX('2.2 Allocation to services'!$D$68:$D$77,MATCH(B107,'2.2 Allocation to services'!$C$68:$C$77,0),1)</f>
        <v>0</v>
      </c>
      <c r="D107" s="135">
        <f>ABS('2.1 Profit &amp; Loss by component'!$F$26*INDEX('2.2 Allocation to services'!$D$68:$D$77,MATCH(B107,'2.2 Allocation to services'!$C$68:$C$77,0),1))</f>
        <v>0</v>
      </c>
      <c r="E107" s="134">
        <f>INDEX('5. Historical demand'!$C$26:$C$35,MATCH(B107,'5. Historical demand'!$B$26:$B$35,0),1)*(Yearending-Yearstart)</f>
        <v>0</v>
      </c>
      <c r="F107" s="166" t="str">
        <f t="shared" si="9"/>
        <v xml:space="preserve"> - </v>
      </c>
      <c r="G107" s="166" t="str">
        <f t="shared" si="10"/>
        <v xml:space="preserve"> - </v>
      </c>
    </row>
    <row r="108" spans="2:7" x14ac:dyDescent="0.2">
      <c r="B108" s="159" t="s">
        <v>96</v>
      </c>
      <c r="C108" s="135">
        <f>ABS('2.1 Profit &amp; Loss by component'!$F$26+'2.1 Profit &amp; Loss by component'!$F$37)*INDEX('2.2 Allocation to services'!$D$68:$D$77,MATCH(B108,'2.2 Allocation to services'!$C$68:$C$77,0),1)</f>
        <v>0</v>
      </c>
      <c r="D108" s="135">
        <f>ABS('2.1 Profit &amp; Loss by component'!$F$26*INDEX('2.2 Allocation to services'!$D$68:$D$77,MATCH(B108,'2.2 Allocation to services'!$C$68:$C$77,0),1))</f>
        <v>0</v>
      </c>
      <c r="E108" s="134">
        <f>INDEX('5. Historical demand'!$C$26:$C$35,MATCH(B108,'5. Historical demand'!$B$26:$B$35,0),1)*(Yearending-Yearstart)</f>
        <v>0</v>
      </c>
      <c r="F108" s="166" t="str">
        <f t="shared" si="9"/>
        <v xml:space="preserve"> - </v>
      </c>
      <c r="G108" s="166" t="str">
        <f t="shared" si="10"/>
        <v xml:space="preserve"> - </v>
      </c>
    </row>
    <row r="109" spans="2:7" x14ac:dyDescent="0.2">
      <c r="B109" s="91" t="s">
        <v>97</v>
      </c>
      <c r="C109" s="135">
        <f>ABS('2.1 Profit &amp; Loss by component'!$F$26+'2.1 Profit &amp; Loss by component'!$F$37)*INDEX('2.2 Allocation to services'!$D$68:$D$77,MATCH(B109,'2.2 Allocation to services'!$C$68:$C$77,0),1)</f>
        <v>0</v>
      </c>
      <c r="D109" s="135">
        <f>ABS('2.1 Profit &amp; Loss by component'!$F$26*INDEX('2.2 Allocation to services'!$D$68:$D$77,MATCH(B109,'2.2 Allocation to services'!$C$68:$C$77,0),1))</f>
        <v>0</v>
      </c>
      <c r="E109" s="134">
        <f>INDEX('5. Historical demand'!$C$26:$C$35,MATCH(B109,'5. Historical demand'!$B$26:$B$35,0),1)*(Yearending-Yearstart)</f>
        <v>0</v>
      </c>
      <c r="F109" s="166" t="str">
        <f t="shared" si="9"/>
        <v xml:space="preserve"> - </v>
      </c>
      <c r="G109" s="166" t="str">
        <f t="shared" si="10"/>
        <v xml:space="preserve"> - </v>
      </c>
    </row>
    <row r="110" spans="2:7" x14ac:dyDescent="0.2">
      <c r="B110" s="91" t="s">
        <v>98</v>
      </c>
      <c r="C110" s="135">
        <f>ABS('2.1 Profit &amp; Loss by component'!$F$26+'2.1 Profit &amp; Loss by component'!$F$37)*INDEX('2.2 Allocation to services'!$D$68:$D$77,MATCH(B110,'2.2 Allocation to services'!$C$68:$C$77,0),1)</f>
        <v>46700.028223283967</v>
      </c>
      <c r="D110" s="135">
        <f>ABS('2.1 Profit &amp; Loss by component'!$F$26*INDEX('2.2 Allocation to services'!$D$68:$D$77,MATCH(B110,'2.2 Allocation to services'!$C$68:$C$77,0),1))</f>
        <v>43847.336417561295</v>
      </c>
      <c r="E110" s="134">
        <f>INDEX('5. Historical demand'!$C$26:$C$35,MATCH(B110,'5. Historical demand'!$B$26:$B$35,0),1)*(Yearending-Yearstart)</f>
        <v>0</v>
      </c>
      <c r="F110" s="166" t="str">
        <f t="shared" si="9"/>
        <v xml:space="preserve"> - </v>
      </c>
      <c r="G110" s="166" t="str">
        <f t="shared" si="10"/>
        <v xml:space="preserve"> - </v>
      </c>
    </row>
    <row r="111" spans="2:7" x14ac:dyDescent="0.2">
      <c r="B111" s="91" t="s">
        <v>99</v>
      </c>
      <c r="C111" s="135">
        <f>ABS('2.1 Profit &amp; Loss by component'!$F$26+'2.1 Profit &amp; Loss by component'!$F$37)*INDEX('2.2 Allocation to services'!$D$68:$D$77,MATCH(B111,'2.2 Allocation to services'!$C$68:$C$77,0),1)</f>
        <v>0</v>
      </c>
      <c r="D111" s="135">
        <f>ABS('2.1 Profit &amp; Loss by component'!$F$26*INDEX('2.2 Allocation to services'!$D$68:$D$77,MATCH(B111,'2.2 Allocation to services'!$C$68:$C$77,0),1))</f>
        <v>0</v>
      </c>
      <c r="E111" s="134">
        <f>INDEX('5. Historical demand'!$C$26:$C$35,MATCH(B111,'5. Historical demand'!$B$26:$B$35,0),1)*(Yearending-Yearstart)</f>
        <v>0</v>
      </c>
      <c r="F111" s="166" t="str">
        <f t="shared" si="9"/>
        <v xml:space="preserve"> - </v>
      </c>
      <c r="G111" s="166" t="str">
        <f t="shared" si="10"/>
        <v xml:space="preserve"> - </v>
      </c>
    </row>
    <row r="112" spans="2:7" x14ac:dyDescent="0.2">
      <c r="B112" s="91" t="s">
        <v>101</v>
      </c>
      <c r="C112" s="135">
        <f>ABS('2.1 Profit &amp; Loss by component'!$F$26+'2.1 Profit &amp; Loss by component'!$F$37)*INDEX('2.2 Allocation to services'!$D$68:$D$77,MATCH(B112,'2.2 Allocation to services'!$C$68:$C$77,0),1)</f>
        <v>5265.1125110310468</v>
      </c>
      <c r="D112" s="135">
        <f>ABS('2.1 Profit &amp; Loss by component'!$F$26*INDEX('2.2 Allocation to services'!$D$68:$D$77,MATCH(B112,'2.2 Allocation to services'!$C$68:$C$77,0),1))</f>
        <v>4943.4907928467828</v>
      </c>
      <c r="E112" s="134">
        <f>INDEX('5. Historical demand'!$C$26:$C$35,MATCH(B112,'5. Historical demand'!$B$26:$B$35,0),1)*(Yearending-Yearstart)</f>
        <v>0</v>
      </c>
      <c r="F112" s="166" t="str">
        <f t="shared" si="9"/>
        <v xml:space="preserve"> - </v>
      </c>
      <c r="G112" s="166" t="str">
        <f t="shared" si="10"/>
        <v xml:space="preserve"> - </v>
      </c>
    </row>
    <row r="113" spans="2:7" x14ac:dyDescent="0.2">
      <c r="B113" s="91" t="s">
        <v>103</v>
      </c>
      <c r="C113" s="135">
        <f>ABS('2.1 Profit &amp; Loss by component'!$F$26+'2.1 Profit &amp; Loss by component'!$F$37)*INDEX('2.2 Allocation to services'!$D$68:$D$77,MATCH(B113,'2.2 Allocation to services'!$C$68:$C$77,0),1)</f>
        <v>62981.833970144427</v>
      </c>
      <c r="D113" s="135">
        <f>ABS('2.1 Profit &amp; Loss by component'!$F$26*INDEX('2.2 Allocation to services'!$D$68:$D$77,MATCH(B113,'2.2 Allocation to services'!$C$68:$C$77,0),1))</f>
        <v>59134.560884634018</v>
      </c>
      <c r="E113" s="134">
        <f>INDEX('5. Historical demand'!$C$26:$C$35,MATCH(B113,'5. Historical demand'!$B$26:$B$35,0),1)*(Yearending-Yearstart)</f>
        <v>0</v>
      </c>
      <c r="F113" s="166" t="str">
        <f t="shared" si="9"/>
        <v xml:space="preserve"> - </v>
      </c>
      <c r="G113" s="166" t="str">
        <f t="shared" si="10"/>
        <v xml:space="preserve"> - </v>
      </c>
    </row>
    <row r="114" spans="2:7" ht="15.75" x14ac:dyDescent="0.25">
      <c r="B114" s="154"/>
    </row>
    <row r="115" spans="2:7" s="136" customFormat="1" ht="24.75" customHeight="1" x14ac:dyDescent="0.2">
      <c r="B115" s="129" t="s">
        <v>479</v>
      </c>
      <c r="C115" s="167" t="s">
        <v>480</v>
      </c>
      <c r="D115" s="167" t="s">
        <v>475</v>
      </c>
      <c r="E115" s="167" t="s">
        <v>481</v>
      </c>
      <c r="F115" s="137" t="s">
        <v>471</v>
      </c>
      <c r="G115" s="165" t="s">
        <v>461</v>
      </c>
    </row>
    <row r="116" spans="2:7" x14ac:dyDescent="0.2">
      <c r="B116" s="91" t="s">
        <v>91</v>
      </c>
      <c r="C116" s="321">
        <f>'4. Recovered Capital'!$E$37*C21</f>
        <v>0</v>
      </c>
      <c r="D116" s="131">
        <f>E92</f>
        <v>29.457522626127762</v>
      </c>
      <c r="E116" s="321">
        <f t="shared" ref="E116:E125" si="11">IFERROR(C116/D116, " - ")</f>
        <v>0</v>
      </c>
      <c r="F116" s="134">
        <f>INDEX('5. Historical demand'!$C$26:$C$35,MATCH(B116,'5. Historical demand'!$B$26:$B$35,0),1)*(Yearending-Yearstart)</f>
        <v>54506.696328767095</v>
      </c>
      <c r="G116" s="166">
        <f>IFERROR(E116/(E104*1000), " - ")</f>
        <v>0</v>
      </c>
    </row>
    <row r="117" spans="2:7" x14ac:dyDescent="0.2">
      <c r="B117" s="91" t="s">
        <v>93</v>
      </c>
      <c r="C117" s="321">
        <f>'4. Recovered Capital'!$E$37*C22</f>
        <v>0</v>
      </c>
      <c r="D117" s="131" t="str">
        <f t="shared" ref="D117:D125" si="12">E93</f>
        <v xml:space="preserve"> - </v>
      </c>
      <c r="E117" s="321" t="str">
        <f t="shared" si="11"/>
        <v xml:space="preserve"> - </v>
      </c>
      <c r="F117" s="134">
        <f>INDEX('5. Historical demand'!$C$26:$C$35,MATCH(B117,'5. Historical demand'!$B$26:$B$35,0),1)*(Yearending-Yearstart)</f>
        <v>0</v>
      </c>
      <c r="G117" s="166" t="str">
        <f t="shared" ref="G117:G125" si="13">IFERROR(E117/(E105*1000), " - ")</f>
        <v xml:space="preserve"> - </v>
      </c>
    </row>
    <row r="118" spans="2:7" x14ac:dyDescent="0.2">
      <c r="B118" s="91" t="s">
        <v>94</v>
      </c>
      <c r="C118" s="321">
        <f>'4. Recovered Capital'!$E$37*C23</f>
        <v>0</v>
      </c>
      <c r="D118" s="131">
        <f t="shared" si="12"/>
        <v>29.457522626127762</v>
      </c>
      <c r="E118" s="321">
        <f t="shared" si="11"/>
        <v>0</v>
      </c>
      <c r="F118" s="134">
        <f>INDEX('5. Historical demand'!$C$26:$C$35,MATCH(B118,'5. Historical demand'!$B$26:$B$35,0),1)*(Yearending-Yearstart)</f>
        <v>0</v>
      </c>
      <c r="G118" s="166" t="str">
        <f t="shared" si="13"/>
        <v xml:space="preserve"> - </v>
      </c>
    </row>
    <row r="119" spans="2:7" x14ac:dyDescent="0.2">
      <c r="B119" s="91" t="s">
        <v>95</v>
      </c>
      <c r="C119" s="321">
        <f>'4. Recovered Capital'!$E$37*C24</f>
        <v>0</v>
      </c>
      <c r="D119" s="131" t="str">
        <f t="shared" si="12"/>
        <v xml:space="preserve"> - </v>
      </c>
      <c r="E119" s="321" t="str">
        <f t="shared" si="11"/>
        <v xml:space="preserve"> - </v>
      </c>
      <c r="F119" s="134">
        <f>INDEX('5. Historical demand'!$C$26:$C$35,MATCH(B119,'5. Historical demand'!$B$26:$B$35,0),1)*(Yearending-Yearstart)</f>
        <v>0</v>
      </c>
      <c r="G119" s="166" t="str">
        <f t="shared" si="13"/>
        <v xml:space="preserve"> - </v>
      </c>
    </row>
    <row r="120" spans="2:7" x14ac:dyDescent="0.2">
      <c r="B120" s="159" t="s">
        <v>96</v>
      </c>
      <c r="C120" s="321">
        <f>'4. Recovered Capital'!$E$37*C25</f>
        <v>0</v>
      </c>
      <c r="D120" s="131" t="str">
        <f t="shared" si="12"/>
        <v xml:space="preserve"> - </v>
      </c>
      <c r="E120" s="321" t="str">
        <f t="shared" si="11"/>
        <v xml:space="preserve"> - </v>
      </c>
      <c r="F120" s="134">
        <f>INDEX('5. Historical demand'!$C$26:$C$35,MATCH(B120,'5. Historical demand'!$B$26:$B$35,0),1)*(Yearending-Yearstart)</f>
        <v>0</v>
      </c>
      <c r="G120" s="166" t="str">
        <f t="shared" si="13"/>
        <v xml:space="preserve"> - </v>
      </c>
    </row>
    <row r="121" spans="2:7" x14ac:dyDescent="0.2">
      <c r="B121" s="91" t="s">
        <v>97</v>
      </c>
      <c r="C121" s="321">
        <f>'4. Recovered Capital'!$E$37*C26</f>
        <v>0</v>
      </c>
      <c r="D121" s="131" t="str">
        <f t="shared" si="12"/>
        <v xml:space="preserve"> - </v>
      </c>
      <c r="E121" s="321" t="str">
        <f t="shared" si="11"/>
        <v xml:space="preserve"> - </v>
      </c>
      <c r="F121" s="134">
        <f>INDEX('5. Historical demand'!$C$26:$C$35,MATCH(B121,'5. Historical demand'!$B$26:$B$35,0),1)*(Yearending-Yearstart)</f>
        <v>0</v>
      </c>
      <c r="G121" s="166" t="str">
        <f t="shared" si="13"/>
        <v xml:space="preserve"> - </v>
      </c>
    </row>
    <row r="122" spans="2:7" x14ac:dyDescent="0.2">
      <c r="B122" s="91" t="s">
        <v>98</v>
      </c>
      <c r="C122" s="321">
        <f>'4. Recovered Capital'!$E$37*C27</f>
        <v>0</v>
      </c>
      <c r="D122" s="131">
        <f t="shared" si="12"/>
        <v>29.457522626127762</v>
      </c>
      <c r="E122" s="321">
        <f t="shared" si="11"/>
        <v>0</v>
      </c>
      <c r="F122" s="134">
        <f>INDEX('5. Historical demand'!$C$26:$C$35,MATCH(B122,'5. Historical demand'!$B$26:$B$35,0),1)*(Yearending-Yearstart)</f>
        <v>0</v>
      </c>
      <c r="G122" s="166" t="str">
        <f t="shared" si="13"/>
        <v xml:space="preserve"> - </v>
      </c>
    </row>
    <row r="123" spans="2:7" x14ac:dyDescent="0.2">
      <c r="B123" s="91" t="s">
        <v>99</v>
      </c>
      <c r="C123" s="321">
        <f>'4. Recovered Capital'!$E$37*C28</f>
        <v>0</v>
      </c>
      <c r="D123" s="131" t="str">
        <f t="shared" si="12"/>
        <v xml:space="preserve"> - </v>
      </c>
      <c r="E123" s="321" t="str">
        <f t="shared" si="11"/>
        <v xml:space="preserve"> - </v>
      </c>
      <c r="F123" s="134">
        <f>INDEX('5. Historical demand'!$C$26:$C$35,MATCH(B123,'5. Historical demand'!$B$26:$B$35,0),1)*(Yearending-Yearstart)</f>
        <v>0</v>
      </c>
      <c r="G123" s="166" t="str">
        <f t="shared" si="13"/>
        <v xml:space="preserve"> - </v>
      </c>
    </row>
    <row r="124" spans="2:7" x14ac:dyDescent="0.2">
      <c r="B124" s="91" t="s">
        <v>101</v>
      </c>
      <c r="C124" s="321">
        <f>'4. Recovered Capital'!$E$37*C29</f>
        <v>0</v>
      </c>
      <c r="D124" s="131">
        <f t="shared" si="12"/>
        <v>29.457522626127759</v>
      </c>
      <c r="E124" s="321">
        <f t="shared" si="11"/>
        <v>0</v>
      </c>
      <c r="F124" s="134">
        <f>INDEX('5. Historical demand'!$C$26:$C$35,MATCH(B124,'5. Historical demand'!$B$26:$B$35,0),1)*(Yearending-Yearstart)</f>
        <v>0</v>
      </c>
      <c r="G124" s="166" t="str">
        <f t="shared" si="13"/>
        <v xml:space="preserve"> - </v>
      </c>
    </row>
    <row r="125" spans="2:7" x14ac:dyDescent="0.2">
      <c r="B125" s="91" t="s">
        <v>103</v>
      </c>
      <c r="C125" s="321">
        <f>'4. Recovered Capital'!$E$37*C30</f>
        <v>0</v>
      </c>
      <c r="D125" s="131">
        <f t="shared" si="12"/>
        <v>29.457522626127759</v>
      </c>
      <c r="E125" s="321">
        <f t="shared" si="11"/>
        <v>0</v>
      </c>
      <c r="F125" s="134">
        <f>INDEX('5. Historical demand'!$C$26:$C$35,MATCH(B125,'5. Historical demand'!$B$26:$B$35,0),1)*(Yearending-Yearstart)</f>
        <v>0</v>
      </c>
      <c r="G125" s="166" t="str">
        <f t="shared" si="13"/>
        <v xml:space="preserve"> - </v>
      </c>
    </row>
    <row r="127" spans="2:7" ht="15.75" x14ac:dyDescent="0.25">
      <c r="B127" s="148" t="s">
        <v>482</v>
      </c>
    </row>
    <row r="128" spans="2:7" x14ac:dyDescent="0.2">
      <c r="B128" s="132" t="s">
        <v>483</v>
      </c>
      <c r="C128" s="132"/>
    </row>
    <row r="129" spans="2:10" x14ac:dyDescent="0.2">
      <c r="B129" s="132" t="s">
        <v>484</v>
      </c>
      <c r="C129" s="322" t="str">
        <f>IF(IFERROR(INDEX('4. Recovered Capital'!F39:BH39,1,MATCH(VALUE(RIGHT(TEXT(Yearending,"dd/mm/yyyy"),4)),'4. Recovered Capital'!$F$12:$BH$12,0)),)=0," - ",IFERROR(INDEX('4. Recovered Capital'!F39:BH39,1,MATCH(VALUE(RIGHT(TEXT(Yearending,"dd/mm/yyyy"),4)),'4. Recovered Capital'!$F$12:$BH$12,0)),))</f>
        <v xml:space="preserve"> - </v>
      </c>
    </row>
    <row r="130" spans="2:10" x14ac:dyDescent="0.2">
      <c r="B130" s="132" t="s">
        <v>485</v>
      </c>
      <c r="C130" s="322" t="str">
        <f>IFERROR((C129-E21*E22)/(1-E22), " - ")</f>
        <v xml:space="preserve"> - </v>
      </c>
    </row>
    <row r="131" spans="2:10" x14ac:dyDescent="0.2">
      <c r="B131" s="132" t="s">
        <v>486</v>
      </c>
      <c r="C131" s="322" t="str">
        <f>IFERROR(C130/(1-E23*(1-E24))," - ")</f>
        <v xml:space="preserve"> - </v>
      </c>
    </row>
    <row r="132" spans="2:10" x14ac:dyDescent="0.2">
      <c r="B132" s="132" t="s">
        <v>487</v>
      </c>
      <c r="C132" s="322" t="str">
        <f>IFERROR(C131-C130," - ")</f>
        <v xml:space="preserve"> - </v>
      </c>
    </row>
    <row r="133" spans="2:10" x14ac:dyDescent="0.2">
      <c r="B133" s="132" t="s">
        <v>488</v>
      </c>
      <c r="C133" s="322" t="str">
        <f>IFERROR(C132*(1-E22)," - ")</f>
        <v xml:space="preserve"> - </v>
      </c>
    </row>
    <row r="134" spans="2:10" x14ac:dyDescent="0.2">
      <c r="B134" s="132" t="s">
        <v>489</v>
      </c>
      <c r="C134" s="322" t="str">
        <f>IFERROR(C129+C133," - ")</f>
        <v xml:space="preserve"> - </v>
      </c>
    </row>
    <row r="136" spans="2:10" s="230" customFormat="1" ht="26.25" customHeight="1" x14ac:dyDescent="0.2">
      <c r="B136" s="228" t="s">
        <v>490</v>
      </c>
      <c r="C136" s="137" t="s">
        <v>491</v>
      </c>
      <c r="D136" s="167" t="s">
        <v>484</v>
      </c>
      <c r="E136" s="167" t="s">
        <v>488</v>
      </c>
      <c r="F136" s="167" t="s">
        <v>394</v>
      </c>
      <c r="G136" s="167" t="s">
        <v>492</v>
      </c>
      <c r="H136" s="137" t="s">
        <v>471</v>
      </c>
      <c r="I136" s="229" t="s">
        <v>464</v>
      </c>
      <c r="J136" s="229" t="s">
        <v>465</v>
      </c>
    </row>
    <row r="137" spans="2:10" x14ac:dyDescent="0.2">
      <c r="B137" s="91" t="s">
        <v>91</v>
      </c>
      <c r="C137" s="321">
        <f>IF(Cover!$C$23="Scheme pipeline",'3.2 Regulatory Asset Base'!$H$78*'6. Pricing template'!C21,C92+'3.1 Depreciated Book Value'!$D$80*'6. Pricing template'!C21)</f>
        <v>148123442.00376803</v>
      </c>
      <c r="D137" s="322" t="str">
        <f t="shared" ref="D137:D146" si="14">$C$129</f>
        <v xml:space="preserve"> - </v>
      </c>
      <c r="E137" s="322" t="str">
        <f t="shared" ref="E137:E146" si="15">$C$133</f>
        <v xml:space="preserve"> - </v>
      </c>
      <c r="F137" s="321" t="str">
        <f t="shared" ref="F137:F146" si="16">IFERROR(C137*D137, " -")</f>
        <v xml:space="preserve"> -</v>
      </c>
      <c r="G137" s="321" t="str">
        <f t="shared" ref="G137:G146" si="17">IFERROR(C137*E137, " -")</f>
        <v xml:space="preserve"> -</v>
      </c>
      <c r="H137" s="134">
        <f>INDEX('5. Historical demand'!$C$26:$C$35,MATCH(B137,'5. Historical demand'!$B$26:$B$35,0),1)*(Yearending-Yearstart)</f>
        <v>54506.696328767095</v>
      </c>
      <c r="I137" s="166" t="str">
        <f>IFERROR(F137/(H137*1000)," - ")</f>
        <v xml:space="preserve"> - </v>
      </c>
      <c r="J137" s="166" t="str">
        <f>IFERROR(G137/(H137*1000)," - ")</f>
        <v xml:space="preserve"> - </v>
      </c>
    </row>
    <row r="138" spans="2:10" x14ac:dyDescent="0.2">
      <c r="B138" s="91" t="s">
        <v>93</v>
      </c>
      <c r="C138" s="321">
        <f>IF(Cover!$C$23="Scheme pipeline",'3.2 Regulatory Asset Base'!$H$78*'6. Pricing template'!C22,C93+'3.1 Depreciated Book Value'!$D$80*'6. Pricing template'!C22)</f>
        <v>0</v>
      </c>
      <c r="D138" s="322" t="str">
        <f t="shared" si="14"/>
        <v xml:space="preserve"> - </v>
      </c>
      <c r="E138" s="322" t="str">
        <f t="shared" si="15"/>
        <v xml:space="preserve"> - </v>
      </c>
      <c r="F138" s="321" t="str">
        <f t="shared" si="16"/>
        <v xml:space="preserve"> -</v>
      </c>
      <c r="G138" s="321" t="str">
        <f t="shared" si="17"/>
        <v xml:space="preserve"> -</v>
      </c>
      <c r="H138" s="134">
        <f>INDEX('5. Historical demand'!$C$26:$C$35,MATCH(B138,'5. Historical demand'!$B$26:$B$35,0),1)*(Yearending-Yearstart)</f>
        <v>0</v>
      </c>
      <c r="I138" s="166" t="str">
        <f t="shared" ref="I138:I146" si="18">IFERROR(F138/(H138*1000)," - ")</f>
        <v xml:space="preserve"> - </v>
      </c>
      <c r="J138" s="166" t="str">
        <f t="shared" ref="J138:J146" si="19">IFERROR(G138/(H138*1000)," - ")</f>
        <v xml:space="preserve"> - </v>
      </c>
    </row>
    <row r="139" spans="2:10" x14ac:dyDescent="0.2">
      <c r="B139" s="91" t="s">
        <v>94</v>
      </c>
      <c r="C139" s="321">
        <f>IF(Cover!$C$23="Scheme pipeline",'3.2 Regulatory Asset Base'!$H$78*'6. Pricing template'!C23,C94+'3.1 Depreciated Book Value'!$D$80*'6. Pricing template'!C23)</f>
        <v>13532757.33947299</v>
      </c>
      <c r="D139" s="322" t="str">
        <f t="shared" si="14"/>
        <v xml:space="preserve"> - </v>
      </c>
      <c r="E139" s="322" t="str">
        <f t="shared" si="15"/>
        <v xml:space="preserve"> - </v>
      </c>
      <c r="F139" s="321" t="str">
        <f t="shared" si="16"/>
        <v xml:space="preserve"> -</v>
      </c>
      <c r="G139" s="321" t="str">
        <f t="shared" si="17"/>
        <v xml:space="preserve"> -</v>
      </c>
      <c r="H139" s="134">
        <f>INDEX('5. Historical demand'!$C$26:$C$35,MATCH(B139,'5. Historical demand'!$B$26:$B$35,0),1)*(Yearending-Yearstart)</f>
        <v>0</v>
      </c>
      <c r="I139" s="166" t="str">
        <f t="shared" si="18"/>
        <v xml:space="preserve"> - </v>
      </c>
      <c r="J139" s="166" t="str">
        <f t="shared" si="19"/>
        <v xml:space="preserve"> - </v>
      </c>
    </row>
    <row r="140" spans="2:10" x14ac:dyDescent="0.2">
      <c r="B140" s="91" t="s">
        <v>95</v>
      </c>
      <c r="C140" s="321">
        <f>IF(Cover!$C$23="Scheme pipeline",'3.2 Regulatory Asset Base'!$H$78*'6. Pricing template'!C24,C95+'3.1 Depreciated Book Value'!$D$80*'6. Pricing template'!C24)</f>
        <v>0</v>
      </c>
      <c r="D140" s="322" t="str">
        <f t="shared" si="14"/>
        <v xml:space="preserve"> - </v>
      </c>
      <c r="E140" s="322" t="str">
        <f t="shared" si="15"/>
        <v xml:space="preserve"> - </v>
      </c>
      <c r="F140" s="321" t="str">
        <f t="shared" si="16"/>
        <v xml:space="preserve"> -</v>
      </c>
      <c r="G140" s="321" t="str">
        <f t="shared" si="17"/>
        <v xml:space="preserve"> -</v>
      </c>
      <c r="H140" s="134">
        <f>INDEX('5. Historical demand'!$C$26:$C$35,MATCH(B140,'5. Historical demand'!$B$26:$B$35,0),1)*(Yearending-Yearstart)</f>
        <v>0</v>
      </c>
      <c r="I140" s="166" t="str">
        <f t="shared" si="18"/>
        <v xml:space="preserve"> - </v>
      </c>
      <c r="J140" s="166" t="str">
        <f t="shared" si="19"/>
        <v xml:space="preserve"> - </v>
      </c>
    </row>
    <row r="141" spans="2:10" x14ac:dyDescent="0.2">
      <c r="B141" s="159" t="s">
        <v>96</v>
      </c>
      <c r="C141" s="321">
        <f>IF(Cover!$C$23="Scheme pipeline",'3.2 Regulatory Asset Base'!$H$78*'6. Pricing template'!C25,C96+'3.1 Depreciated Book Value'!$D$80*'6. Pricing template'!C25)</f>
        <v>0</v>
      </c>
      <c r="D141" s="322" t="str">
        <f t="shared" si="14"/>
        <v xml:space="preserve"> - </v>
      </c>
      <c r="E141" s="322" t="str">
        <f t="shared" si="15"/>
        <v xml:space="preserve"> - </v>
      </c>
      <c r="F141" s="321" t="str">
        <f t="shared" si="16"/>
        <v xml:space="preserve"> -</v>
      </c>
      <c r="G141" s="321" t="str">
        <f t="shared" si="17"/>
        <v xml:space="preserve"> -</v>
      </c>
      <c r="H141" s="134">
        <f>INDEX('5. Historical demand'!$C$26:$C$35,MATCH(B141,'5. Historical demand'!$B$26:$B$35,0),1)*(Yearending-Yearstart)</f>
        <v>0</v>
      </c>
      <c r="I141" s="166" t="str">
        <f t="shared" si="18"/>
        <v xml:space="preserve"> - </v>
      </c>
      <c r="J141" s="166" t="str">
        <f t="shared" si="19"/>
        <v xml:space="preserve"> - </v>
      </c>
    </row>
    <row r="142" spans="2:10" x14ac:dyDescent="0.2">
      <c r="B142" s="91" t="s">
        <v>97</v>
      </c>
      <c r="C142" s="321">
        <f>IF(Cover!$C$23="Scheme pipeline",'3.2 Regulatory Asset Base'!$H$78*'6. Pricing template'!C26,C97+'3.1 Depreciated Book Value'!$D$80*'6. Pricing template'!C26)</f>
        <v>0</v>
      </c>
      <c r="D142" s="322" t="str">
        <f t="shared" si="14"/>
        <v xml:space="preserve"> - </v>
      </c>
      <c r="E142" s="322" t="str">
        <f t="shared" si="15"/>
        <v xml:space="preserve"> - </v>
      </c>
      <c r="F142" s="321" t="str">
        <f t="shared" si="16"/>
        <v xml:space="preserve"> -</v>
      </c>
      <c r="G142" s="321" t="str">
        <f t="shared" si="17"/>
        <v xml:space="preserve"> -</v>
      </c>
      <c r="H142" s="134">
        <f>INDEX('5. Historical demand'!$C$26:$C$35,MATCH(B142,'5. Historical demand'!$B$26:$B$35,0),1)*(Yearending-Yearstart)</f>
        <v>0</v>
      </c>
      <c r="I142" s="166" t="str">
        <f t="shared" si="18"/>
        <v xml:space="preserve"> - </v>
      </c>
      <c r="J142" s="166" t="str">
        <f t="shared" si="19"/>
        <v xml:space="preserve"> - </v>
      </c>
    </row>
    <row r="143" spans="2:10" x14ac:dyDescent="0.2">
      <c r="B143" s="91" t="s">
        <v>98</v>
      </c>
      <c r="C143" s="321">
        <f>IF(Cover!$C$23="Scheme pipeline",'3.2 Regulatory Asset Base'!$H$78*'6. Pricing template'!C27,C98+'3.1 Depreciated Book Value'!$D$80*'6. Pricing template'!C27)</f>
        <v>1295182.3494086477</v>
      </c>
      <c r="D143" s="322" t="str">
        <f t="shared" si="14"/>
        <v xml:space="preserve"> - </v>
      </c>
      <c r="E143" s="322" t="str">
        <f t="shared" si="15"/>
        <v xml:space="preserve"> - </v>
      </c>
      <c r="F143" s="321" t="str">
        <f t="shared" si="16"/>
        <v xml:space="preserve"> -</v>
      </c>
      <c r="G143" s="321" t="str">
        <f t="shared" si="17"/>
        <v xml:space="preserve"> -</v>
      </c>
      <c r="H143" s="134">
        <f>INDEX('5. Historical demand'!$C$26:$C$35,MATCH(B143,'5. Historical demand'!$B$26:$B$35,0),1)*(Yearending-Yearstart)</f>
        <v>0</v>
      </c>
      <c r="I143" s="166" t="str">
        <f t="shared" si="18"/>
        <v xml:space="preserve"> - </v>
      </c>
      <c r="J143" s="166" t="str">
        <f t="shared" si="19"/>
        <v xml:space="preserve"> - </v>
      </c>
    </row>
    <row r="144" spans="2:10" x14ac:dyDescent="0.2">
      <c r="B144" s="91" t="s">
        <v>99</v>
      </c>
      <c r="C144" s="321">
        <f>IF(Cover!$C$23="Scheme pipeline",'3.2 Regulatory Asset Base'!$H$78*'6. Pricing template'!C28,C99+'3.1 Depreciated Book Value'!$D$80*'6. Pricing template'!C28)</f>
        <v>0</v>
      </c>
      <c r="D144" s="322" t="str">
        <f t="shared" si="14"/>
        <v xml:space="preserve"> - </v>
      </c>
      <c r="E144" s="322" t="str">
        <f t="shared" si="15"/>
        <v xml:space="preserve"> - </v>
      </c>
      <c r="F144" s="321" t="str">
        <f t="shared" si="16"/>
        <v xml:space="preserve"> -</v>
      </c>
      <c r="G144" s="321" t="str">
        <f t="shared" si="17"/>
        <v xml:space="preserve"> -</v>
      </c>
      <c r="H144" s="134">
        <f>INDEX('5. Historical demand'!$C$26:$C$35,MATCH(B144,'5. Historical demand'!$B$26:$B$35,0),1)*(Yearending-Yearstart)</f>
        <v>0</v>
      </c>
      <c r="I144" s="166" t="str">
        <f t="shared" si="18"/>
        <v xml:space="preserve"> - </v>
      </c>
      <c r="J144" s="166" t="str">
        <f t="shared" si="19"/>
        <v xml:space="preserve"> - </v>
      </c>
    </row>
    <row r="145" spans="2:10" x14ac:dyDescent="0.2">
      <c r="B145" s="91" t="s">
        <v>101</v>
      </c>
      <c r="C145" s="321">
        <f>IF(Cover!$C$23="Scheme pipeline",'3.2 Regulatory Asset Base'!$H$78*'6. Pricing template'!C29,C100+'3.1 Depreciated Book Value'!$D$80*'6. Pricing template'!C29)</f>
        <v>146023.05504685026</v>
      </c>
      <c r="D145" s="322" t="str">
        <f t="shared" si="14"/>
        <v xml:space="preserve"> - </v>
      </c>
      <c r="E145" s="322" t="str">
        <f t="shared" si="15"/>
        <v xml:space="preserve"> - </v>
      </c>
      <c r="F145" s="321" t="str">
        <f t="shared" si="16"/>
        <v xml:space="preserve"> -</v>
      </c>
      <c r="G145" s="321" t="str">
        <f t="shared" si="17"/>
        <v xml:space="preserve"> -</v>
      </c>
      <c r="H145" s="134">
        <f>INDEX('5. Historical demand'!$C$26:$C$35,MATCH(B145,'5. Historical demand'!$B$26:$B$35,0),1)*(Yearending-Yearstart)</f>
        <v>0</v>
      </c>
      <c r="I145" s="166" t="str">
        <f t="shared" si="18"/>
        <v xml:space="preserve"> - </v>
      </c>
      <c r="J145" s="166" t="str">
        <f t="shared" si="19"/>
        <v xml:space="preserve"> - </v>
      </c>
    </row>
    <row r="146" spans="2:10" x14ac:dyDescent="0.2">
      <c r="B146" s="91" t="s">
        <v>103</v>
      </c>
      <c r="C146" s="321">
        <f>IF(Cover!$C$23="Scheme pipeline",'3.2 Regulatory Asset Base'!$H$78*'6. Pricing template'!C30,C101+'3.1 Depreciated Book Value'!$D$80*'6. Pricing template'!C30)</f>
        <v>1746743.2632266788</v>
      </c>
      <c r="D146" s="322" t="str">
        <f t="shared" si="14"/>
        <v xml:space="preserve"> - </v>
      </c>
      <c r="E146" s="322" t="str">
        <f t="shared" si="15"/>
        <v xml:space="preserve"> - </v>
      </c>
      <c r="F146" s="321" t="str">
        <f t="shared" si="16"/>
        <v xml:space="preserve"> -</v>
      </c>
      <c r="G146" s="321" t="str">
        <f t="shared" si="17"/>
        <v xml:space="preserve"> -</v>
      </c>
      <c r="H146" s="134">
        <f>INDEX('5. Historical demand'!$C$26:$C$35,MATCH(B146,'5. Historical demand'!$B$26:$B$35,0),1)*(Yearending-Yearstart)</f>
        <v>0</v>
      </c>
      <c r="I146" s="166" t="str">
        <f t="shared" si="18"/>
        <v xml:space="preserve"> - </v>
      </c>
      <c r="J146" s="166" t="str">
        <f t="shared" si="19"/>
        <v xml:space="preserve"> - </v>
      </c>
    </row>
    <row r="148" spans="2:10" s="230" customFormat="1" ht="25.5" customHeight="1" x14ac:dyDescent="0.2">
      <c r="B148" s="228" t="s">
        <v>493</v>
      </c>
      <c r="C148" s="137" t="s">
        <v>491</v>
      </c>
      <c r="D148" s="167" t="s">
        <v>447</v>
      </c>
      <c r="E148" s="167" t="s">
        <v>488</v>
      </c>
      <c r="F148" s="167" t="s">
        <v>394</v>
      </c>
      <c r="G148" s="167" t="s">
        <v>492</v>
      </c>
      <c r="H148" s="137" t="s">
        <v>471</v>
      </c>
      <c r="I148" s="229" t="s">
        <v>464</v>
      </c>
      <c r="J148" s="229" t="s">
        <v>465</v>
      </c>
    </row>
    <row r="149" spans="2:10" x14ac:dyDescent="0.2">
      <c r="B149" s="91" t="s">
        <v>91</v>
      </c>
      <c r="C149" s="321">
        <f>IF(Cover!$C$23="Scheme pipeline",'3.2 Regulatory Asset Base'!$H$78*'6. Pricing template'!C21,C92+'3.1 Depreciated Book Value'!$D$80*'6. Pricing template'!C21)</f>
        <v>148123442.00376803</v>
      </c>
      <c r="D149" s="322">
        <f t="shared" ref="D149:D158" si="20">IF($E$25=0," - ",$E$25)</f>
        <v>4.7800000000000002E-2</v>
      </c>
      <c r="E149" s="322">
        <f t="shared" ref="E149:E158" si="21">IFERROR((($E$25-$E$21*$E$22)/(1-$E$22)/(1-$E$23*(1-$E$24))-($E$25-$E$21*$E$22)/(1-$E$22))*(1-$E$22)," - ")</f>
        <v>2.838400913763567E-3</v>
      </c>
      <c r="F149" s="321">
        <f t="shared" ref="F149:F158" si="22">IFERROR(C149*D149, " -")</f>
        <v>7080300.5277801119</v>
      </c>
      <c r="G149" s="321">
        <f t="shared" ref="G149:G158" si="23">IFERROR(C149*E149, " -")</f>
        <v>420433.7131332999</v>
      </c>
      <c r="H149" s="134">
        <f>INDEX('5. Historical demand'!$C$26:$C$35,MATCH(B149,'5. Historical demand'!$B$26:$B$35,0),1)*(Yearending-Yearstart)</f>
        <v>54506.696328767095</v>
      </c>
      <c r="I149" s="166">
        <f>IFERROR(F149/(H149*1000)," - ")</f>
        <v>0.12989781081344548</v>
      </c>
      <c r="J149" s="166">
        <f>IFERROR(G149/(H149*1000)," - ")</f>
        <v>7.7134323202671671E-3</v>
      </c>
    </row>
    <row r="150" spans="2:10" x14ac:dyDescent="0.2">
      <c r="B150" s="91" t="s">
        <v>93</v>
      </c>
      <c r="C150" s="321">
        <f>IF(Cover!$C$23="Scheme pipeline",'3.2 Regulatory Asset Base'!$H$78*'6. Pricing template'!C22,C93+'3.1 Depreciated Book Value'!$D$80*'6. Pricing template'!C22)</f>
        <v>0</v>
      </c>
      <c r="D150" s="322">
        <f t="shared" si="20"/>
        <v>4.7800000000000002E-2</v>
      </c>
      <c r="E150" s="322">
        <f t="shared" si="21"/>
        <v>2.838400913763567E-3</v>
      </c>
      <c r="F150" s="321">
        <f t="shared" si="22"/>
        <v>0</v>
      </c>
      <c r="G150" s="321">
        <f t="shared" si="23"/>
        <v>0</v>
      </c>
      <c r="H150" s="134">
        <f>INDEX('5. Historical demand'!$C$26:$C$35,MATCH(B150,'5. Historical demand'!$B$26:$B$35,0),1)*(Yearending-Yearstart)</f>
        <v>0</v>
      </c>
      <c r="I150" s="166" t="str">
        <f t="shared" ref="I150:I158" si="24">IFERROR(F150/(H150*1000)," - ")</f>
        <v xml:space="preserve"> - </v>
      </c>
      <c r="J150" s="166" t="str">
        <f t="shared" ref="J150:J158" si="25">IFERROR(G150/(H150*1000)," - ")</f>
        <v xml:space="preserve"> - </v>
      </c>
    </row>
    <row r="151" spans="2:10" x14ac:dyDescent="0.2">
      <c r="B151" s="91" t="s">
        <v>94</v>
      </c>
      <c r="C151" s="321">
        <f>IF(Cover!$C$23="Scheme pipeline",'3.2 Regulatory Asset Base'!$H$78*'6. Pricing template'!C23,C94+'3.1 Depreciated Book Value'!$D$80*'6. Pricing template'!C23)</f>
        <v>13532757.33947299</v>
      </c>
      <c r="D151" s="322">
        <f t="shared" si="20"/>
        <v>4.7800000000000002E-2</v>
      </c>
      <c r="E151" s="322">
        <f t="shared" si="21"/>
        <v>2.838400913763567E-3</v>
      </c>
      <c r="F151" s="321">
        <f t="shared" si="22"/>
        <v>646865.80082680902</v>
      </c>
      <c r="G151" s="321">
        <f t="shared" si="23"/>
        <v>38411.390798100758</v>
      </c>
      <c r="H151" s="134">
        <f>INDEX('5. Historical demand'!$C$26:$C$35,MATCH(B151,'5. Historical demand'!$B$26:$B$35,0),1)*(Yearending-Yearstart)</f>
        <v>0</v>
      </c>
      <c r="I151" s="166" t="str">
        <f t="shared" si="24"/>
        <v xml:space="preserve"> - </v>
      </c>
      <c r="J151" s="166" t="str">
        <f t="shared" si="25"/>
        <v xml:space="preserve"> - </v>
      </c>
    </row>
    <row r="152" spans="2:10" x14ac:dyDescent="0.2">
      <c r="B152" s="91" t="s">
        <v>95</v>
      </c>
      <c r="C152" s="321">
        <f>IF(Cover!$C$23="Scheme pipeline",'3.2 Regulatory Asset Base'!$H$78*'6. Pricing template'!C24,C95+'3.1 Depreciated Book Value'!$D$80*'6. Pricing template'!C24)</f>
        <v>0</v>
      </c>
      <c r="D152" s="322">
        <f t="shared" si="20"/>
        <v>4.7800000000000002E-2</v>
      </c>
      <c r="E152" s="322">
        <f t="shared" si="21"/>
        <v>2.838400913763567E-3</v>
      </c>
      <c r="F152" s="321">
        <f t="shared" si="22"/>
        <v>0</v>
      </c>
      <c r="G152" s="321">
        <f t="shared" si="23"/>
        <v>0</v>
      </c>
      <c r="H152" s="134">
        <f>INDEX('5. Historical demand'!$C$26:$C$35,MATCH(B152,'5. Historical demand'!$B$26:$B$35,0),1)*(Yearending-Yearstart)</f>
        <v>0</v>
      </c>
      <c r="I152" s="166" t="str">
        <f t="shared" si="24"/>
        <v xml:space="preserve"> - </v>
      </c>
      <c r="J152" s="166" t="str">
        <f t="shared" si="25"/>
        <v xml:space="preserve"> - </v>
      </c>
    </row>
    <row r="153" spans="2:10" x14ac:dyDescent="0.2">
      <c r="B153" s="159" t="s">
        <v>96</v>
      </c>
      <c r="C153" s="321">
        <f>IF(Cover!$C$23="Scheme pipeline",'3.2 Regulatory Asset Base'!$H$78*'6. Pricing template'!C25,C96+'3.1 Depreciated Book Value'!$D$80*'6. Pricing template'!C25)</f>
        <v>0</v>
      </c>
      <c r="D153" s="322">
        <f t="shared" si="20"/>
        <v>4.7800000000000002E-2</v>
      </c>
      <c r="E153" s="322">
        <f t="shared" si="21"/>
        <v>2.838400913763567E-3</v>
      </c>
      <c r="F153" s="321">
        <f t="shared" si="22"/>
        <v>0</v>
      </c>
      <c r="G153" s="321">
        <f t="shared" si="23"/>
        <v>0</v>
      </c>
      <c r="H153" s="134">
        <f>INDEX('5. Historical demand'!$C$26:$C$35,MATCH(B153,'5. Historical demand'!$B$26:$B$35,0),1)*(Yearending-Yearstart)</f>
        <v>0</v>
      </c>
      <c r="I153" s="166" t="str">
        <f t="shared" si="24"/>
        <v xml:space="preserve"> - </v>
      </c>
      <c r="J153" s="166" t="str">
        <f t="shared" si="25"/>
        <v xml:space="preserve"> - </v>
      </c>
    </row>
    <row r="154" spans="2:10" x14ac:dyDescent="0.2">
      <c r="B154" s="91" t="s">
        <v>97</v>
      </c>
      <c r="C154" s="321">
        <f>IF(Cover!$C$23="Scheme pipeline",'3.2 Regulatory Asset Base'!$H$78*'6. Pricing template'!C26,C97+'3.1 Depreciated Book Value'!$D$80*'6. Pricing template'!C26)</f>
        <v>0</v>
      </c>
      <c r="D154" s="322">
        <f t="shared" si="20"/>
        <v>4.7800000000000002E-2</v>
      </c>
      <c r="E154" s="322">
        <f t="shared" si="21"/>
        <v>2.838400913763567E-3</v>
      </c>
      <c r="F154" s="321">
        <f t="shared" si="22"/>
        <v>0</v>
      </c>
      <c r="G154" s="321">
        <f t="shared" si="23"/>
        <v>0</v>
      </c>
      <c r="H154" s="134">
        <f>INDEX('5. Historical demand'!$C$26:$C$35,MATCH(B154,'5. Historical demand'!$B$26:$B$35,0),1)*(Yearending-Yearstart)</f>
        <v>0</v>
      </c>
      <c r="I154" s="166" t="str">
        <f t="shared" si="24"/>
        <v xml:space="preserve"> - </v>
      </c>
      <c r="J154" s="166" t="str">
        <f t="shared" si="25"/>
        <v xml:space="preserve"> - </v>
      </c>
    </row>
    <row r="155" spans="2:10" x14ac:dyDescent="0.2">
      <c r="B155" s="91" t="s">
        <v>98</v>
      </c>
      <c r="C155" s="321">
        <f>IF(Cover!$C$23="Scheme pipeline",'3.2 Regulatory Asset Base'!$H$78*'6. Pricing template'!C27,C98+'3.1 Depreciated Book Value'!$D$80*'6. Pricing template'!C27)</f>
        <v>1295182.3494086477</v>
      </c>
      <c r="D155" s="322">
        <f t="shared" si="20"/>
        <v>4.7800000000000002E-2</v>
      </c>
      <c r="E155" s="322">
        <f t="shared" si="21"/>
        <v>2.838400913763567E-3</v>
      </c>
      <c r="F155" s="321">
        <f t="shared" si="22"/>
        <v>61909.716301733366</v>
      </c>
      <c r="G155" s="321">
        <f t="shared" si="23"/>
        <v>3676.2467640519494</v>
      </c>
      <c r="H155" s="134">
        <f>INDEX('5. Historical demand'!$C$26:$C$35,MATCH(B155,'5. Historical demand'!$B$26:$B$35,0),1)*(Yearending-Yearstart)</f>
        <v>0</v>
      </c>
      <c r="I155" s="166" t="str">
        <f t="shared" si="24"/>
        <v xml:space="preserve"> - </v>
      </c>
      <c r="J155" s="166" t="str">
        <f t="shared" si="25"/>
        <v xml:space="preserve"> - </v>
      </c>
    </row>
    <row r="156" spans="2:10" x14ac:dyDescent="0.2">
      <c r="B156" s="91" t="s">
        <v>99</v>
      </c>
      <c r="C156" s="321">
        <f>IF(Cover!$C$23="Scheme pipeline",'3.2 Regulatory Asset Base'!$H$78*'6. Pricing template'!C28,C99+'3.1 Depreciated Book Value'!$D$80*'6. Pricing template'!C28)</f>
        <v>0</v>
      </c>
      <c r="D156" s="322">
        <f t="shared" si="20"/>
        <v>4.7800000000000002E-2</v>
      </c>
      <c r="E156" s="322">
        <f t="shared" si="21"/>
        <v>2.838400913763567E-3</v>
      </c>
      <c r="F156" s="321">
        <f t="shared" si="22"/>
        <v>0</v>
      </c>
      <c r="G156" s="321">
        <f t="shared" si="23"/>
        <v>0</v>
      </c>
      <c r="H156" s="134">
        <f>INDEX('5. Historical demand'!$C$26:$C$35,MATCH(B156,'5. Historical demand'!$B$26:$B$35,0),1)*(Yearending-Yearstart)</f>
        <v>0</v>
      </c>
      <c r="I156" s="166" t="str">
        <f t="shared" si="24"/>
        <v xml:space="preserve"> - </v>
      </c>
      <c r="J156" s="166" t="str">
        <f t="shared" si="25"/>
        <v xml:space="preserve"> - </v>
      </c>
    </row>
    <row r="157" spans="2:10" x14ac:dyDescent="0.2">
      <c r="B157" s="91" t="s">
        <v>101</v>
      </c>
      <c r="C157" s="321">
        <f>IF(Cover!$C$23="Scheme pipeline",'3.2 Regulatory Asset Base'!$H$78*'6. Pricing template'!C29,C100+'3.1 Depreciated Book Value'!$D$80*'6. Pricing template'!C29)</f>
        <v>146023.05504685026</v>
      </c>
      <c r="D157" s="322">
        <f t="shared" si="20"/>
        <v>4.7800000000000002E-2</v>
      </c>
      <c r="E157" s="322">
        <f t="shared" si="21"/>
        <v>2.838400913763567E-3</v>
      </c>
      <c r="F157" s="321">
        <f t="shared" si="22"/>
        <v>6979.9020312394432</v>
      </c>
      <c r="G157" s="321">
        <f t="shared" si="23"/>
        <v>414.47197287552746</v>
      </c>
      <c r="H157" s="134">
        <f>INDEX('5. Historical demand'!$C$26:$C$35,MATCH(B157,'5. Historical demand'!$B$26:$B$35,0),1)*(Yearending-Yearstart)</f>
        <v>0</v>
      </c>
      <c r="I157" s="166" t="str">
        <f t="shared" si="24"/>
        <v xml:space="preserve"> - </v>
      </c>
      <c r="J157" s="166" t="str">
        <f t="shared" si="25"/>
        <v xml:space="preserve"> - </v>
      </c>
    </row>
    <row r="158" spans="2:10" x14ac:dyDescent="0.2">
      <c r="B158" s="91" t="s">
        <v>103</v>
      </c>
      <c r="C158" s="321">
        <f>IF(Cover!$C$23="Scheme pipeline",'3.2 Regulatory Asset Base'!$H$78*'6. Pricing template'!C30,C101+'3.1 Depreciated Book Value'!$D$80*'6. Pricing template'!C30)</f>
        <v>1746743.2632266788</v>
      </c>
      <c r="D158" s="322">
        <f t="shared" si="20"/>
        <v>4.7800000000000002E-2</v>
      </c>
      <c r="E158" s="322">
        <f t="shared" si="21"/>
        <v>2.838400913763567E-3</v>
      </c>
      <c r="F158" s="321">
        <f t="shared" si="22"/>
        <v>83494.327982235249</v>
      </c>
      <c r="G158" s="321">
        <f t="shared" si="23"/>
        <v>4957.9576744529604</v>
      </c>
      <c r="H158" s="134">
        <f>INDEX('5. Historical demand'!$C$26:$C$35,MATCH(B158,'5. Historical demand'!$B$26:$B$35,0),1)*(Yearending-Yearstart)</f>
        <v>0</v>
      </c>
      <c r="I158" s="166" t="str">
        <f t="shared" si="24"/>
        <v xml:space="preserve"> - </v>
      </c>
      <c r="J158" s="166" t="str">
        <f t="shared" si="25"/>
        <v xml:space="preserve"> - </v>
      </c>
    </row>
    <row r="188" ht="27" customHeight="1" x14ac:dyDescent="0.2"/>
    <row r="195" ht="31.7" customHeight="1" x14ac:dyDescent="0.2"/>
  </sheetData>
  <sheetProtection sheet="1"/>
  <mergeCells count="36">
    <mergeCell ref="B47:B48"/>
    <mergeCell ref="H39:H40"/>
    <mergeCell ref="H55:H56"/>
    <mergeCell ref="H53:H54"/>
    <mergeCell ref="H37:H38"/>
    <mergeCell ref="H41:H42"/>
    <mergeCell ref="H43:H44"/>
    <mergeCell ref="H45:H46"/>
    <mergeCell ref="H47:H48"/>
    <mergeCell ref="B43:B44"/>
    <mergeCell ref="B49:B50"/>
    <mergeCell ref="B51:B52"/>
    <mergeCell ref="H49:H50"/>
    <mergeCell ref="H51:H52"/>
    <mergeCell ref="B18:C18"/>
    <mergeCell ref="D18:E18"/>
    <mergeCell ref="B37:B38"/>
    <mergeCell ref="B39:B40"/>
    <mergeCell ref="B41:B42"/>
    <mergeCell ref="D19:D20"/>
    <mergeCell ref="B7:D13"/>
    <mergeCell ref="J62:K62"/>
    <mergeCell ref="H61:K61"/>
    <mergeCell ref="E61:G61"/>
    <mergeCell ref="E62:E63"/>
    <mergeCell ref="F62:F63"/>
    <mergeCell ref="G62:G63"/>
    <mergeCell ref="B19:B20"/>
    <mergeCell ref="E19:E20"/>
    <mergeCell ref="B45:B46"/>
    <mergeCell ref="H62:I62"/>
    <mergeCell ref="C62:C63"/>
    <mergeCell ref="D62:D63"/>
    <mergeCell ref="B53:B54"/>
    <mergeCell ref="C61:D61"/>
    <mergeCell ref="B55:B56"/>
  </mergeCells>
  <conditionalFormatting sqref="C31">
    <cfRule type="cellIs" dxfId="1" priority="1" stopIfTrue="1" operator="lessThan">
      <formula>1</formula>
    </cfRule>
    <cfRule type="cellIs" dxfId="0" priority="2" stopIfTrue="1" operator="greaterThan">
      <formula>1</formula>
    </cfRule>
  </conditionalFormatting>
  <pageMargins left="0.7" right="0.7" top="0.75" bottom="0.75" header="0.3" footer="0.3"/>
  <pageSetup paperSize="9" orientation="portrait" r:id="rId1"/>
  <headerFooter>
    <oddFooter>&amp;C_x000D_&amp;1#&amp;"Calibri"&amp;10&amp;K008000 APA-INTERNAL</oddFooter>
  </headerFooter>
  <drawing r:id="rId2"/>
  <legacy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54917-1C4A-4D62-A0BA-7DFBBCB8021A}">
  <sheetPr>
    <tabColor rgb="FF17415D"/>
  </sheetPr>
  <dimension ref="A1:G4"/>
  <sheetViews>
    <sheetView zoomScale="115" zoomScaleNormal="115" workbookViewId="0"/>
  </sheetViews>
  <sheetFormatPr defaultColWidth="0" defaultRowHeight="12.75" x14ac:dyDescent="0.2"/>
  <cols>
    <col min="1" max="1" width="10.140625" bestFit="1" customWidth="1"/>
    <col min="2" max="2" width="22" bestFit="1" customWidth="1"/>
    <col min="3" max="3" width="22.7109375" bestFit="1" customWidth="1"/>
    <col min="4" max="4" width="56.5703125" bestFit="1" customWidth="1"/>
    <col min="5" max="5" width="22.7109375" bestFit="1" customWidth="1"/>
    <col min="6" max="6" width="45.7109375" bestFit="1" customWidth="1"/>
    <col min="7" max="7" width="70.5703125" bestFit="1" customWidth="1"/>
  </cols>
  <sheetData>
    <row r="1" spans="1:7" x14ac:dyDescent="0.2">
      <c r="A1" s="239" t="s">
        <v>2</v>
      </c>
      <c r="B1" s="240" t="s">
        <v>494</v>
      </c>
      <c r="C1" s="241" t="s">
        <v>495</v>
      </c>
      <c r="D1" s="240" t="s">
        <v>496</v>
      </c>
      <c r="E1" s="241" t="s">
        <v>497</v>
      </c>
      <c r="F1" s="241" t="s">
        <v>498</v>
      </c>
      <c r="G1" s="242" t="s">
        <v>499</v>
      </c>
    </row>
    <row r="2" spans="1:7" x14ac:dyDescent="0.2">
      <c r="A2" s="243">
        <v>45775</v>
      </c>
      <c r="B2">
        <v>1</v>
      </c>
      <c r="C2" s="248" t="s">
        <v>500</v>
      </c>
      <c r="E2" s="248" t="s">
        <v>501</v>
      </c>
      <c r="F2" s="248" t="s">
        <v>502</v>
      </c>
      <c r="G2" s="248" t="s">
        <v>503</v>
      </c>
    </row>
    <row r="3" spans="1:7" x14ac:dyDescent="0.2">
      <c r="A3" s="243">
        <v>45775</v>
      </c>
      <c r="B3">
        <v>2</v>
      </c>
      <c r="C3" s="248" t="s">
        <v>0</v>
      </c>
      <c r="D3" t="s">
        <v>105</v>
      </c>
      <c r="E3" s="248" t="s">
        <v>504</v>
      </c>
      <c r="F3" t="s">
        <v>505</v>
      </c>
      <c r="G3" t="s">
        <v>506</v>
      </c>
    </row>
    <row r="4" spans="1:7" x14ac:dyDescent="0.2">
      <c r="A4" s="243">
        <v>45775</v>
      </c>
      <c r="B4">
        <v>3</v>
      </c>
      <c r="C4" s="248" t="s">
        <v>507</v>
      </c>
      <c r="D4" t="s">
        <v>508</v>
      </c>
      <c r="E4" s="248" t="s">
        <v>509</v>
      </c>
      <c r="F4" t="s">
        <v>510</v>
      </c>
      <c r="G4" s="248" t="s">
        <v>511</v>
      </c>
    </row>
  </sheetData>
  <sheetProtection sheet="1"/>
  <pageMargins left="0.7" right="0.7" top="0.75" bottom="0.75" header="0.3" footer="0.3"/>
  <headerFooter>
    <oddFooter>&amp;C_x000D_&amp;1#&amp;"Calibri"&amp;10&amp;K008000 APA-INTERNAL</oddFooter>
  </headerFooter>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72F32-56EA-49B1-BE48-31CB4D04A1CD}">
  <sheetPr codeName="Sheet6">
    <pageSetUpPr fitToPage="1"/>
  </sheetPr>
  <dimension ref="A1:H17"/>
  <sheetViews>
    <sheetView workbookViewId="0">
      <selection activeCell="G4" sqref="G4"/>
    </sheetView>
  </sheetViews>
  <sheetFormatPr defaultColWidth="9.140625" defaultRowHeight="15" customHeight="1" x14ac:dyDescent="0.2"/>
  <cols>
    <col min="1" max="6" width="9.140625" style="125"/>
    <col min="7" max="7" width="28" style="125" bestFit="1" customWidth="1"/>
    <col min="8" max="8" width="18.28515625" style="125" bestFit="1" customWidth="1"/>
    <col min="9" max="16384" width="9.140625" style="125"/>
  </cols>
  <sheetData>
    <row r="1" spans="1:8" ht="15" customHeight="1" x14ac:dyDescent="0.2">
      <c r="A1" s="125" t="s">
        <v>518</v>
      </c>
      <c r="G1" s="125" t="s">
        <v>519</v>
      </c>
      <c r="H1" s="125" t="s">
        <v>519</v>
      </c>
    </row>
    <row r="3" spans="1:8" ht="15" customHeight="1" x14ac:dyDescent="0.2">
      <c r="A3" s="126" t="s">
        <v>222</v>
      </c>
      <c r="G3" s="125" t="s">
        <v>520</v>
      </c>
      <c r="H3" s="125" t="s">
        <v>521</v>
      </c>
    </row>
    <row r="4" spans="1:8" ht="15" customHeight="1" x14ac:dyDescent="0.2">
      <c r="A4" s="126" t="s">
        <v>232</v>
      </c>
      <c r="G4" s="125" t="s">
        <v>522</v>
      </c>
      <c r="H4" s="125" t="s">
        <v>523</v>
      </c>
    </row>
    <row r="5" spans="1:8" ht="15" customHeight="1" x14ac:dyDescent="0.2">
      <c r="A5" s="126" t="s">
        <v>234</v>
      </c>
      <c r="G5" s="125" t="s">
        <v>524</v>
      </c>
      <c r="H5" s="125" t="s">
        <v>525</v>
      </c>
    </row>
    <row r="6" spans="1:8" ht="15" customHeight="1" x14ac:dyDescent="0.2">
      <c r="A6" s="126" t="s">
        <v>236</v>
      </c>
    </row>
    <row r="7" spans="1:8" ht="15" customHeight="1" x14ac:dyDescent="0.2">
      <c r="A7" s="126" t="s">
        <v>239</v>
      </c>
    </row>
    <row r="8" spans="1:8" ht="15" customHeight="1" x14ac:dyDescent="0.2">
      <c r="A8" s="126" t="s">
        <v>241</v>
      </c>
    </row>
    <row r="9" spans="1:8" ht="15" customHeight="1" x14ac:dyDescent="0.2">
      <c r="A9" s="126" t="s">
        <v>243</v>
      </c>
    </row>
    <row r="10" spans="1:8" ht="15" customHeight="1" x14ac:dyDescent="0.2">
      <c r="A10" s="126" t="s">
        <v>245</v>
      </c>
    </row>
    <row r="11" spans="1:8" ht="15" customHeight="1" x14ac:dyDescent="0.2">
      <c r="A11" s="126" t="s">
        <v>247</v>
      </c>
    </row>
    <row r="12" spans="1:8" ht="15" customHeight="1" x14ac:dyDescent="0.2">
      <c r="A12" s="125" t="s">
        <v>249</v>
      </c>
    </row>
    <row r="13" spans="1:8" ht="15" customHeight="1" x14ac:dyDescent="0.2">
      <c r="A13" s="125" t="s">
        <v>256</v>
      </c>
    </row>
    <row r="14" spans="1:8" ht="15" customHeight="1" x14ac:dyDescent="0.2">
      <c r="A14" s="125" t="s">
        <v>258</v>
      </c>
    </row>
    <row r="15" spans="1:8" ht="15" customHeight="1" x14ac:dyDescent="0.2">
      <c r="A15" s="125" t="s">
        <v>526</v>
      </c>
    </row>
    <row r="16" spans="1:8" ht="15" customHeight="1" x14ac:dyDescent="0.2">
      <c r="A16" s="125" t="s">
        <v>261</v>
      </c>
    </row>
    <row r="17" spans="1:1" ht="15" customHeight="1" x14ac:dyDescent="0.2">
      <c r="A17" s="125" t="s">
        <v>527</v>
      </c>
    </row>
  </sheetData>
  <pageMargins left="0.7" right="0.7" top="0.75" bottom="0.75" header="0.3" footer="0.3"/>
  <pageSetup paperSize="9" orientation="landscape" r:id="rId1"/>
  <headerFooter>
    <oddFooter>&amp;L&amp;8&amp;F&amp;D&amp;T&amp;C&amp;8&amp;A_x000D_&amp;1#&amp;"Calibri"&amp;10&amp;K008000 APA-INTERNAL&amp;R&amp;8Page &amp;P of &amp;N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45566-0EA1-4DFE-9A61-0F124EE3B667}">
  <sheetPr codeName="Sheet21"/>
  <dimension ref="A1:I123"/>
  <sheetViews>
    <sheetView zoomScaleNormal="100" workbookViewId="0"/>
  </sheetViews>
  <sheetFormatPr defaultRowHeight="12.75" x14ac:dyDescent="0.2"/>
  <cols>
    <col min="1" max="1" width="10.7109375" customWidth="1"/>
    <col min="2" max="2" width="20" style="5" customWidth="1"/>
    <col min="3" max="3" width="27.42578125" customWidth="1"/>
    <col min="4" max="4" width="16.85546875" style="5" bestFit="1" customWidth="1"/>
    <col min="5" max="5" width="19.85546875" customWidth="1"/>
    <col min="6" max="6" width="21.42578125" customWidth="1"/>
    <col min="7" max="7" width="59" customWidth="1"/>
    <col min="8" max="8" width="2.85546875" customWidth="1"/>
  </cols>
  <sheetData>
    <row r="1" spans="1:9" x14ac:dyDescent="0.2">
      <c r="A1" s="6" t="s">
        <v>2</v>
      </c>
      <c r="B1" s="7" t="s">
        <v>494</v>
      </c>
      <c r="C1" s="6" t="s">
        <v>495</v>
      </c>
      <c r="D1" s="7" t="s">
        <v>496</v>
      </c>
      <c r="E1" s="6" t="s">
        <v>497</v>
      </c>
      <c r="F1" s="6" t="s">
        <v>498</v>
      </c>
      <c r="G1" s="6" t="s">
        <v>499</v>
      </c>
    </row>
    <row r="2" spans="1:9" s="10" customFormat="1" ht="25.5" x14ac:dyDescent="0.2">
      <c r="A2" s="8">
        <v>43314</v>
      </c>
      <c r="B2" s="9">
        <v>1</v>
      </c>
      <c r="C2" s="10" t="s">
        <v>528</v>
      </c>
      <c r="D2" s="9"/>
      <c r="F2" s="11" t="s">
        <v>529</v>
      </c>
      <c r="G2" s="11" t="s">
        <v>530</v>
      </c>
    </row>
    <row r="3" spans="1:9" s="10" customFormat="1" ht="25.5" x14ac:dyDescent="0.2">
      <c r="A3" s="8">
        <v>43318</v>
      </c>
      <c r="B3" s="9">
        <v>2</v>
      </c>
      <c r="C3" s="10" t="s">
        <v>507</v>
      </c>
      <c r="D3" s="9">
        <v>2.1</v>
      </c>
      <c r="E3" s="10" t="s">
        <v>531</v>
      </c>
      <c r="F3" s="10" t="s">
        <v>532</v>
      </c>
      <c r="G3" s="11" t="s">
        <v>533</v>
      </c>
      <c r="I3" s="323"/>
    </row>
    <row r="4" spans="1:9" s="10" customFormat="1" ht="25.5" x14ac:dyDescent="0.2">
      <c r="A4" s="8">
        <v>43314</v>
      </c>
      <c r="B4" s="9">
        <v>3</v>
      </c>
      <c r="C4" s="10" t="s">
        <v>534</v>
      </c>
      <c r="D4" s="9">
        <v>3.1</v>
      </c>
      <c r="E4" s="10" t="s">
        <v>535</v>
      </c>
      <c r="F4" s="10" t="s">
        <v>536</v>
      </c>
      <c r="G4" s="11" t="s">
        <v>537</v>
      </c>
      <c r="I4" s="323"/>
    </row>
    <row r="5" spans="1:9" s="10" customFormat="1" ht="26.25" customHeight="1" x14ac:dyDescent="0.2">
      <c r="A5" s="8">
        <v>43314</v>
      </c>
      <c r="B5" s="9">
        <v>4</v>
      </c>
      <c r="C5" s="10" t="s">
        <v>538</v>
      </c>
      <c r="D5" s="9" t="s">
        <v>539</v>
      </c>
      <c r="E5" s="10" t="s">
        <v>540</v>
      </c>
      <c r="F5" s="10" t="s">
        <v>541</v>
      </c>
      <c r="G5" s="11" t="s">
        <v>542</v>
      </c>
      <c r="I5" s="323"/>
    </row>
    <row r="6" spans="1:9" s="10" customFormat="1" ht="38.25" x14ac:dyDescent="0.2">
      <c r="A6" s="8">
        <v>43318</v>
      </c>
      <c r="B6" s="9">
        <v>5</v>
      </c>
      <c r="C6" s="10" t="s">
        <v>538</v>
      </c>
      <c r="D6" s="9" t="s">
        <v>539</v>
      </c>
      <c r="E6" s="10" t="s">
        <v>543</v>
      </c>
      <c r="F6" s="10" t="s">
        <v>544</v>
      </c>
      <c r="G6" s="11" t="s">
        <v>545</v>
      </c>
      <c r="I6" s="323"/>
    </row>
    <row r="7" spans="1:9" s="10" customFormat="1" ht="89.25" x14ac:dyDescent="0.2">
      <c r="A7" s="8">
        <v>43318</v>
      </c>
      <c r="B7" s="9">
        <v>6</v>
      </c>
      <c r="C7" s="10" t="s">
        <v>538</v>
      </c>
      <c r="D7" s="324" t="s">
        <v>539</v>
      </c>
      <c r="E7" s="323" t="s">
        <v>546</v>
      </c>
      <c r="F7" s="323" t="s">
        <v>547</v>
      </c>
      <c r="G7" s="325" t="s">
        <v>548</v>
      </c>
      <c r="I7" s="323"/>
    </row>
    <row r="8" spans="1:9" x14ac:dyDescent="0.2">
      <c r="A8" s="8">
        <v>43318</v>
      </c>
      <c r="B8" s="9">
        <v>7</v>
      </c>
      <c r="C8" s="10" t="s">
        <v>538</v>
      </c>
      <c r="D8" s="324" t="s">
        <v>539</v>
      </c>
      <c r="E8" s="10" t="s">
        <v>549</v>
      </c>
      <c r="F8" s="10" t="s">
        <v>550</v>
      </c>
      <c r="G8" s="10" t="s">
        <v>551</v>
      </c>
      <c r="I8" s="323"/>
    </row>
    <row r="9" spans="1:9" x14ac:dyDescent="0.2">
      <c r="A9" s="8">
        <v>43991</v>
      </c>
      <c r="B9" s="9">
        <v>8</v>
      </c>
      <c r="C9" s="10" t="s">
        <v>534</v>
      </c>
      <c r="D9" s="9">
        <v>3.1</v>
      </c>
      <c r="E9" s="10" t="s">
        <v>552</v>
      </c>
      <c r="F9" s="10" t="s">
        <v>553</v>
      </c>
      <c r="G9" s="10" t="s">
        <v>554</v>
      </c>
      <c r="I9" s="323"/>
    </row>
    <row r="10" spans="1:9" x14ac:dyDescent="0.2">
      <c r="A10" s="8">
        <v>43991</v>
      </c>
      <c r="B10" s="9">
        <v>9</v>
      </c>
      <c r="C10" s="10" t="s">
        <v>534</v>
      </c>
      <c r="D10" s="9">
        <v>3.1</v>
      </c>
      <c r="E10" s="10" t="s">
        <v>555</v>
      </c>
      <c r="F10" s="10" t="s">
        <v>550</v>
      </c>
      <c r="G10" s="323" t="s">
        <v>556</v>
      </c>
      <c r="I10" s="323"/>
    </row>
    <row r="11" spans="1:9" ht="38.25" x14ac:dyDescent="0.2">
      <c r="A11" s="8">
        <v>43991</v>
      </c>
      <c r="B11" s="9">
        <v>10</v>
      </c>
      <c r="C11" s="10" t="s">
        <v>534</v>
      </c>
      <c r="D11" s="9">
        <v>3.1</v>
      </c>
      <c r="E11" s="11" t="s">
        <v>557</v>
      </c>
      <c r="F11" s="10" t="s">
        <v>558</v>
      </c>
      <c r="G11" s="11" t="s">
        <v>559</v>
      </c>
      <c r="I11" s="323"/>
    </row>
    <row r="12" spans="1:9" x14ac:dyDescent="0.2">
      <c r="A12" s="8">
        <v>43991</v>
      </c>
      <c r="B12" s="9">
        <v>11</v>
      </c>
      <c r="C12" s="10" t="s">
        <v>560</v>
      </c>
      <c r="D12" s="324" t="s">
        <v>561</v>
      </c>
      <c r="E12" s="323" t="s">
        <v>562</v>
      </c>
      <c r="F12" s="323" t="s">
        <v>553</v>
      </c>
      <c r="G12" s="323" t="s">
        <v>563</v>
      </c>
      <c r="I12" s="323"/>
    </row>
    <row r="13" spans="1:9" ht="38.25" x14ac:dyDescent="0.2">
      <c r="A13" s="8">
        <v>44028</v>
      </c>
      <c r="B13" s="9">
        <v>12</v>
      </c>
      <c r="C13" s="323" t="s">
        <v>500</v>
      </c>
      <c r="D13" s="9" t="s">
        <v>564</v>
      </c>
      <c r="E13" s="323" t="s">
        <v>565</v>
      </c>
      <c r="F13" s="325" t="s">
        <v>566</v>
      </c>
      <c r="G13" s="325" t="s">
        <v>567</v>
      </c>
      <c r="I13" s="323"/>
    </row>
    <row r="14" spans="1:9" ht="51" x14ac:dyDescent="0.2">
      <c r="A14" s="8">
        <v>43999</v>
      </c>
      <c r="B14" s="9">
        <v>13</v>
      </c>
      <c r="C14" s="323" t="s">
        <v>568</v>
      </c>
      <c r="D14" s="324" t="s">
        <v>569</v>
      </c>
      <c r="E14" s="323" t="s">
        <v>570</v>
      </c>
      <c r="F14" s="325" t="s">
        <v>571</v>
      </c>
      <c r="G14" s="325" t="s">
        <v>572</v>
      </c>
      <c r="I14" s="323"/>
    </row>
    <row r="15" spans="1:9" x14ac:dyDescent="0.2">
      <c r="A15" s="8">
        <v>43991</v>
      </c>
      <c r="B15" s="9">
        <v>14</v>
      </c>
      <c r="C15" s="10" t="s">
        <v>538</v>
      </c>
      <c r="D15" s="9"/>
      <c r="E15" s="10"/>
      <c r="F15" s="10"/>
      <c r="G15" s="10" t="s">
        <v>573</v>
      </c>
      <c r="I15" s="323"/>
    </row>
    <row r="16" spans="1:9" x14ac:dyDescent="0.2">
      <c r="A16" s="8">
        <v>44038</v>
      </c>
      <c r="B16" s="9">
        <v>15</v>
      </c>
      <c r="C16" s="10" t="s">
        <v>574</v>
      </c>
      <c r="D16" s="324" t="s">
        <v>575</v>
      </c>
      <c r="E16" s="323" t="s">
        <v>576</v>
      </c>
      <c r="F16" s="323" t="s">
        <v>577</v>
      </c>
      <c r="G16" s="325" t="s">
        <v>578</v>
      </c>
      <c r="I16" s="323"/>
    </row>
    <row r="17" spans="1:9" x14ac:dyDescent="0.2">
      <c r="A17" s="326">
        <v>44038</v>
      </c>
      <c r="B17" s="9">
        <v>16</v>
      </c>
      <c r="C17" s="10" t="s">
        <v>534</v>
      </c>
      <c r="D17" s="9">
        <v>3.1</v>
      </c>
      <c r="E17" s="323" t="s">
        <v>579</v>
      </c>
      <c r="F17" s="10" t="s">
        <v>553</v>
      </c>
      <c r="G17" s="323" t="s">
        <v>580</v>
      </c>
      <c r="I17" s="323"/>
    </row>
    <row r="18" spans="1:9" x14ac:dyDescent="0.2">
      <c r="A18" s="326">
        <v>44038</v>
      </c>
      <c r="B18" s="9">
        <v>17</v>
      </c>
      <c r="C18" s="10" t="s">
        <v>534</v>
      </c>
      <c r="D18" s="9">
        <v>3.1</v>
      </c>
      <c r="E18" s="323" t="s">
        <v>581</v>
      </c>
      <c r="F18" s="10" t="s">
        <v>550</v>
      </c>
      <c r="G18" s="323" t="s">
        <v>582</v>
      </c>
      <c r="I18" s="323"/>
    </row>
    <row r="19" spans="1:9" x14ac:dyDescent="0.2">
      <c r="A19" s="8">
        <v>44038</v>
      </c>
      <c r="B19" s="9">
        <v>18</v>
      </c>
      <c r="C19" s="10" t="s">
        <v>574</v>
      </c>
      <c r="D19" s="324" t="s">
        <v>539</v>
      </c>
      <c r="E19" s="323" t="s">
        <v>583</v>
      </c>
      <c r="F19" s="323" t="s">
        <v>584</v>
      </c>
      <c r="G19" s="325" t="s">
        <v>585</v>
      </c>
    </row>
    <row r="20" spans="1:9" x14ac:dyDescent="0.2">
      <c r="A20" s="8">
        <v>44038</v>
      </c>
      <c r="B20" s="9">
        <v>19</v>
      </c>
      <c r="C20" s="326" t="s">
        <v>574</v>
      </c>
      <c r="D20" s="324" t="s">
        <v>575</v>
      </c>
      <c r="E20" s="323" t="s">
        <v>586</v>
      </c>
      <c r="F20" s="323" t="s">
        <v>584</v>
      </c>
      <c r="G20" s="325" t="s">
        <v>587</v>
      </c>
    </row>
    <row r="21" spans="1:9" x14ac:dyDescent="0.2">
      <c r="A21" s="8">
        <v>44038</v>
      </c>
      <c r="B21" s="9">
        <v>20</v>
      </c>
      <c r="C21" s="323" t="s">
        <v>588</v>
      </c>
      <c r="D21" s="9">
        <v>4.0999999999999996</v>
      </c>
      <c r="E21" s="323" t="s">
        <v>589</v>
      </c>
      <c r="F21" s="323" t="s">
        <v>553</v>
      </c>
      <c r="G21" s="323" t="s">
        <v>590</v>
      </c>
      <c r="I21" s="323"/>
    </row>
    <row r="22" spans="1:9" x14ac:dyDescent="0.2">
      <c r="A22" s="8">
        <v>44038</v>
      </c>
      <c r="B22" s="9">
        <v>21</v>
      </c>
      <c r="C22" s="323" t="s">
        <v>588</v>
      </c>
      <c r="D22" s="9">
        <v>4.0999999999999996</v>
      </c>
      <c r="E22" s="323" t="s">
        <v>591</v>
      </c>
      <c r="F22" s="323" t="s">
        <v>592</v>
      </c>
      <c r="G22" s="323" t="s">
        <v>593</v>
      </c>
    </row>
    <row r="23" spans="1:9" ht="25.5" x14ac:dyDescent="0.2">
      <c r="A23" s="8">
        <v>44038</v>
      </c>
      <c r="B23" s="9">
        <v>22</v>
      </c>
      <c r="C23" s="323" t="s">
        <v>588</v>
      </c>
      <c r="D23" s="9">
        <v>4.0999999999999996</v>
      </c>
      <c r="E23" s="325" t="s">
        <v>594</v>
      </c>
      <c r="F23" s="323" t="s">
        <v>550</v>
      </c>
      <c r="G23" s="325" t="s">
        <v>595</v>
      </c>
    </row>
    <row r="24" spans="1:9" ht="25.5" x14ac:dyDescent="0.2">
      <c r="A24" s="8">
        <v>44038</v>
      </c>
      <c r="B24" s="9">
        <v>23</v>
      </c>
      <c r="C24" s="326" t="s">
        <v>574</v>
      </c>
      <c r="D24" s="324" t="s">
        <v>596</v>
      </c>
      <c r="E24" s="325" t="s">
        <v>597</v>
      </c>
      <c r="F24" s="10" t="s">
        <v>544</v>
      </c>
      <c r="G24" s="325" t="s">
        <v>598</v>
      </c>
    </row>
    <row r="25" spans="1:9" x14ac:dyDescent="0.2">
      <c r="A25" s="8">
        <v>44326</v>
      </c>
      <c r="B25" s="9">
        <v>24</v>
      </c>
      <c r="C25" s="326" t="s">
        <v>500</v>
      </c>
      <c r="D25" s="324"/>
      <c r="E25" s="325" t="s">
        <v>599</v>
      </c>
      <c r="F25" s="325" t="s">
        <v>600</v>
      </c>
      <c r="G25" s="11" t="s">
        <v>601</v>
      </c>
    </row>
    <row r="26" spans="1:9" x14ac:dyDescent="0.2">
      <c r="A26" s="8">
        <v>44326</v>
      </c>
      <c r="B26" s="9">
        <v>25</v>
      </c>
      <c r="C26" s="8" t="s">
        <v>602</v>
      </c>
      <c r="D26" s="9"/>
      <c r="E26" s="11" t="s">
        <v>603</v>
      </c>
      <c r="F26" s="10" t="s">
        <v>604</v>
      </c>
      <c r="G26" s="11" t="s">
        <v>605</v>
      </c>
    </row>
    <row r="27" spans="1:9" x14ac:dyDescent="0.2">
      <c r="A27" s="8">
        <v>44326</v>
      </c>
      <c r="B27" s="9">
        <v>26</v>
      </c>
      <c r="C27" s="8" t="s">
        <v>602</v>
      </c>
      <c r="D27" s="9"/>
      <c r="E27" s="11" t="s">
        <v>606</v>
      </c>
      <c r="F27" s="10" t="s">
        <v>604</v>
      </c>
      <c r="G27" s="11" t="s">
        <v>607</v>
      </c>
    </row>
    <row r="28" spans="1:9" ht="25.5" x14ac:dyDescent="0.2">
      <c r="A28" s="8">
        <v>44326</v>
      </c>
      <c r="B28" s="9">
        <v>27</v>
      </c>
      <c r="C28" s="8" t="s">
        <v>602</v>
      </c>
      <c r="D28" s="9"/>
      <c r="E28" s="11" t="s">
        <v>608</v>
      </c>
      <c r="F28" s="10" t="s">
        <v>604</v>
      </c>
      <c r="G28" s="11" t="s">
        <v>609</v>
      </c>
    </row>
    <row r="29" spans="1:9" x14ac:dyDescent="0.2">
      <c r="A29" s="8">
        <v>44326</v>
      </c>
      <c r="B29" s="9">
        <v>28</v>
      </c>
      <c r="C29" s="8" t="s">
        <v>610</v>
      </c>
      <c r="D29" s="9"/>
      <c r="E29" s="11" t="s">
        <v>570</v>
      </c>
      <c r="F29" s="10" t="s">
        <v>611</v>
      </c>
      <c r="G29" s="11" t="s">
        <v>612</v>
      </c>
    </row>
    <row r="30" spans="1:9" ht="38.25" x14ac:dyDescent="0.2">
      <c r="A30" s="8">
        <v>44326</v>
      </c>
      <c r="B30" s="9">
        <v>29</v>
      </c>
      <c r="C30" s="8" t="s">
        <v>453</v>
      </c>
      <c r="D30" s="324"/>
      <c r="E30" s="325"/>
      <c r="F30" s="10" t="s">
        <v>613</v>
      </c>
      <c r="G30" s="11" t="s">
        <v>614</v>
      </c>
    </row>
    <row r="31" spans="1:9" ht="25.5" x14ac:dyDescent="0.2">
      <c r="A31" s="8">
        <v>44326</v>
      </c>
      <c r="B31" s="9">
        <v>30</v>
      </c>
      <c r="C31" s="323" t="s">
        <v>0</v>
      </c>
      <c r="D31" s="9">
        <v>1.2</v>
      </c>
      <c r="E31" s="323" t="s">
        <v>615</v>
      </c>
      <c r="F31" s="323" t="s">
        <v>544</v>
      </c>
      <c r="G31" s="327" t="s">
        <v>616</v>
      </c>
    </row>
    <row r="32" spans="1:9" ht="102" x14ac:dyDescent="0.2">
      <c r="A32" s="8">
        <v>44326</v>
      </c>
      <c r="B32" s="9">
        <v>31</v>
      </c>
      <c r="C32" s="323" t="s">
        <v>617</v>
      </c>
      <c r="D32" s="9">
        <v>2.1</v>
      </c>
      <c r="E32" s="11" t="s">
        <v>618</v>
      </c>
      <c r="F32" s="323" t="s">
        <v>619</v>
      </c>
      <c r="G32" s="325" t="s">
        <v>620</v>
      </c>
    </row>
    <row r="33" spans="1:7" ht="25.5" x14ac:dyDescent="0.2">
      <c r="A33" s="8">
        <v>44326</v>
      </c>
      <c r="B33" s="9">
        <v>32</v>
      </c>
      <c r="C33" s="323" t="s">
        <v>617</v>
      </c>
      <c r="D33" s="9">
        <v>2.1</v>
      </c>
      <c r="E33" s="11" t="s">
        <v>621</v>
      </c>
      <c r="F33" s="323" t="s">
        <v>550</v>
      </c>
      <c r="G33" s="325" t="s">
        <v>622</v>
      </c>
    </row>
    <row r="34" spans="1:7" ht="25.5" x14ac:dyDescent="0.2">
      <c r="A34" s="8">
        <v>44326</v>
      </c>
      <c r="B34" s="9">
        <v>33</v>
      </c>
      <c r="C34" s="323" t="s">
        <v>617</v>
      </c>
      <c r="D34" s="9">
        <v>2.1</v>
      </c>
      <c r="E34" s="10" t="s">
        <v>623</v>
      </c>
      <c r="F34" s="10" t="s">
        <v>550</v>
      </c>
      <c r="G34" s="11" t="s">
        <v>624</v>
      </c>
    </row>
    <row r="35" spans="1:7" x14ac:dyDescent="0.2">
      <c r="A35" s="8">
        <v>44326</v>
      </c>
      <c r="B35" s="9">
        <v>34</v>
      </c>
      <c r="C35" s="323" t="s">
        <v>617</v>
      </c>
      <c r="D35" s="9">
        <v>2.1</v>
      </c>
      <c r="E35" s="10" t="s">
        <v>625</v>
      </c>
      <c r="F35" s="10" t="s">
        <v>626</v>
      </c>
      <c r="G35" s="11" t="s">
        <v>627</v>
      </c>
    </row>
    <row r="36" spans="1:7" x14ac:dyDescent="0.2">
      <c r="A36" s="8">
        <v>44326</v>
      </c>
      <c r="B36" s="9">
        <v>35</v>
      </c>
      <c r="C36" s="323" t="s">
        <v>617</v>
      </c>
      <c r="D36" s="9">
        <v>2.1</v>
      </c>
      <c r="E36" s="10" t="s">
        <v>628</v>
      </c>
      <c r="F36" s="10" t="s">
        <v>544</v>
      </c>
      <c r="G36" s="11" t="s">
        <v>629</v>
      </c>
    </row>
    <row r="37" spans="1:7" ht="25.5" x14ac:dyDescent="0.2">
      <c r="A37" s="8">
        <v>44326</v>
      </c>
      <c r="B37" s="9">
        <v>36</v>
      </c>
      <c r="C37" s="323" t="s">
        <v>617</v>
      </c>
      <c r="D37" s="9">
        <v>2.1</v>
      </c>
      <c r="E37" s="10" t="s">
        <v>630</v>
      </c>
      <c r="F37" s="10" t="s">
        <v>550</v>
      </c>
      <c r="G37" s="11" t="s">
        <v>631</v>
      </c>
    </row>
    <row r="38" spans="1:7" ht="25.5" x14ac:dyDescent="0.2">
      <c r="A38" s="8">
        <v>44326</v>
      </c>
      <c r="B38" s="9">
        <v>37</v>
      </c>
      <c r="C38" s="323" t="s">
        <v>632</v>
      </c>
      <c r="D38" s="9" t="s">
        <v>633</v>
      </c>
      <c r="E38" s="10" t="s">
        <v>634</v>
      </c>
      <c r="F38" s="323" t="s">
        <v>544</v>
      </c>
      <c r="G38" s="325" t="s">
        <v>635</v>
      </c>
    </row>
    <row r="39" spans="1:7" ht="25.5" x14ac:dyDescent="0.2">
      <c r="A39" s="8">
        <v>44326</v>
      </c>
      <c r="B39" s="9">
        <v>38</v>
      </c>
      <c r="C39" s="323" t="s">
        <v>632</v>
      </c>
      <c r="D39" s="9" t="s">
        <v>633</v>
      </c>
      <c r="E39" s="323"/>
      <c r="F39" s="325" t="s">
        <v>636</v>
      </c>
      <c r="G39" s="11" t="s">
        <v>637</v>
      </c>
    </row>
    <row r="40" spans="1:7" ht="38.25" x14ac:dyDescent="0.2">
      <c r="A40" s="8">
        <v>44326</v>
      </c>
      <c r="B40" s="9">
        <v>39</v>
      </c>
      <c r="C40" s="10" t="s">
        <v>632</v>
      </c>
      <c r="D40" s="9" t="s">
        <v>633</v>
      </c>
      <c r="E40" s="10" t="s">
        <v>638</v>
      </c>
      <c r="F40" s="325" t="s">
        <v>639</v>
      </c>
      <c r="G40" s="11" t="s">
        <v>640</v>
      </c>
    </row>
    <row r="41" spans="1:7" ht="38.25" x14ac:dyDescent="0.2">
      <c r="A41" s="8">
        <v>44326</v>
      </c>
      <c r="B41" s="9">
        <v>40</v>
      </c>
      <c r="C41" s="10" t="s">
        <v>632</v>
      </c>
      <c r="D41" s="9" t="s">
        <v>633</v>
      </c>
      <c r="E41" s="10" t="s">
        <v>641</v>
      </c>
      <c r="F41" s="325" t="s">
        <v>600</v>
      </c>
      <c r="G41" s="11" t="s">
        <v>642</v>
      </c>
    </row>
    <row r="42" spans="1:7" x14ac:dyDescent="0.2">
      <c r="A42" s="8">
        <v>44326</v>
      </c>
      <c r="B42" s="9">
        <v>41</v>
      </c>
      <c r="C42" s="10" t="s">
        <v>632</v>
      </c>
      <c r="D42" s="9" t="s">
        <v>633</v>
      </c>
      <c r="E42" s="10" t="s">
        <v>643</v>
      </c>
      <c r="F42" s="11" t="s">
        <v>550</v>
      </c>
      <c r="G42" s="11" t="s">
        <v>644</v>
      </c>
    </row>
    <row r="43" spans="1:7" ht="25.5" x14ac:dyDescent="0.2">
      <c r="A43" s="8">
        <v>44326</v>
      </c>
      <c r="B43" s="9">
        <v>42</v>
      </c>
      <c r="C43" s="10" t="s">
        <v>645</v>
      </c>
      <c r="D43" s="324" t="s">
        <v>646</v>
      </c>
      <c r="E43" s="10" t="s">
        <v>647</v>
      </c>
      <c r="F43" s="325" t="s">
        <v>648</v>
      </c>
      <c r="G43" s="325" t="s">
        <v>649</v>
      </c>
    </row>
    <row r="44" spans="1:7" ht="51" x14ac:dyDescent="0.2">
      <c r="A44" s="8">
        <v>44326</v>
      </c>
      <c r="B44" s="9">
        <v>43</v>
      </c>
      <c r="C44" s="10" t="s">
        <v>650</v>
      </c>
      <c r="D44" s="9" t="s">
        <v>651</v>
      </c>
      <c r="E44" s="10" t="s">
        <v>652</v>
      </c>
      <c r="F44" s="11" t="s">
        <v>547</v>
      </c>
      <c r="G44" s="11" t="s">
        <v>653</v>
      </c>
    </row>
    <row r="45" spans="1:7" x14ac:dyDescent="0.2">
      <c r="A45" s="8">
        <v>44326</v>
      </c>
      <c r="B45" s="9">
        <v>44</v>
      </c>
      <c r="C45" s="10" t="s">
        <v>654</v>
      </c>
      <c r="D45" s="9" t="s">
        <v>655</v>
      </c>
      <c r="E45" s="10" t="s">
        <v>652</v>
      </c>
      <c r="F45" s="11" t="s">
        <v>547</v>
      </c>
      <c r="G45" s="11" t="s">
        <v>656</v>
      </c>
    </row>
    <row r="46" spans="1:7" x14ac:dyDescent="0.2">
      <c r="A46" s="8">
        <v>44326</v>
      </c>
      <c r="B46" s="9">
        <v>45</v>
      </c>
      <c r="C46" s="10" t="s">
        <v>657</v>
      </c>
      <c r="D46" s="9" t="s">
        <v>655</v>
      </c>
      <c r="E46" s="10" t="s">
        <v>658</v>
      </c>
      <c r="F46" s="11" t="s">
        <v>550</v>
      </c>
      <c r="G46" s="11" t="s">
        <v>659</v>
      </c>
    </row>
    <row r="47" spans="1:7" x14ac:dyDescent="0.2">
      <c r="A47" s="8">
        <v>44326</v>
      </c>
      <c r="B47" s="9">
        <v>46</v>
      </c>
      <c r="C47" s="10" t="s">
        <v>657</v>
      </c>
      <c r="D47" s="9" t="s">
        <v>655</v>
      </c>
      <c r="E47" s="10" t="s">
        <v>660</v>
      </c>
      <c r="F47" s="11" t="s">
        <v>661</v>
      </c>
      <c r="G47" s="11" t="s">
        <v>662</v>
      </c>
    </row>
    <row r="48" spans="1:7" x14ac:dyDescent="0.2">
      <c r="A48" s="8">
        <v>44326</v>
      </c>
      <c r="B48" s="9">
        <v>47</v>
      </c>
      <c r="C48" s="10" t="s">
        <v>663</v>
      </c>
      <c r="D48" s="9"/>
      <c r="E48" s="10" t="s">
        <v>664</v>
      </c>
      <c r="F48" s="325" t="s">
        <v>600</v>
      </c>
      <c r="G48" s="11" t="s">
        <v>665</v>
      </c>
    </row>
    <row r="49" spans="1:7" x14ac:dyDescent="0.2">
      <c r="A49" s="8">
        <v>44326</v>
      </c>
      <c r="B49" s="9">
        <v>48</v>
      </c>
      <c r="C49" s="10" t="s">
        <v>663</v>
      </c>
      <c r="D49" s="9">
        <v>3.1</v>
      </c>
      <c r="E49" s="10" t="s">
        <v>666</v>
      </c>
      <c r="F49" s="11" t="s">
        <v>667</v>
      </c>
      <c r="G49" s="11" t="s">
        <v>668</v>
      </c>
    </row>
    <row r="50" spans="1:7" x14ac:dyDescent="0.2">
      <c r="A50" s="8">
        <v>44326</v>
      </c>
      <c r="B50" s="9">
        <v>49</v>
      </c>
      <c r="C50" s="10" t="s">
        <v>663</v>
      </c>
      <c r="D50" s="9">
        <v>3.1</v>
      </c>
      <c r="E50" s="10" t="s">
        <v>669</v>
      </c>
      <c r="F50" s="11" t="s">
        <v>544</v>
      </c>
      <c r="G50" s="11" t="s">
        <v>670</v>
      </c>
    </row>
    <row r="51" spans="1:7" ht="140.25" x14ac:dyDescent="0.2">
      <c r="A51" s="8">
        <v>44326</v>
      </c>
      <c r="B51" s="9">
        <v>50</v>
      </c>
      <c r="C51" s="10" t="s">
        <v>663</v>
      </c>
      <c r="D51" s="9">
        <v>3.1</v>
      </c>
      <c r="E51" s="10" t="s">
        <v>671</v>
      </c>
      <c r="F51" s="11" t="s">
        <v>672</v>
      </c>
      <c r="G51" s="11" t="s">
        <v>673</v>
      </c>
    </row>
    <row r="52" spans="1:7" ht="25.5" x14ac:dyDescent="0.2">
      <c r="A52" s="8">
        <v>44326</v>
      </c>
      <c r="B52" s="9">
        <v>51</v>
      </c>
      <c r="C52" s="10" t="s">
        <v>663</v>
      </c>
      <c r="D52" s="9">
        <v>3.1</v>
      </c>
      <c r="E52" s="10" t="s">
        <v>674</v>
      </c>
      <c r="F52" s="11" t="s">
        <v>550</v>
      </c>
      <c r="G52" s="11" t="s">
        <v>675</v>
      </c>
    </row>
    <row r="53" spans="1:7" ht="38.25" x14ac:dyDescent="0.2">
      <c r="A53" s="8">
        <v>44326</v>
      </c>
      <c r="B53" s="9">
        <v>52</v>
      </c>
      <c r="C53" s="10" t="s">
        <v>663</v>
      </c>
      <c r="D53" s="9">
        <v>3.1</v>
      </c>
      <c r="E53" s="10" t="s">
        <v>676</v>
      </c>
      <c r="F53" s="11" t="s">
        <v>550</v>
      </c>
      <c r="G53" s="11" t="s">
        <v>677</v>
      </c>
    </row>
    <row r="54" spans="1:7" ht="51" x14ac:dyDescent="0.2">
      <c r="A54" s="8">
        <v>44326</v>
      </c>
      <c r="B54" s="9">
        <v>53</v>
      </c>
      <c r="C54" s="10" t="s">
        <v>678</v>
      </c>
      <c r="D54" s="9"/>
      <c r="E54" s="10"/>
      <c r="F54" s="11" t="s">
        <v>679</v>
      </c>
      <c r="G54" s="11" t="s">
        <v>680</v>
      </c>
    </row>
    <row r="55" spans="1:7" x14ac:dyDescent="0.2">
      <c r="A55" s="8">
        <v>44326</v>
      </c>
      <c r="B55" s="9">
        <v>54</v>
      </c>
      <c r="C55" s="10" t="s">
        <v>678</v>
      </c>
      <c r="D55" s="9" t="s">
        <v>561</v>
      </c>
      <c r="E55" s="10" t="s">
        <v>681</v>
      </c>
      <c r="F55" s="11" t="s">
        <v>682</v>
      </c>
      <c r="G55" s="11" t="s">
        <v>683</v>
      </c>
    </row>
    <row r="56" spans="1:7" x14ac:dyDescent="0.2">
      <c r="A56" s="8">
        <v>44326</v>
      </c>
      <c r="B56" s="9">
        <v>55</v>
      </c>
      <c r="C56" s="10" t="s">
        <v>678</v>
      </c>
      <c r="D56" s="9"/>
      <c r="E56" s="10" t="s">
        <v>684</v>
      </c>
      <c r="F56" s="11" t="s">
        <v>544</v>
      </c>
      <c r="G56" s="11" t="s">
        <v>685</v>
      </c>
    </row>
    <row r="57" spans="1:7" ht="51" x14ac:dyDescent="0.2">
      <c r="A57" s="8">
        <v>44326</v>
      </c>
      <c r="B57" s="9">
        <v>56</v>
      </c>
      <c r="C57" s="10" t="s">
        <v>686</v>
      </c>
      <c r="D57" s="9"/>
      <c r="E57" s="10"/>
      <c r="F57" s="11" t="s">
        <v>679</v>
      </c>
      <c r="G57" s="11" t="s">
        <v>687</v>
      </c>
    </row>
    <row r="58" spans="1:7" ht="25.5" x14ac:dyDescent="0.2">
      <c r="A58" s="8">
        <v>44326</v>
      </c>
      <c r="B58" s="9">
        <v>57</v>
      </c>
      <c r="C58" s="10" t="s">
        <v>686</v>
      </c>
      <c r="D58" s="9" t="s">
        <v>688</v>
      </c>
      <c r="E58" s="11" t="s">
        <v>689</v>
      </c>
      <c r="F58" s="11" t="s">
        <v>682</v>
      </c>
      <c r="G58" s="11" t="s">
        <v>683</v>
      </c>
    </row>
    <row r="59" spans="1:7" x14ac:dyDescent="0.2">
      <c r="A59" s="8">
        <v>44326</v>
      </c>
      <c r="B59" s="9">
        <v>58</v>
      </c>
      <c r="C59" s="10" t="s">
        <v>574</v>
      </c>
      <c r="D59" s="9" t="s">
        <v>539</v>
      </c>
      <c r="E59" s="10" t="s">
        <v>690</v>
      </c>
      <c r="F59" s="11" t="s">
        <v>600</v>
      </c>
      <c r="G59" s="11" t="s">
        <v>670</v>
      </c>
    </row>
    <row r="60" spans="1:7" x14ac:dyDescent="0.2">
      <c r="A60" s="8">
        <v>44326</v>
      </c>
      <c r="B60" s="9">
        <v>59</v>
      </c>
      <c r="C60" s="10" t="s">
        <v>574</v>
      </c>
      <c r="D60" s="9" t="s">
        <v>539</v>
      </c>
      <c r="E60" s="10" t="s">
        <v>691</v>
      </c>
      <c r="F60" s="11" t="s">
        <v>600</v>
      </c>
      <c r="G60" s="11" t="s">
        <v>670</v>
      </c>
    </row>
    <row r="61" spans="1:7" x14ac:dyDescent="0.2">
      <c r="A61" s="8">
        <v>44326</v>
      </c>
      <c r="B61" s="9">
        <v>60</v>
      </c>
      <c r="C61" s="10" t="s">
        <v>574</v>
      </c>
      <c r="D61" s="9" t="s">
        <v>539</v>
      </c>
      <c r="E61" t="s">
        <v>692</v>
      </c>
      <c r="F61" s="11" t="s">
        <v>536</v>
      </c>
      <c r="G61" s="11" t="s">
        <v>693</v>
      </c>
    </row>
    <row r="62" spans="1:7" x14ac:dyDescent="0.2">
      <c r="A62" s="8">
        <v>44326</v>
      </c>
      <c r="B62" s="9">
        <v>61</v>
      </c>
      <c r="C62" s="10" t="s">
        <v>574</v>
      </c>
      <c r="D62" s="9" t="s">
        <v>596</v>
      </c>
      <c r="E62" s="10" t="s">
        <v>694</v>
      </c>
      <c r="F62" s="11" t="s">
        <v>682</v>
      </c>
      <c r="G62" s="11" t="s">
        <v>695</v>
      </c>
    </row>
    <row r="63" spans="1:7" ht="38.25" x14ac:dyDescent="0.2">
      <c r="A63" s="8">
        <v>44326</v>
      </c>
      <c r="B63" s="9">
        <v>62</v>
      </c>
      <c r="C63" s="10" t="s">
        <v>574</v>
      </c>
      <c r="D63" s="9" t="s">
        <v>596</v>
      </c>
      <c r="E63" s="10" t="s">
        <v>696</v>
      </c>
      <c r="F63" s="11" t="s">
        <v>661</v>
      </c>
      <c r="G63" s="11" t="s">
        <v>697</v>
      </c>
    </row>
    <row r="64" spans="1:7" ht="25.5" x14ac:dyDescent="0.2">
      <c r="A64" s="8">
        <v>44326</v>
      </c>
      <c r="B64" s="9">
        <v>63</v>
      </c>
      <c r="C64" s="10" t="s">
        <v>574</v>
      </c>
      <c r="D64" s="9" t="s">
        <v>539</v>
      </c>
      <c r="E64" s="10" t="s">
        <v>583</v>
      </c>
      <c r="F64" s="11" t="s">
        <v>584</v>
      </c>
      <c r="G64" s="11" t="s">
        <v>698</v>
      </c>
    </row>
    <row r="65" spans="1:7" ht="25.5" x14ac:dyDescent="0.2">
      <c r="A65" s="8">
        <v>44326</v>
      </c>
      <c r="B65" s="9">
        <v>64</v>
      </c>
      <c r="C65" s="10" t="s">
        <v>574</v>
      </c>
      <c r="D65" s="9" t="s">
        <v>575</v>
      </c>
      <c r="E65" s="10" t="s">
        <v>699</v>
      </c>
      <c r="F65" s="11" t="s">
        <v>584</v>
      </c>
      <c r="G65" s="11" t="s">
        <v>698</v>
      </c>
    </row>
    <row r="66" spans="1:7" ht="25.5" x14ac:dyDescent="0.2">
      <c r="A66" s="8">
        <v>44326</v>
      </c>
      <c r="B66" s="9">
        <v>65</v>
      </c>
      <c r="C66" s="10" t="s">
        <v>700</v>
      </c>
      <c r="D66" s="9" t="s">
        <v>701</v>
      </c>
      <c r="E66" s="10" t="s">
        <v>702</v>
      </c>
      <c r="F66" s="11" t="s">
        <v>584</v>
      </c>
      <c r="G66" s="11" t="s">
        <v>698</v>
      </c>
    </row>
    <row r="67" spans="1:7" ht="51" x14ac:dyDescent="0.2">
      <c r="A67" s="8">
        <v>44326</v>
      </c>
      <c r="B67" s="9">
        <v>66</v>
      </c>
      <c r="C67" s="10" t="s">
        <v>703</v>
      </c>
      <c r="D67" s="9" t="s">
        <v>701</v>
      </c>
      <c r="E67" s="10" t="s">
        <v>652</v>
      </c>
      <c r="F67" s="11" t="s">
        <v>547</v>
      </c>
      <c r="G67" s="11" t="s">
        <v>653</v>
      </c>
    </row>
    <row r="68" spans="1:7" x14ac:dyDescent="0.2">
      <c r="A68" s="8">
        <v>44326</v>
      </c>
      <c r="B68" s="9">
        <v>67</v>
      </c>
      <c r="C68" s="10" t="s">
        <v>704</v>
      </c>
      <c r="D68" s="9"/>
      <c r="E68" s="10"/>
      <c r="F68" s="11" t="s">
        <v>679</v>
      </c>
      <c r="G68" t="s">
        <v>705</v>
      </c>
    </row>
    <row r="69" spans="1:7" ht="25.5" x14ac:dyDescent="0.2">
      <c r="A69" s="8">
        <v>44326</v>
      </c>
      <c r="B69" s="9">
        <v>68</v>
      </c>
      <c r="C69" s="10" t="s">
        <v>704</v>
      </c>
      <c r="D69" s="9"/>
      <c r="E69" s="10"/>
      <c r="F69" s="11" t="s">
        <v>706</v>
      </c>
      <c r="G69" s="11" t="s">
        <v>707</v>
      </c>
    </row>
    <row r="70" spans="1:7" ht="25.5" x14ac:dyDescent="0.2">
      <c r="A70" s="8">
        <v>44326</v>
      </c>
      <c r="B70" s="9">
        <v>69</v>
      </c>
      <c r="C70" s="10" t="s">
        <v>704</v>
      </c>
      <c r="D70" s="9">
        <v>4.0999999999999996</v>
      </c>
      <c r="E70" s="10" t="s">
        <v>708</v>
      </c>
      <c r="F70" s="11" t="s">
        <v>550</v>
      </c>
      <c r="G70" s="11" t="s">
        <v>709</v>
      </c>
    </row>
    <row r="71" spans="1:7" ht="25.5" x14ac:dyDescent="0.2">
      <c r="A71" s="8">
        <v>44326</v>
      </c>
      <c r="B71" s="9">
        <v>70</v>
      </c>
      <c r="C71" s="10" t="s">
        <v>704</v>
      </c>
      <c r="D71" s="9">
        <v>4.0999999999999996</v>
      </c>
      <c r="E71" s="10" t="s">
        <v>710</v>
      </c>
      <c r="F71" s="11" t="s">
        <v>619</v>
      </c>
      <c r="G71" s="11" t="s">
        <v>711</v>
      </c>
    </row>
    <row r="72" spans="1:7" x14ac:dyDescent="0.2">
      <c r="A72" s="8">
        <v>44326</v>
      </c>
      <c r="B72" s="9">
        <v>71</v>
      </c>
      <c r="C72" s="10" t="s">
        <v>704</v>
      </c>
      <c r="D72" s="9">
        <v>4.0999999999999996</v>
      </c>
      <c r="E72" s="10" t="s">
        <v>712</v>
      </c>
      <c r="F72" s="11" t="s">
        <v>713</v>
      </c>
      <c r="G72" s="11" t="s">
        <v>714</v>
      </c>
    </row>
    <row r="73" spans="1:7" x14ac:dyDescent="0.2">
      <c r="A73" s="8">
        <v>44326</v>
      </c>
      <c r="B73" s="9">
        <v>72</v>
      </c>
      <c r="C73" s="10" t="s">
        <v>704</v>
      </c>
      <c r="D73" s="9">
        <v>4.0999999999999996</v>
      </c>
      <c r="E73" s="10" t="s">
        <v>715</v>
      </c>
      <c r="F73" s="11" t="s">
        <v>550</v>
      </c>
      <c r="G73" s="11" t="s">
        <v>716</v>
      </c>
    </row>
    <row r="74" spans="1:7" ht="25.5" x14ac:dyDescent="0.2">
      <c r="A74" s="8">
        <v>44326</v>
      </c>
      <c r="B74" s="9">
        <v>73</v>
      </c>
      <c r="C74" s="10" t="s">
        <v>704</v>
      </c>
      <c r="D74" s="9">
        <v>4.0999999999999996</v>
      </c>
      <c r="E74" s="10" t="s">
        <v>717</v>
      </c>
      <c r="F74" s="11" t="s">
        <v>550</v>
      </c>
      <c r="G74" s="11" t="s">
        <v>718</v>
      </c>
    </row>
    <row r="75" spans="1:7" x14ac:dyDescent="0.2">
      <c r="A75" s="8">
        <v>44326</v>
      </c>
      <c r="B75" s="9">
        <v>74</v>
      </c>
      <c r="C75" s="10" t="s">
        <v>704</v>
      </c>
      <c r="D75" s="9"/>
      <c r="E75" s="10" t="s">
        <v>719</v>
      </c>
      <c r="F75" s="11" t="s">
        <v>600</v>
      </c>
      <c r="G75" s="11" t="s">
        <v>720</v>
      </c>
    </row>
    <row r="76" spans="1:7" ht="38.25" x14ac:dyDescent="0.2">
      <c r="A76" s="8">
        <v>44326</v>
      </c>
      <c r="B76" s="9">
        <v>75</v>
      </c>
      <c r="C76" s="10" t="s">
        <v>721</v>
      </c>
      <c r="D76" s="9">
        <v>5.0999999999999996</v>
      </c>
      <c r="E76" s="10" t="s">
        <v>722</v>
      </c>
      <c r="F76" s="11" t="s">
        <v>723</v>
      </c>
      <c r="G76" s="11" t="s">
        <v>724</v>
      </c>
    </row>
    <row r="77" spans="1:7" ht="38.25" x14ac:dyDescent="0.2">
      <c r="A77" s="8">
        <v>44326</v>
      </c>
      <c r="B77" s="9">
        <v>76</v>
      </c>
      <c r="C77" s="10" t="s">
        <v>721</v>
      </c>
      <c r="D77" s="9">
        <v>5.0999999999999996</v>
      </c>
      <c r="E77" s="10" t="s">
        <v>725</v>
      </c>
      <c r="F77" s="11" t="s">
        <v>723</v>
      </c>
      <c r="G77" s="11" t="s">
        <v>726</v>
      </c>
    </row>
    <row r="78" spans="1:7" ht="25.5" x14ac:dyDescent="0.2">
      <c r="A78" s="8">
        <v>44326</v>
      </c>
      <c r="B78" s="9">
        <v>77</v>
      </c>
      <c r="C78" s="10" t="s">
        <v>721</v>
      </c>
      <c r="D78" s="9">
        <v>5.0999999999999996</v>
      </c>
      <c r="E78" s="10" t="s">
        <v>727</v>
      </c>
      <c r="F78" s="11" t="s">
        <v>667</v>
      </c>
      <c r="G78" s="11" t="s">
        <v>728</v>
      </c>
    </row>
    <row r="79" spans="1:7" ht="25.5" x14ac:dyDescent="0.2">
      <c r="A79" s="8">
        <v>44326</v>
      </c>
      <c r="B79" s="9">
        <v>78</v>
      </c>
      <c r="C79" s="10" t="s">
        <v>721</v>
      </c>
      <c r="D79" s="9">
        <v>5.0999999999999996</v>
      </c>
      <c r="E79" s="10" t="s">
        <v>729</v>
      </c>
      <c r="F79" s="11" t="s">
        <v>544</v>
      </c>
      <c r="G79" s="325" t="s">
        <v>730</v>
      </c>
    </row>
    <row r="80" spans="1:7" ht="38.25" x14ac:dyDescent="0.2">
      <c r="A80" s="8">
        <v>44326</v>
      </c>
      <c r="B80" s="9">
        <v>79</v>
      </c>
      <c r="C80" s="10" t="s">
        <v>721</v>
      </c>
      <c r="D80" s="9">
        <v>5.0999999999999996</v>
      </c>
      <c r="E80" s="325" t="s">
        <v>731</v>
      </c>
      <c r="F80" s="325" t="s">
        <v>732</v>
      </c>
      <c r="G80" s="325" t="s">
        <v>733</v>
      </c>
    </row>
    <row r="81" spans="1:7" ht="38.25" x14ac:dyDescent="0.2">
      <c r="A81" s="8">
        <v>44326</v>
      </c>
      <c r="B81" s="9">
        <v>80</v>
      </c>
      <c r="C81" s="10" t="s">
        <v>734</v>
      </c>
      <c r="D81" s="9"/>
      <c r="E81" s="10"/>
      <c r="F81" s="11" t="s">
        <v>682</v>
      </c>
      <c r="G81" s="11" t="s">
        <v>735</v>
      </c>
    </row>
    <row r="82" spans="1:7" x14ac:dyDescent="0.2">
      <c r="A82" s="10"/>
      <c r="B82" s="9"/>
      <c r="C82" s="10"/>
      <c r="D82" s="9"/>
      <c r="E82" s="10"/>
      <c r="F82" s="10"/>
      <c r="G82" s="10"/>
    </row>
    <row r="83" spans="1:7" x14ac:dyDescent="0.2">
      <c r="A83" s="10"/>
      <c r="B83" s="9"/>
      <c r="C83" s="10"/>
      <c r="D83" s="9"/>
      <c r="E83" s="10"/>
      <c r="F83" s="11"/>
      <c r="G83" s="11"/>
    </row>
    <row r="84" spans="1:7" x14ac:dyDescent="0.2">
      <c r="A84" s="10"/>
      <c r="B84" s="9"/>
      <c r="C84" s="10"/>
      <c r="D84" s="9"/>
      <c r="E84" s="10"/>
      <c r="F84" s="11"/>
      <c r="G84" s="11"/>
    </row>
    <row r="85" spans="1:7" x14ac:dyDescent="0.2">
      <c r="A85" s="10"/>
      <c r="B85" s="9"/>
      <c r="C85" s="10"/>
      <c r="D85" s="9"/>
      <c r="E85" s="10"/>
      <c r="F85" s="11"/>
      <c r="G85" s="11"/>
    </row>
    <row r="86" spans="1:7" x14ac:dyDescent="0.2">
      <c r="A86" s="10"/>
      <c r="B86" s="9"/>
      <c r="C86" s="10"/>
      <c r="D86" s="9"/>
      <c r="E86" s="10"/>
      <c r="F86" s="11"/>
      <c r="G86" s="11"/>
    </row>
    <row r="87" spans="1:7" x14ac:dyDescent="0.2">
      <c r="A87" s="10"/>
      <c r="B87" s="9"/>
      <c r="C87" s="10"/>
      <c r="D87" s="9"/>
      <c r="E87" s="10"/>
      <c r="F87" s="11"/>
      <c r="G87" s="11"/>
    </row>
    <row r="88" spans="1:7" x14ac:dyDescent="0.2">
      <c r="A88" s="10"/>
      <c r="B88" s="9"/>
      <c r="C88" s="10"/>
      <c r="D88" s="9"/>
      <c r="E88" s="10"/>
      <c r="F88" s="11"/>
      <c r="G88" s="11"/>
    </row>
    <row r="89" spans="1:7" x14ac:dyDescent="0.2">
      <c r="A89" s="10"/>
      <c r="B89" s="9"/>
      <c r="C89" s="10"/>
      <c r="D89" s="9"/>
      <c r="E89" s="10"/>
      <c r="F89" s="11"/>
      <c r="G89" s="11"/>
    </row>
    <row r="90" spans="1:7" x14ac:dyDescent="0.2">
      <c r="A90" s="10"/>
      <c r="B90" s="9"/>
      <c r="C90" s="10"/>
      <c r="D90" s="9"/>
      <c r="E90" s="10"/>
      <c r="F90" s="11"/>
      <c r="G90" s="11"/>
    </row>
    <row r="91" spans="1:7" x14ac:dyDescent="0.2">
      <c r="A91" s="10"/>
      <c r="B91" s="9"/>
      <c r="C91" s="10"/>
      <c r="D91" s="9"/>
      <c r="E91" s="10"/>
      <c r="F91" s="11"/>
      <c r="G91" s="11"/>
    </row>
    <row r="92" spans="1:7" x14ac:dyDescent="0.2">
      <c r="A92" s="10"/>
      <c r="B92" s="9"/>
      <c r="C92" s="10"/>
      <c r="D92" s="9"/>
      <c r="E92" s="10"/>
      <c r="F92" s="11"/>
      <c r="G92" s="11"/>
    </row>
    <row r="93" spans="1:7" x14ac:dyDescent="0.2">
      <c r="A93" s="10"/>
      <c r="B93" s="9"/>
      <c r="C93" s="10"/>
      <c r="D93" s="9"/>
      <c r="E93" s="10"/>
      <c r="F93" s="11"/>
      <c r="G93" s="11"/>
    </row>
    <row r="94" spans="1:7" x14ac:dyDescent="0.2">
      <c r="A94" s="10"/>
      <c r="B94" s="9"/>
      <c r="C94" s="10"/>
      <c r="D94" s="9"/>
      <c r="E94" s="10"/>
      <c r="F94" s="11"/>
      <c r="G94" s="11"/>
    </row>
    <row r="95" spans="1:7" x14ac:dyDescent="0.2">
      <c r="A95" s="10"/>
      <c r="B95" s="9"/>
      <c r="C95" s="10"/>
      <c r="D95" s="9"/>
      <c r="E95" s="10"/>
      <c r="F95" s="11"/>
      <c r="G95" s="11"/>
    </row>
    <row r="96" spans="1:7" x14ac:dyDescent="0.2">
      <c r="A96" s="10"/>
      <c r="B96" s="9"/>
      <c r="C96" s="10"/>
      <c r="D96" s="9"/>
      <c r="E96" s="10"/>
      <c r="F96" s="11"/>
      <c r="G96" s="11"/>
    </row>
    <row r="97" spans="1:7" x14ac:dyDescent="0.2">
      <c r="A97" s="10"/>
      <c r="B97" s="9"/>
      <c r="C97" s="10"/>
      <c r="D97" s="9"/>
      <c r="E97" s="10"/>
      <c r="F97" s="11"/>
      <c r="G97" s="11"/>
    </row>
    <row r="98" spans="1:7" x14ac:dyDescent="0.2">
      <c r="A98" s="10"/>
      <c r="B98" s="9"/>
      <c r="C98" s="10"/>
      <c r="D98" s="9"/>
      <c r="E98" s="10"/>
      <c r="F98" s="11"/>
      <c r="G98" s="11"/>
    </row>
    <row r="99" spans="1:7" x14ac:dyDescent="0.2">
      <c r="A99" s="10"/>
      <c r="B99" s="9"/>
      <c r="C99" s="10"/>
      <c r="D99" s="9"/>
      <c r="E99" s="10"/>
      <c r="F99" s="11"/>
      <c r="G99" s="11"/>
    </row>
    <row r="100" spans="1:7" x14ac:dyDescent="0.2">
      <c r="A100" s="10"/>
      <c r="B100" s="9"/>
      <c r="C100" s="10"/>
      <c r="D100" s="9"/>
      <c r="E100" s="10"/>
      <c r="F100" s="11"/>
      <c r="G100" s="11"/>
    </row>
    <row r="101" spans="1:7" x14ac:dyDescent="0.2">
      <c r="A101" s="10"/>
      <c r="B101" s="9"/>
      <c r="C101" s="10"/>
      <c r="D101" s="9"/>
      <c r="E101" s="10"/>
      <c r="F101" s="11"/>
      <c r="G101" s="11"/>
    </row>
    <row r="102" spans="1:7" x14ac:dyDescent="0.2">
      <c r="A102" s="10"/>
      <c r="B102" s="9"/>
      <c r="C102" s="10"/>
      <c r="D102" s="9"/>
      <c r="E102" s="10"/>
      <c r="F102" s="11"/>
      <c r="G102" s="11"/>
    </row>
    <row r="103" spans="1:7" x14ac:dyDescent="0.2">
      <c r="A103" s="10"/>
      <c r="B103" s="9"/>
      <c r="C103" s="10"/>
      <c r="D103" s="9"/>
      <c r="E103" s="10"/>
      <c r="F103" s="11"/>
      <c r="G103" s="11"/>
    </row>
    <row r="104" spans="1:7" x14ac:dyDescent="0.2">
      <c r="A104" s="10"/>
      <c r="B104" s="9"/>
      <c r="C104" s="10"/>
      <c r="D104" s="9"/>
      <c r="E104" s="10"/>
      <c r="F104" s="11"/>
      <c r="G104" s="11"/>
    </row>
    <row r="105" spans="1:7" x14ac:dyDescent="0.2">
      <c r="A105" s="10"/>
      <c r="B105" s="9"/>
      <c r="C105" s="10"/>
      <c r="D105" s="9"/>
      <c r="E105" s="10"/>
      <c r="F105" s="11"/>
      <c r="G105" s="11"/>
    </row>
    <row r="106" spans="1:7" x14ac:dyDescent="0.2">
      <c r="A106" s="10"/>
      <c r="B106" s="9"/>
      <c r="C106" s="10"/>
      <c r="D106" s="9"/>
      <c r="E106" s="10"/>
      <c r="F106" s="11"/>
      <c r="G106" s="11"/>
    </row>
    <row r="107" spans="1:7" x14ac:dyDescent="0.2">
      <c r="A107" s="10"/>
      <c r="B107" s="9"/>
      <c r="C107" s="10"/>
      <c r="D107" s="9"/>
      <c r="E107" s="10"/>
      <c r="F107" s="11"/>
      <c r="G107" s="11"/>
    </row>
    <row r="108" spans="1:7" x14ac:dyDescent="0.2">
      <c r="A108" s="10"/>
      <c r="B108" s="9"/>
      <c r="C108" s="10"/>
      <c r="D108" s="9"/>
      <c r="E108" s="10"/>
      <c r="F108" s="11"/>
      <c r="G108" s="11"/>
    </row>
    <row r="109" spans="1:7" x14ac:dyDescent="0.2">
      <c r="A109" s="10"/>
      <c r="B109" s="9"/>
      <c r="C109" s="10"/>
      <c r="D109" s="9"/>
      <c r="E109" s="10"/>
      <c r="F109" s="11"/>
      <c r="G109" s="11"/>
    </row>
    <row r="110" spans="1:7" x14ac:dyDescent="0.2">
      <c r="A110" s="10"/>
      <c r="B110" s="9"/>
      <c r="C110" s="10"/>
      <c r="D110" s="9"/>
      <c r="E110" s="10"/>
      <c r="F110" s="11"/>
      <c r="G110" s="11"/>
    </row>
    <row r="111" spans="1:7" x14ac:dyDescent="0.2">
      <c r="A111" s="10"/>
      <c r="B111" s="9"/>
      <c r="C111" s="10"/>
      <c r="D111" s="9"/>
      <c r="E111" s="10"/>
      <c r="F111" s="11"/>
      <c r="G111" s="11"/>
    </row>
    <row r="112" spans="1:7" x14ac:dyDescent="0.2">
      <c r="A112" s="10"/>
      <c r="B112" s="9"/>
      <c r="C112" s="10"/>
      <c r="D112" s="9"/>
      <c r="E112" s="10"/>
      <c r="F112" s="11"/>
      <c r="G112" s="11"/>
    </row>
    <row r="113" spans="1:7" x14ac:dyDescent="0.2">
      <c r="A113" s="10"/>
      <c r="B113" s="9"/>
      <c r="C113" s="10"/>
      <c r="D113" s="9"/>
      <c r="E113" s="10"/>
      <c r="F113" s="11"/>
      <c r="G113" s="11"/>
    </row>
    <row r="114" spans="1:7" x14ac:dyDescent="0.2">
      <c r="A114" s="10"/>
      <c r="B114" s="9"/>
      <c r="C114" s="10"/>
      <c r="D114" s="9"/>
      <c r="E114" s="10"/>
      <c r="F114" s="11"/>
      <c r="G114" s="11"/>
    </row>
    <row r="115" spans="1:7" x14ac:dyDescent="0.2">
      <c r="A115" s="10"/>
      <c r="B115" s="9"/>
      <c r="C115" s="10"/>
      <c r="D115" s="9"/>
      <c r="E115" s="10"/>
      <c r="F115" s="11"/>
      <c r="G115" s="11"/>
    </row>
    <row r="116" spans="1:7" x14ac:dyDescent="0.2">
      <c r="A116" s="10"/>
      <c r="B116" s="9"/>
      <c r="C116" s="10"/>
      <c r="D116" s="9"/>
      <c r="E116" s="10"/>
      <c r="F116" s="11"/>
      <c r="G116" s="11"/>
    </row>
    <row r="117" spans="1:7" x14ac:dyDescent="0.2">
      <c r="A117" s="10"/>
      <c r="B117" s="9"/>
      <c r="C117" s="10"/>
      <c r="D117" s="9"/>
      <c r="E117" s="10"/>
      <c r="F117" s="11"/>
      <c r="G117" s="11"/>
    </row>
    <row r="118" spans="1:7" x14ac:dyDescent="0.2">
      <c r="A118" s="10"/>
      <c r="B118" s="9"/>
      <c r="C118" s="10"/>
      <c r="D118" s="9"/>
      <c r="E118" s="10"/>
      <c r="F118" s="11"/>
      <c r="G118" s="11"/>
    </row>
    <row r="119" spans="1:7" x14ac:dyDescent="0.2">
      <c r="A119" s="10"/>
      <c r="B119" s="9"/>
      <c r="C119" s="10"/>
      <c r="D119" s="9"/>
      <c r="E119" s="10"/>
      <c r="F119" s="11"/>
      <c r="G119" s="11"/>
    </row>
    <row r="120" spans="1:7" x14ac:dyDescent="0.2">
      <c r="A120" s="10"/>
      <c r="B120" s="9"/>
      <c r="C120" s="10"/>
      <c r="D120" s="9"/>
      <c r="E120" s="10"/>
      <c r="F120" s="10"/>
      <c r="G120" s="10"/>
    </row>
    <row r="121" spans="1:7" x14ac:dyDescent="0.2">
      <c r="A121" s="10"/>
      <c r="B121" s="9"/>
      <c r="C121" s="10"/>
      <c r="D121" s="9"/>
      <c r="E121" s="10"/>
      <c r="F121" s="10"/>
      <c r="G121" s="10"/>
    </row>
    <row r="122" spans="1:7" x14ac:dyDescent="0.2">
      <c r="A122" s="10"/>
      <c r="B122" s="9"/>
      <c r="C122" s="10"/>
      <c r="D122" s="9"/>
      <c r="E122" s="10"/>
      <c r="F122" s="10"/>
      <c r="G122" s="10"/>
    </row>
    <row r="123" spans="1:7" x14ac:dyDescent="0.2">
      <c r="A123" s="10"/>
      <c r="B123" s="9"/>
      <c r="C123" s="10"/>
      <c r="D123" s="9"/>
      <c r="E123" s="10"/>
      <c r="F123" s="10"/>
      <c r="G123" s="10"/>
    </row>
  </sheetData>
  <pageMargins left="0.7" right="0.7" top="0.75" bottom="0.75" header="0.3" footer="0.3"/>
  <pageSetup paperSize="9" orientation="portrait" r:id="rId1"/>
  <headerFooter>
    <oddFooter>&amp;C_x000D_&amp;1#&amp;"Calibri"&amp;10&amp;K008000 APA-INTERNAL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749f095ec6c1130b4dff2afd90042d8">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0cbdaff6d6ee3764630b5f6ade14c026"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04da589-9a5f-45d1-b9c9-18eae98c3af3">
      <Terms xmlns="http://schemas.microsoft.com/office/infopath/2007/PartnerControls"/>
    </lcf76f155ced4ddcb4097134ff3c332f>
    <_ip_UnifiedCompliancePolicyProperties xmlns="http://schemas.microsoft.com/sharepoint/v3" xsi:nil="true"/>
    <TaxCatchAll xmlns="68339cd5-4ed0-4715-a10c-fb6cfca0aa9a" xsi:nil="true"/>
  </documentManagement>
</p:properties>
</file>

<file path=customXml/itemProps1.xml><?xml version="1.0" encoding="utf-8"?>
<ds:datastoreItem xmlns:ds="http://schemas.openxmlformats.org/officeDocument/2006/customXml" ds:itemID="{8D175E1A-4C57-4CFF-BC64-789D303700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da589-9a5f-45d1-b9c9-18eae98c3af3"/>
    <ds:schemaRef ds:uri="68339cd5-4ed0-4715-a10c-fb6cfca0aa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195726-0548-4EDB-9333-ED3EAB155209}">
  <ds:schemaRefs>
    <ds:schemaRef ds:uri="http://schemas.microsoft.com/sharepoint/v3/contenttype/forms"/>
  </ds:schemaRefs>
</ds:datastoreItem>
</file>

<file path=customXml/itemProps3.xml><?xml version="1.0" encoding="utf-8"?>
<ds:datastoreItem xmlns:ds="http://schemas.openxmlformats.org/officeDocument/2006/customXml" ds:itemID="{0B68A171-E9FE-4695-BD17-2CA25F4CC485}">
  <ds:schemaRefs>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purl.org/dc/terms/"/>
    <ds:schemaRef ds:uri="http://schemas.openxmlformats.org/package/2006/metadata/core-properties"/>
    <ds:schemaRef ds:uri="68339cd5-4ed0-4715-a10c-fb6cfca0aa9a"/>
    <ds:schemaRef ds:uri="704da589-9a5f-45d1-b9c9-18eae98c3af3"/>
    <ds:schemaRef ds:uri="http://schemas.microsoft.com/sharepoint/v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28</vt:i4>
      </vt:variant>
      <vt:variant>
        <vt:lpstr>Named Ranges</vt:lpstr>
      </vt:variant>
      <vt:variant>
        <vt:i4>28</vt:i4>
      </vt:variant>
    </vt:vector>
  </HeadingPairs>
  <TitlesOfParts>
    <vt:vector size="56" baseType="lpstr">
      <vt:lpstr>Cover</vt:lpstr>
      <vt:lpstr>Contents</vt:lpstr>
      <vt:lpstr>Financial summary</vt:lpstr>
      <vt:lpstr>Data visualisation</vt:lpstr>
      <vt:lpstr>Pricing benchmarks summary</vt:lpstr>
      <vt:lpstr>1. Pipeline information</vt:lpstr>
      <vt:lpstr>2. Revenue and expenses</vt:lpstr>
      <vt:lpstr>2.1 Profit &amp; Loss by component</vt:lpstr>
      <vt:lpstr>2.2 Allocation to services</vt:lpstr>
      <vt:lpstr>2.3 Revenue contributions </vt:lpstr>
      <vt:lpstr>2.4 Indirect revenue</vt:lpstr>
      <vt:lpstr>2.5 Shared expenses</vt:lpstr>
      <vt:lpstr>3.1 Depreciated Book Value</vt:lpstr>
      <vt:lpstr>3.2 Regulatory Asset Base</vt:lpstr>
      <vt:lpstr>3.3 Asset useful life</vt:lpstr>
      <vt:lpstr>3.4 Asset impairment</vt:lpstr>
      <vt:lpstr>3.5 Depreciation amortisation</vt:lpstr>
      <vt:lpstr>3.6 Shared supporting assets</vt:lpstr>
      <vt:lpstr>Auditor's Report Statement</vt:lpstr>
      <vt:lpstr>4. Recovered Capital</vt:lpstr>
      <vt:lpstr>4.1 Pipelines capex</vt:lpstr>
      <vt:lpstr>Auditor's Review Report Capex</vt:lpstr>
      <vt:lpstr>5. Historical demand</vt:lpstr>
      <vt:lpstr>Auditor's Review Report Demand</vt:lpstr>
      <vt:lpstr>6. Pricing template</vt:lpstr>
      <vt:lpstr>7. Amendment record</vt:lpstr>
      <vt:lpstr>Sheet1</vt:lpstr>
      <vt:lpstr>Amendment record</vt:lpstr>
      <vt:lpstr>ABN</vt:lpstr>
      <vt:lpstr>'1. Pipeline information'!Print_Area</vt:lpstr>
      <vt:lpstr>'2. Revenue and expenses'!Print_Area</vt:lpstr>
      <vt:lpstr>'2.1 Profit &amp; Loss by component'!Print_Area</vt:lpstr>
      <vt:lpstr>'2.2 Allocation to services'!Print_Area</vt:lpstr>
      <vt:lpstr>'2.3 Revenue contributions '!Print_Area</vt:lpstr>
      <vt:lpstr>'2.4 Indirect revenue'!Print_Area</vt:lpstr>
      <vt:lpstr>'2.5 Shared expenses'!Print_Area</vt:lpstr>
      <vt:lpstr>'3.1 Depreciated Book Value'!Print_Area</vt:lpstr>
      <vt:lpstr>'3.2 Regulatory Asset Base'!Print_Area</vt:lpstr>
      <vt:lpstr>'3.3 Asset useful life'!Print_Area</vt:lpstr>
      <vt:lpstr>'3.4 Asset impairment'!Print_Area</vt:lpstr>
      <vt:lpstr>'3.5 Depreciation amortisation'!Print_Area</vt:lpstr>
      <vt:lpstr>'3.6 Shared supporting assets'!Print_Area</vt:lpstr>
      <vt:lpstr>'4. Recovered Capital'!Print_Area</vt:lpstr>
      <vt:lpstr>'4.1 Pipelines capex'!Print_Area</vt:lpstr>
      <vt:lpstr>'5. Historical demand'!Print_Area</vt:lpstr>
      <vt:lpstr>Cover!Print_Area</vt:lpstr>
      <vt:lpstr>'Data visualisation'!Print_Area</vt:lpstr>
      <vt:lpstr>Sheet1!Print_Area</vt:lpstr>
      <vt:lpstr>rAllAssets</vt:lpstr>
      <vt:lpstr>rInitialcosts</vt:lpstr>
      <vt:lpstr>rInitialyears</vt:lpstr>
      <vt:lpstr>rPipelineAssets</vt:lpstr>
      <vt:lpstr>rSharedAssets</vt:lpstr>
      <vt:lpstr>Tradingname</vt:lpstr>
      <vt:lpstr>Yearending</vt:lpstr>
      <vt:lpstr>Yearstart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Zhang, Cathy</dc:creator>
  <cp:keywords/>
  <dc:description/>
  <cp:lastModifiedBy>Chai, Melvin</cp:lastModifiedBy>
  <cp:revision/>
  <dcterms:created xsi:type="dcterms:W3CDTF">2021-05-07T02:14:11Z</dcterms:created>
  <dcterms:modified xsi:type="dcterms:W3CDTF">2026-09-14T06:00:21Z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2023-10-06T00:12:00Z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0a0f773b-a259-4d79-90b4-dbf8487c7a20</vt:lpwstr>
  </property>
  <property fmtid="{D5CDD505-2E9C-101B-9397-08002B2CF9AE}" pid="8" name="MSIP_Label_ea60d57e-af5b-4752-ac57-3e4f28ca11dc_ContentBits">
    <vt:lpwstr>0</vt:lpwstr>
  </property>
  <property fmtid="{D5CDD505-2E9C-101B-9397-08002B2CF9AE}" pid="9" name="MSIP_Label_8e2e509a-f02b-496b-97a8-09ffbb9893ea_Enabled">
    <vt:lpwstr>true</vt:lpwstr>
  </property>
  <property fmtid="{D5CDD505-2E9C-101B-9397-08002B2CF9AE}" pid="10" name="MSIP_Label_8e2e509a-f02b-496b-97a8-09ffbb9893ea_SetDate">
    <vt:lpwstr>2025-09-08T00:57:17Z</vt:lpwstr>
  </property>
  <property fmtid="{D5CDD505-2E9C-101B-9397-08002B2CF9AE}" pid="11" name="MSIP_Label_8e2e509a-f02b-496b-97a8-09ffbb9893ea_Method">
    <vt:lpwstr>Privileged</vt:lpwstr>
  </property>
  <property fmtid="{D5CDD505-2E9C-101B-9397-08002B2CF9AE}" pid="12" name="MSIP_Label_8e2e509a-f02b-496b-97a8-09ffbb9893ea_Name">
    <vt:lpwstr>APA-Internal</vt:lpwstr>
  </property>
  <property fmtid="{D5CDD505-2E9C-101B-9397-08002B2CF9AE}" pid="13" name="MSIP_Label_8e2e509a-f02b-496b-97a8-09ffbb9893ea_SiteId">
    <vt:lpwstr>234ac309-c216-4661-a5ba-18879f6c4c75</vt:lpwstr>
  </property>
  <property fmtid="{D5CDD505-2E9C-101B-9397-08002B2CF9AE}" pid="14" name="MSIP_Label_8e2e509a-f02b-496b-97a8-09ffbb9893ea_ActionId">
    <vt:lpwstr>4816214b-d3af-41d4-961b-6a61f4efd0c2</vt:lpwstr>
  </property>
  <property fmtid="{D5CDD505-2E9C-101B-9397-08002B2CF9AE}" pid="15" name="MSIP_Label_8e2e509a-f02b-496b-97a8-09ffbb9893ea_ContentBits">
    <vt:lpwstr>2</vt:lpwstr>
  </property>
  <property fmtid="{D5CDD505-2E9C-101B-9397-08002B2CF9AE}" pid="16" name="MSIP_Label_8e2e509a-f02b-496b-97a8-09ffbb9893ea_Tag">
    <vt:lpwstr>10, 0, 1, 1</vt:lpwstr>
  </property>
  <property fmtid="{D5CDD505-2E9C-101B-9397-08002B2CF9AE}" pid="17" name="MediaServiceImageTags">
    <vt:lpwstr/>
  </property>
  <property fmtid="{D5CDD505-2E9C-101B-9397-08002B2CF9AE}" pid="18" name="ContentTypeId">
    <vt:lpwstr>0x0101009441C17B6C006147B9AF9AD50D625621</vt:lpwstr>
  </property>
</Properties>
</file>