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drawings/drawing25.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8. CWP/z. Submission/"/>
    </mc:Choice>
  </mc:AlternateContent>
  <xr:revisionPtr revIDLastSave="466" documentId="13_ncr:1_{3E5566B4-C4F4-497E-A688-81277CF6270C}" xr6:coauthVersionLast="47" xr6:coauthVersionMax="47" xr10:uidLastSave="{C98EC4A1-91FB-46A7-BAEA-43F7A02C5D5C}"/>
  <bookViews>
    <workbookView xWindow="-120" yWindow="-120" windowWidth="51840" windowHeight="21120" tabRatio="84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1" r:id="rId19"/>
    <sheet name="4. Recovered Capital" sheetId="47" r:id="rId20"/>
    <sheet name="4.1 Pipelines capex" sheetId="66" r:id="rId21"/>
    <sheet name="Auditor's Review Report Capex" sheetId="122" r:id="rId22"/>
    <sheet name="5. Historical demand" sheetId="74" r:id="rId23"/>
    <sheet name="Auditor's Review Report Demand" sheetId="123" r:id="rId24"/>
    <sheet name="6. Pricing template" sheetId="80" r:id="rId25"/>
    <sheet name="7. Amendment record" sheetId="90" r:id="rId26"/>
    <sheet name="E1. Revenue Data (NIU)" sheetId="95" state="hidden" r:id="rId27"/>
    <sheet name="F2. PPE FY24" sheetId="111" state="hidden" r:id="rId28"/>
    <sheet name="F2. PPE Acquisition date" sheetId="106" state="hidden" r:id="rId29"/>
    <sheet name="G3. Leased asset" sheetId="113" state="hidden" r:id="rId30"/>
    <sheet name="L1. Spare" sheetId="110" state="hidden" r:id="rId31"/>
    <sheet name="Sheet1" sheetId="86" state="hidden" r:id="rId32"/>
    <sheet name="Amendment record" sheetId="67" state="hidden" r:id="rId33"/>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31">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34" l="1"/>
  <c r="F22" i="34"/>
  <c r="E22" i="34"/>
  <c r="F66" i="34"/>
  <c r="E67" i="34"/>
  <c r="E66" i="34"/>
  <c r="B10" i="95" l="1"/>
  <c r="M30" i="113" l="1"/>
  <c r="V26" i="113"/>
  <c r="E23" i="34" l="1"/>
  <c r="E21" i="34"/>
  <c r="E20" i="34"/>
  <c r="E19" i="34"/>
  <c r="E18" i="34"/>
  <c r="E17" i="34"/>
  <c r="E16" i="34"/>
  <c r="E15" i="34"/>
  <c r="J38" i="113" l="1"/>
  <c r="J37" i="113" s="1"/>
  <c r="P24" i="113" l="1"/>
  <c r="L25" i="113" s="1"/>
  <c r="P25" i="113" s="1"/>
  <c r="L26" i="113" s="1"/>
  <c r="P26" i="113" s="1"/>
  <c r="L27" i="113" s="1"/>
  <c r="P23" i="113" l="1"/>
  <c r="J24" i="113" l="1"/>
  <c r="G25" i="113" s="1"/>
  <c r="J25" i="113" s="1"/>
  <c r="Q25" i="113" s="1"/>
  <c r="J23" i="113"/>
  <c r="Q23" i="113" s="1"/>
  <c r="P27" i="113"/>
  <c r="S28" i="113"/>
  <c r="D30" i="113"/>
  <c r="B1" i="113"/>
  <c r="L28" i="113" l="1"/>
  <c r="G26" i="113"/>
  <c r="Q24" i="113"/>
  <c r="J26" i="113" l="1"/>
  <c r="D26" i="113"/>
  <c r="Q26" i="113" l="1"/>
  <c r="G27" i="113"/>
  <c r="J39" i="113" s="1"/>
  <c r="D27" i="113" l="1"/>
  <c r="J27" i="113"/>
  <c r="G28" i="113" s="1"/>
  <c r="Q27" i="113" l="1"/>
  <c r="O28" i="113"/>
  <c r="O30" i="113" s="1"/>
  <c r="N28" i="113"/>
  <c r="H28" i="113"/>
  <c r="I28" i="113"/>
  <c r="I30" i="113" s="1"/>
  <c r="P28" i="113" l="1"/>
  <c r="D28" i="113"/>
  <c r="H30" i="113"/>
  <c r="J30" i="113" s="1"/>
  <c r="N30" i="113"/>
  <c r="Q30" i="113" l="1"/>
  <c r="T30" i="113" l="1"/>
  <c r="A1" i="111" l="1"/>
  <c r="L28" i="111" l="1"/>
  <c r="H28" i="111"/>
  <c r="K30" i="111"/>
  <c r="J30" i="111"/>
  <c r="I30" i="111"/>
  <c r="G30" i="111"/>
  <c r="F30" i="111"/>
  <c r="D30" i="111"/>
  <c r="L30" i="111" l="1"/>
  <c r="H30" i="111"/>
  <c r="E30" i="111"/>
  <c r="M28" i="111"/>
  <c r="M30" i="111" s="1"/>
  <c r="F23" i="34" l="1"/>
  <c r="F21" i="34"/>
  <c r="F18" i="34"/>
  <c r="F17" i="34"/>
  <c r="F15" i="34"/>
  <c r="F20" i="34"/>
  <c r="F19" i="34"/>
  <c r="F16" i="34"/>
  <c r="G9" i="106" l="1"/>
  <c r="G7" i="106"/>
  <c r="G14" i="106"/>
  <c r="G11" i="106"/>
  <c r="G8" i="106"/>
  <c r="G15" i="106"/>
  <c r="G13" i="106"/>
  <c r="G10" i="106"/>
  <c r="G12" i="106"/>
  <c r="G17" i="106" l="1"/>
  <c r="D130" i="6" l="1"/>
  <c r="E15" i="87"/>
  <c r="D15" i="87"/>
  <c r="F15" i="87"/>
  <c r="G15" i="87"/>
  <c r="H15" i="87"/>
  <c r="B16" i="44"/>
  <c r="B15" i="44"/>
  <c r="D118" i="6"/>
  <c r="D116" i="6"/>
  <c r="D114" i="6"/>
  <c r="D110" i="6"/>
  <c r="D108" i="6"/>
  <c r="D95" i="6"/>
  <c r="D94" i="6"/>
  <c r="D93" i="6" s="1"/>
  <c r="D92" i="6"/>
  <c r="D91" i="6"/>
  <c r="D90"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2" i="6" s="1"/>
  <c r="D20" i="6"/>
  <c r="D19" i="6"/>
  <c r="D18" i="6"/>
  <c r="G98" i="66"/>
  <c r="E73" i="66"/>
  <c r="E41" i="66"/>
  <c r="E14" i="47"/>
  <c r="G46" i="59"/>
  <c r="E47" i="59"/>
  <c r="I84" i="34"/>
  <c r="P59" i="34"/>
  <c r="O59" i="34"/>
  <c r="K59" i="34"/>
  <c r="J59" i="34"/>
  <c r="I59" i="34"/>
  <c r="H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E120" i="6"/>
  <c r="D102" i="6"/>
  <c r="E102" i="6"/>
  <c r="E96" i="6"/>
  <c r="E88" i="6"/>
  <c r="E80" i="6"/>
  <c r="E73" i="6"/>
  <c r="E65" i="6"/>
  <c r="E57" i="6"/>
  <c r="E49" i="6"/>
  <c r="E41" i="6"/>
  <c r="E33" i="6"/>
  <c r="E21" i="6"/>
  <c r="E25" i="6" s="1"/>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G18" i="76"/>
  <c r="I23" i="56" s="1"/>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G32" i="76"/>
  <c r="I66" i="56" s="1"/>
  <c r="H32" i="76"/>
  <c r="J66" i="56" s="1"/>
  <c r="I41" i="76"/>
  <c r="I40" i="76"/>
  <c r="I39" i="76"/>
  <c r="I38" i="76"/>
  <c r="I36" i="76"/>
  <c r="I35" i="76"/>
  <c r="I34" i="76"/>
  <c r="I31" i="76"/>
  <c r="I30" i="76"/>
  <c r="I29" i="76"/>
  <c r="I28" i="76"/>
  <c r="I27" i="76"/>
  <c r="I26" i="76"/>
  <c r="I25" i="76"/>
  <c r="I24" i="76"/>
  <c r="H43" i="76"/>
  <c r="J90" i="56" s="1"/>
  <c r="C42" i="74"/>
  <c r="C26" i="74" s="1"/>
  <c r="H149"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4" i="34"/>
  <c r="N24" i="34" s="1"/>
  <c r="Q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E104" i="80" l="1"/>
  <c r="F116" i="80"/>
  <c r="E79" i="80"/>
  <c r="H137" i="80"/>
  <c r="I37" i="45"/>
  <c r="I21" i="45"/>
  <c r="I35" i="45"/>
  <c r="I19" i="45"/>
  <c r="I23" i="45"/>
  <c r="I39" i="45"/>
  <c r="AL29" i="47"/>
  <c r="BA29" i="47"/>
  <c r="J30" i="16"/>
  <c r="AK37" i="47"/>
  <c r="BC37" i="47"/>
  <c r="E18" i="76"/>
  <c r="F23" i="56" s="1"/>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N59" i="34"/>
  <c r="Q15" i="34"/>
  <c r="Q59" i="34" s="1"/>
  <c r="L59" i="34"/>
  <c r="D96" i="6"/>
  <c r="D65" i="6"/>
  <c r="E103" i="6"/>
  <c r="D21" i="6"/>
  <c r="D25" i="6" s="1"/>
  <c r="D41" i="6"/>
  <c r="D80" i="6"/>
  <c r="D88" i="6"/>
  <c r="D57" i="6"/>
  <c r="D73" i="6"/>
  <c r="D33" i="6"/>
  <c r="D49" i="6"/>
  <c r="I32" i="76"/>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B45" i="74"/>
  <c r="F27" i="76" l="1"/>
  <c r="F29" i="76"/>
  <c r="F26" i="76"/>
  <c r="F28" i="76"/>
  <c r="J18" i="56"/>
  <c r="K46" i="56"/>
  <c r="E22" i="76"/>
  <c r="K39" i="56"/>
  <c r="H45" i="76"/>
  <c r="I60" i="56"/>
  <c r="K60" i="56" s="1"/>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63" i="56"/>
  <c r="K63" i="56" s="1"/>
  <c r="I57" i="56"/>
  <c r="K57" i="56" s="1"/>
  <c r="I42" i="45"/>
  <c r="G94" i="87"/>
  <c r="K31" i="56"/>
  <c r="D95" i="87"/>
  <c r="K41" i="56"/>
  <c r="E95" i="87"/>
  <c r="J16" i="56"/>
  <c r="J17" i="56"/>
  <c r="K33" i="56"/>
  <c r="I59" i="56"/>
  <c r="K59" i="56" s="1"/>
  <c r="J19" i="56"/>
  <c r="F78" i="87"/>
  <c r="I65" i="56"/>
  <c r="K65" i="56" s="1"/>
  <c r="J14" i="56"/>
  <c r="J21" i="56"/>
  <c r="I16" i="56"/>
  <c r="I18" i="56"/>
  <c r="K42" i="56"/>
  <c r="K28" i="56"/>
  <c r="K43" i="56"/>
  <c r="J20" i="56"/>
  <c r="K20" i="56" s="1"/>
  <c r="I22" i="56"/>
  <c r="K25" i="56"/>
  <c r="G78" i="87"/>
  <c r="I62" i="56"/>
  <c r="K62" i="56" s="1"/>
  <c r="J15" i="56"/>
  <c r="K15" i="56" s="1"/>
  <c r="H78" i="87"/>
  <c r="H95" i="87" s="1"/>
  <c r="C23" i="69" s="1"/>
  <c r="F94" i="87"/>
  <c r="H23" i="56"/>
  <c r="J13" i="56"/>
  <c r="J68" i="56"/>
  <c r="H78" i="56"/>
  <c r="I19" i="56"/>
  <c r="J56" i="56"/>
  <c r="H66" i="56"/>
  <c r="E37" i="47"/>
  <c r="I13" i="56"/>
  <c r="I21" i="56"/>
  <c r="I61" i="56"/>
  <c r="K61" i="56" s="1"/>
  <c r="I14" i="56"/>
  <c r="I64" i="56"/>
  <c r="K64" i="56" s="1"/>
  <c r="E29" i="47"/>
  <c r="C26" i="69" s="1"/>
  <c r="J80" i="56"/>
  <c r="H90" i="56"/>
  <c r="K37" i="56"/>
  <c r="I56" i="56"/>
  <c r="I17" i="56"/>
  <c r="I58" i="56"/>
  <c r="K58" i="56" s="1"/>
  <c r="D21" i="76"/>
  <c r="E47" i="56" s="1"/>
  <c r="F20" i="76"/>
  <c r="F21" i="76" s="1"/>
  <c r="C11" i="69" s="1"/>
  <c r="D103" i="6"/>
  <c r="E23" i="16"/>
  <c r="C129" i="80"/>
  <c r="B46" i="74"/>
  <c r="K18" i="56" l="1"/>
  <c r="F25" i="76"/>
  <c r="K22" i="56"/>
  <c r="K16" i="56"/>
  <c r="K47" i="56"/>
  <c r="K19" i="56"/>
  <c r="G95" i="87"/>
  <c r="F95" i="87"/>
  <c r="K17" i="56"/>
  <c r="K14" i="56"/>
  <c r="K21" i="56"/>
  <c r="K35" i="56"/>
  <c r="K56" i="56"/>
  <c r="K66" i="56" s="1"/>
  <c r="K13" i="56"/>
  <c r="D143" i="80"/>
  <c r="D137" i="80"/>
  <c r="D142" i="80"/>
  <c r="D144" i="80"/>
  <c r="D145" i="80"/>
  <c r="D139" i="80"/>
  <c r="D138" i="80"/>
  <c r="D141" i="80"/>
  <c r="D140" i="80"/>
  <c r="D146" i="80"/>
  <c r="C130" i="80"/>
  <c r="C131" i="80" s="1"/>
  <c r="C132" i="80" s="1"/>
  <c r="C133" i="80" s="1"/>
  <c r="B47" i="74"/>
  <c r="F30" i="76" l="1"/>
  <c r="F31" i="76"/>
  <c r="C116" i="80"/>
  <c r="K23" i="56"/>
  <c r="K48" i="56" s="1"/>
  <c r="C92" i="80"/>
  <c r="C134" i="80"/>
  <c r="E144" i="80"/>
  <c r="E146" i="80"/>
  <c r="E140" i="80"/>
  <c r="E139" i="80"/>
  <c r="E145" i="80"/>
  <c r="E138" i="80"/>
  <c r="E143" i="80"/>
  <c r="E137" i="80"/>
  <c r="E141" i="80"/>
  <c r="E142" i="80"/>
  <c r="B48" i="74"/>
  <c r="C31" i="80" l="1"/>
  <c r="C137" i="80"/>
  <c r="F137" i="80" s="1"/>
  <c r="I137" i="80" s="1"/>
  <c r="H64" i="80" s="1"/>
  <c r="C149" i="80"/>
  <c r="C122" i="80"/>
  <c r="C98" i="80"/>
  <c r="C124" i="80"/>
  <c r="C100" i="80"/>
  <c r="C123" i="80"/>
  <c r="C99" i="80"/>
  <c r="C125" i="80"/>
  <c r="C101" i="80"/>
  <c r="C119" i="80"/>
  <c r="C95" i="80"/>
  <c r="C118" i="80"/>
  <c r="C94" i="80"/>
  <c r="C120" i="80"/>
  <c r="C96" i="80"/>
  <c r="C117" i="80"/>
  <c r="C93" i="80"/>
  <c r="C121" i="80"/>
  <c r="C97" i="80"/>
  <c r="I42" i="76"/>
  <c r="F21" i="56"/>
  <c r="F14" i="56"/>
  <c r="F16" i="56"/>
  <c r="F20" i="56"/>
  <c r="F17" i="56"/>
  <c r="F60" i="56"/>
  <c r="F22" i="56"/>
  <c r="F18" i="56"/>
  <c r="F13" i="76"/>
  <c r="F19" i="56"/>
  <c r="F15" i="56"/>
  <c r="B49" i="74"/>
  <c r="G137" i="80" l="1"/>
  <c r="J137" i="80" s="1"/>
  <c r="I64" i="80" s="1"/>
  <c r="C146" i="80"/>
  <c r="C158" i="80"/>
  <c r="C144" i="80"/>
  <c r="C156" i="80"/>
  <c r="C151" i="80"/>
  <c r="C139" i="80"/>
  <c r="C157" i="80"/>
  <c r="C145" i="80"/>
  <c r="C153" i="80"/>
  <c r="C141" i="80"/>
  <c r="C142" i="80"/>
  <c r="C154" i="80"/>
  <c r="C140" i="80"/>
  <c r="C152" i="80"/>
  <c r="C143" i="80"/>
  <c r="C155" i="80"/>
  <c r="F149" i="80"/>
  <c r="I149" i="80" s="1"/>
  <c r="J64" i="80" s="1"/>
  <c r="G149" i="80"/>
  <c r="J149" i="80" s="1"/>
  <c r="K64" i="80" s="1"/>
  <c r="C138" i="80"/>
  <c r="C150" i="80"/>
  <c r="F62" i="56"/>
  <c r="D101" i="80"/>
  <c r="E101" i="80" s="1"/>
  <c r="D125" i="80" s="1"/>
  <c r="E125" i="80" s="1"/>
  <c r="G125" i="80" s="1"/>
  <c r="G73" i="80" s="1"/>
  <c r="D113" i="80"/>
  <c r="G113" i="80" s="1"/>
  <c r="F73" i="80" s="1"/>
  <c r="D94" i="80"/>
  <c r="E94" i="80" s="1"/>
  <c r="D118" i="80" s="1"/>
  <c r="E118" i="80" s="1"/>
  <c r="G118" i="80" s="1"/>
  <c r="G66" i="80" s="1"/>
  <c r="D106" i="80"/>
  <c r="G106" i="80" s="1"/>
  <c r="F66" i="80" s="1"/>
  <c r="F43" i="56"/>
  <c r="E43" i="56"/>
  <c r="F65" i="56"/>
  <c r="D111" i="80"/>
  <c r="G111" i="80" s="1"/>
  <c r="F71" i="80" s="1"/>
  <c r="D99" i="80"/>
  <c r="E99" i="80" s="1"/>
  <c r="D123" i="80" s="1"/>
  <c r="E123" i="80" s="1"/>
  <c r="G123" i="80" s="1"/>
  <c r="G71" i="80" s="1"/>
  <c r="F26" i="56"/>
  <c r="F46" i="56"/>
  <c r="E46" i="56"/>
  <c r="F63" i="56"/>
  <c r="F31" i="56"/>
  <c r="E38" i="56"/>
  <c r="F38" i="56"/>
  <c r="E37" i="56"/>
  <c r="F37" i="56"/>
  <c r="D47" i="56"/>
  <c r="F34" i="56"/>
  <c r="F44" i="56"/>
  <c r="E44" i="56"/>
  <c r="D105" i="80"/>
  <c r="G105" i="80" s="1"/>
  <c r="F65" i="80" s="1"/>
  <c r="D93" i="80"/>
  <c r="E93" i="80" s="1"/>
  <c r="D117" i="80" s="1"/>
  <c r="E117" i="80" s="1"/>
  <c r="G117" i="80" s="1"/>
  <c r="G65" i="80" s="1"/>
  <c r="D35" i="56"/>
  <c r="F25" i="56"/>
  <c r="F32" i="56"/>
  <c r="F57" i="56"/>
  <c r="D90" i="56"/>
  <c r="D97" i="80"/>
  <c r="E97" i="80" s="1"/>
  <c r="D121" i="80" s="1"/>
  <c r="E121" i="80" s="1"/>
  <c r="G121" i="80" s="1"/>
  <c r="G69" i="80" s="1"/>
  <c r="D109" i="80"/>
  <c r="G109" i="80" s="1"/>
  <c r="F69" i="80" s="1"/>
  <c r="D96" i="80"/>
  <c r="E96" i="80" s="1"/>
  <c r="D120" i="80" s="1"/>
  <c r="E120" i="80" s="1"/>
  <c r="G120" i="80" s="1"/>
  <c r="G68" i="80" s="1"/>
  <c r="D108" i="80"/>
  <c r="G108" i="80" s="1"/>
  <c r="F68" i="80" s="1"/>
  <c r="F59" i="56"/>
  <c r="D78" i="56"/>
  <c r="D104" i="80"/>
  <c r="G104" i="80" s="1"/>
  <c r="F64" i="80" s="1"/>
  <c r="D92" i="80"/>
  <c r="E92" i="80" s="1"/>
  <c r="D116" i="80" s="1"/>
  <c r="E116" i="80" s="1"/>
  <c r="G116" i="80" s="1"/>
  <c r="G64" i="80" s="1"/>
  <c r="F61" i="56"/>
  <c r="E40" i="56"/>
  <c r="F40" i="56"/>
  <c r="F27" i="56"/>
  <c r="F56" i="56"/>
  <c r="D66" i="56"/>
  <c r="F42" i="56"/>
  <c r="E42" i="56"/>
  <c r="F29" i="56"/>
  <c r="D112" i="80"/>
  <c r="G112" i="80" s="1"/>
  <c r="F72" i="80" s="1"/>
  <c r="D100" i="80"/>
  <c r="E100" i="80" s="1"/>
  <c r="D124" i="80" s="1"/>
  <c r="E124" i="80" s="1"/>
  <c r="G124" i="80" s="1"/>
  <c r="G72" i="80" s="1"/>
  <c r="D23" i="56"/>
  <c r="F13" i="56"/>
  <c r="F30" i="56"/>
  <c r="E41" i="56"/>
  <c r="F41" i="56"/>
  <c r="F45" i="56"/>
  <c r="E45" i="56"/>
  <c r="F58" i="56"/>
  <c r="F28" i="56"/>
  <c r="F64" i="56"/>
  <c r="F39" i="56"/>
  <c r="E39" i="56"/>
  <c r="D98" i="80"/>
  <c r="E98" i="80" s="1"/>
  <c r="D122" i="80" s="1"/>
  <c r="E122" i="80" s="1"/>
  <c r="G122" i="80" s="1"/>
  <c r="G70" i="80" s="1"/>
  <c r="D110" i="80"/>
  <c r="G110" i="80" s="1"/>
  <c r="F70" i="80" s="1"/>
  <c r="D95" i="80"/>
  <c r="E95" i="80" s="1"/>
  <c r="D119" i="80" s="1"/>
  <c r="E119" i="80" s="1"/>
  <c r="G119" i="80" s="1"/>
  <c r="G67" i="80" s="1"/>
  <c r="D107" i="80"/>
  <c r="G107" i="80" s="1"/>
  <c r="F67" i="80" s="1"/>
  <c r="F33" i="56"/>
  <c r="B50" i="74"/>
  <c r="F38" i="80" l="1"/>
  <c r="F141" i="80"/>
  <c r="I141" i="80" s="1"/>
  <c r="H68" i="80" s="1"/>
  <c r="G141" i="80"/>
  <c r="J141" i="80" s="1"/>
  <c r="I68" i="80" s="1"/>
  <c r="G154" i="80"/>
  <c r="J154" i="80" s="1"/>
  <c r="K69" i="80" s="1"/>
  <c r="F154" i="80"/>
  <c r="I154" i="80" s="1"/>
  <c r="J69" i="80" s="1"/>
  <c r="F142" i="80"/>
  <c r="I142" i="80" s="1"/>
  <c r="H69" i="80" s="1"/>
  <c r="G142" i="80"/>
  <c r="J142" i="80" s="1"/>
  <c r="I69" i="80" s="1"/>
  <c r="F150" i="80"/>
  <c r="I150" i="80" s="1"/>
  <c r="J65" i="80" s="1"/>
  <c r="G150" i="80"/>
  <c r="J150" i="80" s="1"/>
  <c r="K65" i="80" s="1"/>
  <c r="G153" i="80"/>
  <c r="J153" i="80" s="1"/>
  <c r="K68" i="80" s="1"/>
  <c r="F153" i="80"/>
  <c r="I153" i="80" s="1"/>
  <c r="J68" i="80" s="1"/>
  <c r="F138" i="80"/>
  <c r="I138" i="80" s="1"/>
  <c r="H65" i="80" s="1"/>
  <c r="G138" i="80"/>
  <c r="J138" i="80" s="1"/>
  <c r="I65" i="80" s="1"/>
  <c r="F145" i="80"/>
  <c r="I145" i="80" s="1"/>
  <c r="H72" i="80" s="1"/>
  <c r="G145" i="80"/>
  <c r="J145" i="80" s="1"/>
  <c r="I72" i="80" s="1"/>
  <c r="G157" i="80"/>
  <c r="J157" i="80" s="1"/>
  <c r="K72" i="80" s="1"/>
  <c r="F157" i="80"/>
  <c r="I157" i="80" s="1"/>
  <c r="J72" i="80" s="1"/>
  <c r="F139" i="80"/>
  <c r="I139" i="80" s="1"/>
  <c r="H66" i="80" s="1"/>
  <c r="G139" i="80"/>
  <c r="J139" i="80" s="1"/>
  <c r="I66" i="80" s="1"/>
  <c r="F37" i="80"/>
  <c r="F151" i="80"/>
  <c r="I151" i="80" s="1"/>
  <c r="J66" i="80" s="1"/>
  <c r="G151" i="80"/>
  <c r="J151" i="80" s="1"/>
  <c r="K66" i="80" s="1"/>
  <c r="G155" i="80"/>
  <c r="J155" i="80" s="1"/>
  <c r="K70" i="80" s="1"/>
  <c r="F155" i="80"/>
  <c r="I155" i="80" s="1"/>
  <c r="J70" i="80" s="1"/>
  <c r="G156" i="80"/>
  <c r="J156" i="80" s="1"/>
  <c r="K71" i="80" s="1"/>
  <c r="F156" i="80"/>
  <c r="I156" i="80" s="1"/>
  <c r="J71" i="80" s="1"/>
  <c r="F143" i="80"/>
  <c r="I143" i="80" s="1"/>
  <c r="H70" i="80" s="1"/>
  <c r="G143" i="80"/>
  <c r="J143" i="80" s="1"/>
  <c r="I70" i="80" s="1"/>
  <c r="F144" i="80"/>
  <c r="I144" i="80" s="1"/>
  <c r="H71" i="80" s="1"/>
  <c r="G144" i="80"/>
  <c r="J144" i="80" s="1"/>
  <c r="I71" i="80" s="1"/>
  <c r="G152" i="80"/>
  <c r="J152" i="80" s="1"/>
  <c r="K67" i="80" s="1"/>
  <c r="F152" i="80"/>
  <c r="I152" i="80" s="1"/>
  <c r="J67" i="80" s="1"/>
  <c r="F158" i="80"/>
  <c r="I158" i="80" s="1"/>
  <c r="J73" i="80" s="1"/>
  <c r="G158" i="80"/>
  <c r="J158" i="80" s="1"/>
  <c r="K73" i="80" s="1"/>
  <c r="F140" i="80"/>
  <c r="I140" i="80" s="1"/>
  <c r="H67" i="80" s="1"/>
  <c r="G140" i="80"/>
  <c r="J140" i="80" s="1"/>
  <c r="I67" i="80" s="1"/>
  <c r="F146" i="80"/>
  <c r="I146" i="80" s="1"/>
  <c r="H73" i="80" s="1"/>
  <c r="G146" i="80"/>
  <c r="J146" i="80" s="1"/>
  <c r="I73" i="80" s="1"/>
  <c r="G44" i="56"/>
  <c r="G43" i="56"/>
  <c r="G39" i="56"/>
  <c r="G45" i="56"/>
  <c r="G46" i="56"/>
  <c r="G38" i="56"/>
  <c r="G41" i="56"/>
  <c r="G42" i="56"/>
  <c r="G37" i="56"/>
  <c r="G40" i="56"/>
  <c r="B51" i="74"/>
  <c r="F40" i="80" l="1"/>
  <c r="F44" i="80"/>
  <c r="F55" i="80"/>
  <c r="F41" i="80"/>
  <c r="F47" i="80"/>
  <c r="F53" i="80"/>
  <c r="F43" i="80"/>
  <c r="F39" i="80"/>
  <c r="F52" i="80"/>
  <c r="F42" i="80"/>
  <c r="F48" i="80"/>
  <c r="F51" i="80"/>
  <c r="F50" i="80"/>
  <c r="F49" i="80"/>
  <c r="F45" i="80"/>
  <c r="F56" i="80"/>
  <c r="F54" i="80"/>
  <c r="F46" i="80"/>
  <c r="G47" i="56"/>
  <c r="B52" i="74"/>
  <c r="B53" i="74" l="1"/>
  <c r="B54" i="74" l="1"/>
  <c r="B55" i="74" l="1"/>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D32" i="76" l="1"/>
  <c r="F24" i="76"/>
  <c r="F32" i="76" s="1"/>
  <c r="D79" i="80" l="1"/>
  <c r="G79" i="80" s="1"/>
  <c r="D64" i="80" s="1"/>
  <c r="D87" i="80"/>
  <c r="G87" i="80" s="1"/>
  <c r="D72" i="80" s="1"/>
  <c r="D86" i="80"/>
  <c r="G86" i="80" s="1"/>
  <c r="D71" i="80" s="1"/>
  <c r="D81" i="80"/>
  <c r="G81" i="80" s="1"/>
  <c r="D66" i="80" s="1"/>
  <c r="D80" i="80"/>
  <c r="G80" i="80" s="1"/>
  <c r="D65" i="80" s="1"/>
  <c r="D88" i="80"/>
  <c r="G88" i="80" s="1"/>
  <c r="D73" i="80" s="1"/>
  <c r="C13" i="69"/>
  <c r="D84" i="80"/>
  <c r="G84" i="80" s="1"/>
  <c r="D69" i="80" s="1"/>
  <c r="D82" i="80"/>
  <c r="G82" i="80" s="1"/>
  <c r="D67" i="80" s="1"/>
  <c r="D85" i="80"/>
  <c r="G85" i="80" s="1"/>
  <c r="D70" i="80" s="1"/>
  <c r="D83" i="80"/>
  <c r="G83" i="80" s="1"/>
  <c r="D68" i="80" s="1"/>
  <c r="E66" i="56"/>
  <c r="E60" i="56" l="1"/>
  <c r="G60" i="56" s="1"/>
  <c r="E59" i="56"/>
  <c r="G59" i="56" s="1"/>
  <c r="E62" i="56"/>
  <c r="G62" i="56" s="1"/>
  <c r="E58" i="56"/>
  <c r="G58" i="56" s="1"/>
  <c r="E61" i="56"/>
  <c r="G61" i="56" s="1"/>
  <c r="E65" i="56"/>
  <c r="G65" i="56" s="1"/>
  <c r="E63" i="56"/>
  <c r="G63" i="56" s="1"/>
  <c r="E56" i="56"/>
  <c r="G56" i="56" s="1"/>
  <c r="E64" i="56"/>
  <c r="G64" i="56" s="1"/>
  <c r="E57" i="56"/>
  <c r="G57" i="56" s="1"/>
  <c r="G66" i="56" l="1"/>
  <c r="I24" i="16" l="1"/>
  <c r="I23" i="16" s="1"/>
  <c r="H24" i="16" l="1"/>
  <c r="H23" i="16" s="1"/>
  <c r="E42" i="76"/>
  <c r="J24" i="16" l="1"/>
  <c r="J23" i="16"/>
  <c r="D42" i="76"/>
  <c r="F42" i="76" l="1"/>
  <c r="P8" i="113" l="1"/>
  <c r="J28" i="113"/>
  <c r="Q28" i="113" s="1"/>
  <c r="Q31" i="113" s="1"/>
  <c r="P7" i="113" l="1"/>
  <c r="P9" i="113"/>
  <c r="D119" i="6" l="1"/>
  <c r="G16" i="59" l="1"/>
  <c r="K67" i="34" l="1"/>
  <c r="D115" i="6"/>
  <c r="M67" i="34" l="1"/>
  <c r="D117" i="6" l="1"/>
  <c r="D120" i="6" s="1"/>
  <c r="P67" i="34"/>
  <c r="E36" i="16" l="1"/>
  <c r="O84" i="34" l="1"/>
  <c r="J84" i="34"/>
  <c r="H84" i="34" l="1"/>
  <c r="I18" i="16"/>
  <c r="D111" i="6"/>
  <c r="D107" i="6"/>
  <c r="H18" i="16" l="1"/>
  <c r="D37" i="76" s="1"/>
  <c r="E112" i="6"/>
  <c r="I36" i="16"/>
  <c r="E37" i="76"/>
  <c r="H36" i="16" l="1"/>
  <c r="J18" i="16"/>
  <c r="J36" i="16" s="1"/>
  <c r="F37" i="76"/>
  <c r="D43" i="76"/>
  <c r="E78" i="56"/>
  <c r="F78" i="56"/>
  <c r="E43" i="76"/>
  <c r="K66" i="34" l="1"/>
  <c r="D109" i="6"/>
  <c r="F90" i="56"/>
  <c r="E44" i="76"/>
  <c r="E45" i="76" s="1"/>
  <c r="F70" i="56"/>
  <c r="F75" i="56"/>
  <c r="F76" i="56"/>
  <c r="F68" i="56"/>
  <c r="F77" i="56"/>
  <c r="F72" i="56"/>
  <c r="F69" i="56"/>
  <c r="F71" i="56"/>
  <c r="F74" i="56"/>
  <c r="F73" i="56"/>
  <c r="I78" i="56"/>
  <c r="I37" i="76"/>
  <c r="I43" i="76" s="1"/>
  <c r="I44" i="76" s="1"/>
  <c r="I45" i="76" s="1"/>
  <c r="G43" i="76"/>
  <c r="G15" i="59"/>
  <c r="G47" i="59" s="1"/>
  <c r="E76" i="56"/>
  <c r="E68" i="56"/>
  <c r="E70" i="56"/>
  <c r="E72" i="56"/>
  <c r="E69" i="56"/>
  <c r="E77" i="56"/>
  <c r="E73" i="56"/>
  <c r="E74" i="56"/>
  <c r="E75" i="56"/>
  <c r="E71" i="56"/>
  <c r="D44" i="76"/>
  <c r="E90" i="56"/>
  <c r="C107" i="80"/>
  <c r="F107" i="80" s="1"/>
  <c r="E67" i="80" s="1"/>
  <c r="C113" i="80"/>
  <c r="F113" i="80" s="1"/>
  <c r="E73" i="80" s="1"/>
  <c r="C104" i="80"/>
  <c r="F104" i="80" s="1"/>
  <c r="E64" i="80" s="1"/>
  <c r="C105" i="80"/>
  <c r="F105" i="80" s="1"/>
  <c r="E65" i="80" s="1"/>
  <c r="C110" i="80"/>
  <c r="F110" i="80" s="1"/>
  <c r="E70" i="80" s="1"/>
  <c r="C111" i="80"/>
  <c r="F111" i="80" s="1"/>
  <c r="E71" i="80" s="1"/>
  <c r="C108" i="80"/>
  <c r="F108" i="80" s="1"/>
  <c r="E68" i="80" s="1"/>
  <c r="C112" i="80"/>
  <c r="F112" i="80" s="1"/>
  <c r="E72" i="80" s="1"/>
  <c r="F43" i="76"/>
  <c r="C106" i="80"/>
  <c r="F106" i="80" s="1"/>
  <c r="E66" i="80" s="1"/>
  <c r="C109" i="80"/>
  <c r="F109" i="80" s="1"/>
  <c r="E69" i="80" s="1"/>
  <c r="G84" i="34" l="1"/>
  <c r="D106" i="6"/>
  <c r="D112" i="6" s="1"/>
  <c r="G72" i="56"/>
  <c r="N84" i="34"/>
  <c r="G76" i="56"/>
  <c r="G70" i="56"/>
  <c r="G68" i="56"/>
  <c r="E46" i="80"/>
  <c r="E45" i="80"/>
  <c r="E51" i="80"/>
  <c r="E52" i="80"/>
  <c r="E44" i="80"/>
  <c r="E43" i="80"/>
  <c r="E39" i="80"/>
  <c r="E40" i="80"/>
  <c r="E53" i="80"/>
  <c r="E54" i="80"/>
  <c r="E38" i="80"/>
  <c r="E37" i="80"/>
  <c r="E49" i="80"/>
  <c r="E50" i="80"/>
  <c r="G71" i="56"/>
  <c r="G75" i="56"/>
  <c r="M66" i="34"/>
  <c r="P66" i="34" s="1"/>
  <c r="K84" i="34"/>
  <c r="E86" i="56"/>
  <c r="E82" i="56"/>
  <c r="E81" i="56"/>
  <c r="E88" i="56"/>
  <c r="E89" i="56"/>
  <c r="E84" i="56"/>
  <c r="E87" i="56"/>
  <c r="E83" i="56"/>
  <c r="E91" i="56"/>
  <c r="E80" i="56"/>
  <c r="E85" i="56"/>
  <c r="G74" i="56"/>
  <c r="E47" i="80"/>
  <c r="E48" i="80"/>
  <c r="G73" i="56"/>
  <c r="I68" i="56"/>
  <c r="K68" i="56" s="1"/>
  <c r="I71" i="56"/>
  <c r="K71" i="56" s="1"/>
  <c r="I76" i="56"/>
  <c r="K76" i="56" s="1"/>
  <c r="I73" i="56"/>
  <c r="K73" i="56" s="1"/>
  <c r="I77" i="56"/>
  <c r="K77" i="56" s="1"/>
  <c r="I70" i="56"/>
  <c r="K70" i="56" s="1"/>
  <c r="I75" i="56"/>
  <c r="K75" i="56" s="1"/>
  <c r="I74" i="56"/>
  <c r="K74" i="56" s="1"/>
  <c r="I69" i="56"/>
  <c r="K69" i="56" s="1"/>
  <c r="I72" i="56"/>
  <c r="K72" i="56" s="1"/>
  <c r="E55" i="80"/>
  <c r="E56" i="80"/>
  <c r="E41" i="80"/>
  <c r="E42" i="80"/>
  <c r="G77" i="56"/>
  <c r="G44" i="76"/>
  <c r="G45" i="76" s="1"/>
  <c r="I90" i="56"/>
  <c r="C84" i="80"/>
  <c r="F84" i="80" s="1"/>
  <c r="C69" i="80" s="1"/>
  <c r="C14" i="69"/>
  <c r="C87" i="80"/>
  <c r="F87" i="80" s="1"/>
  <c r="C72" i="80" s="1"/>
  <c r="C83" i="80"/>
  <c r="F83" i="80" s="1"/>
  <c r="C68" i="80" s="1"/>
  <c r="C79" i="80"/>
  <c r="F79" i="80" s="1"/>
  <c r="C64" i="80" s="1"/>
  <c r="F44" i="76"/>
  <c r="C82" i="80"/>
  <c r="F82" i="80" s="1"/>
  <c r="C67" i="80" s="1"/>
  <c r="C80" i="80"/>
  <c r="F80" i="80" s="1"/>
  <c r="C65" i="80" s="1"/>
  <c r="C86" i="80"/>
  <c r="F86" i="80" s="1"/>
  <c r="C71" i="80" s="1"/>
  <c r="C81" i="80"/>
  <c r="F81" i="80" s="1"/>
  <c r="C66" i="80" s="1"/>
  <c r="C88" i="80"/>
  <c r="F88" i="80" s="1"/>
  <c r="C73" i="80" s="1"/>
  <c r="C85" i="80"/>
  <c r="F85" i="80" s="1"/>
  <c r="C70" i="80" s="1"/>
  <c r="G69" i="56"/>
  <c r="F87" i="56"/>
  <c r="F81" i="56"/>
  <c r="F86" i="56"/>
  <c r="F89" i="56"/>
  <c r="F84" i="56"/>
  <c r="F80" i="56"/>
  <c r="F82" i="56"/>
  <c r="F88" i="56"/>
  <c r="F91" i="56"/>
  <c r="F83" i="56"/>
  <c r="F85" i="56"/>
  <c r="G87" i="56" l="1"/>
  <c r="F19" i="5" s="1"/>
  <c r="G80" i="56"/>
  <c r="F12" i="5" s="1"/>
  <c r="G83" i="56"/>
  <c r="F15" i="5" s="1"/>
  <c r="G88" i="56"/>
  <c r="F20" i="5" s="1"/>
  <c r="G78" i="56"/>
  <c r="G89" i="56"/>
  <c r="F21" i="5" s="1"/>
  <c r="G81" i="56"/>
  <c r="F13" i="5" s="1"/>
  <c r="D46" i="80"/>
  <c r="G46" i="80" s="1"/>
  <c r="D15" i="84" s="1"/>
  <c r="D45" i="80"/>
  <c r="G45" i="80" s="1"/>
  <c r="C15" i="84" s="1"/>
  <c r="D50" i="80"/>
  <c r="G50" i="80" s="1"/>
  <c r="D17" i="84" s="1"/>
  <c r="D49" i="80"/>
  <c r="G49" i="80" s="1"/>
  <c r="C17" i="84" s="1"/>
  <c r="G82" i="56"/>
  <c r="F14" i="5" s="1"/>
  <c r="D48" i="80"/>
  <c r="G48" i="80" s="1"/>
  <c r="D16" i="84" s="1"/>
  <c r="D47" i="80"/>
  <c r="G47" i="80" s="1"/>
  <c r="C16" i="84" s="1"/>
  <c r="I88" i="56"/>
  <c r="K88" i="56" s="1"/>
  <c r="I86" i="56"/>
  <c r="K86" i="56" s="1"/>
  <c r="I84" i="56"/>
  <c r="K84" i="56" s="1"/>
  <c r="I87" i="56"/>
  <c r="K87" i="56" s="1"/>
  <c r="I85" i="56"/>
  <c r="K85" i="56" s="1"/>
  <c r="I80" i="56"/>
  <c r="K80" i="56" s="1"/>
  <c r="I83" i="56"/>
  <c r="K83" i="56" s="1"/>
  <c r="I82" i="56"/>
  <c r="K82" i="56" s="1"/>
  <c r="I81" i="56"/>
  <c r="K81" i="56" s="1"/>
  <c r="I91" i="56"/>
  <c r="I89" i="56"/>
  <c r="K89" i="56" s="1"/>
  <c r="G86" i="56"/>
  <c r="F18" i="5" s="1"/>
  <c r="D55" i="80"/>
  <c r="G55" i="80" s="1"/>
  <c r="C20" i="84" s="1"/>
  <c r="D56" i="80"/>
  <c r="G56" i="80" s="1"/>
  <c r="D20" i="84" s="1"/>
  <c r="D41" i="80"/>
  <c r="G41" i="80" s="1"/>
  <c r="C13" i="84" s="1"/>
  <c r="D42" i="80"/>
  <c r="G42" i="80" s="1"/>
  <c r="D13" i="84" s="1"/>
  <c r="K78" i="56"/>
  <c r="D51" i="80"/>
  <c r="G51" i="80" s="1"/>
  <c r="C18" i="84" s="1"/>
  <c r="D52" i="80"/>
  <c r="G52" i="80" s="1"/>
  <c r="D18" i="84" s="1"/>
  <c r="M84" i="34"/>
  <c r="P84" i="34"/>
  <c r="G84" i="56"/>
  <c r="F16" i="5" s="1"/>
  <c r="D39" i="80"/>
  <c r="G39" i="80" s="1"/>
  <c r="C12" i="84" s="1"/>
  <c r="D40" i="80"/>
  <c r="G40" i="80" s="1"/>
  <c r="D12" i="84" s="1"/>
  <c r="D44" i="80"/>
  <c r="G44" i="80" s="1"/>
  <c r="D14" i="84" s="1"/>
  <c r="D43" i="80"/>
  <c r="G43" i="80" s="1"/>
  <c r="C14" i="84" s="1"/>
  <c r="C15" i="69"/>
  <c r="D53" i="80"/>
  <c r="G53" i="80" s="1"/>
  <c r="C19" i="84" s="1"/>
  <c r="D54" i="80"/>
  <c r="G54" i="80" s="1"/>
  <c r="D19" i="84" s="1"/>
  <c r="D37" i="80"/>
  <c r="G37" i="80" s="1"/>
  <c r="C11" i="84" s="1"/>
  <c r="D38" i="80"/>
  <c r="G38" i="80" s="1"/>
  <c r="D11" i="84" s="1"/>
  <c r="G85" i="56"/>
  <c r="F17" i="5" s="1"/>
  <c r="K90" i="56" l="1"/>
  <c r="K91" i="56" s="1"/>
  <c r="F22" i="5" a="1"/>
  <c r="F22" i="5" s="1"/>
  <c r="G90" i="56"/>
  <c r="G91" i="56" s="1"/>
  <c r="E124" i="6" l="1"/>
  <c r="E125" i="6" s="1"/>
  <c r="D124" i="6" l="1"/>
  <c r="D125" i="6" s="1"/>
  <c r="C20" i="69" l="1"/>
  <c r="F16" i="76" l="1"/>
  <c r="C17" i="57"/>
  <c r="E11" i="57" l="1"/>
  <c r="D14" i="76"/>
  <c r="E17" i="57"/>
  <c r="E35" i="56" l="1"/>
  <c r="F14" i="76"/>
  <c r="E27" i="56" l="1"/>
  <c r="G27" i="56" s="1"/>
  <c r="E32" i="56"/>
  <c r="G32" i="56" s="1"/>
  <c r="E29" i="56"/>
  <c r="G29" i="56" s="1"/>
  <c r="E25" i="56"/>
  <c r="G25" i="56" s="1"/>
  <c r="E31" i="56"/>
  <c r="G31" i="56" s="1"/>
  <c r="E30" i="56"/>
  <c r="G30" i="56" s="1"/>
  <c r="E26" i="56"/>
  <c r="G26" i="56" s="1"/>
  <c r="E33" i="56"/>
  <c r="G33" i="56" s="1"/>
  <c r="E34" i="56"/>
  <c r="G34" i="56" s="1"/>
  <c r="E28" i="56"/>
  <c r="G28" i="56" s="1"/>
  <c r="G35" i="56" l="1"/>
  <c r="D18" i="76" l="1"/>
  <c r="F17" i="76"/>
  <c r="F18" i="76" s="1"/>
  <c r="F22" i="76" l="1"/>
  <c r="C10" i="69"/>
  <c r="E23" i="56"/>
  <c r="D22" i="76"/>
  <c r="D45" i="76" s="1"/>
  <c r="E15" i="56" l="1"/>
  <c r="G15" i="56" s="1"/>
  <c r="D14" i="5" s="1"/>
  <c r="G14" i="5" s="1"/>
  <c r="E18" i="56"/>
  <c r="G18" i="56" s="1"/>
  <c r="D17" i="5" s="1"/>
  <c r="G17" i="5" s="1"/>
  <c r="E14" i="56"/>
  <c r="G14" i="56" s="1"/>
  <c r="D13" i="5" s="1"/>
  <c r="G13" i="5" s="1"/>
  <c r="E48" i="56"/>
  <c r="E17" i="56"/>
  <c r="G17" i="56" s="1"/>
  <c r="D16" i="5" s="1"/>
  <c r="G16" i="5" s="1"/>
  <c r="E13" i="56"/>
  <c r="G13" i="56" s="1"/>
  <c r="E16" i="56"/>
  <c r="G16" i="56" s="1"/>
  <c r="D15" i="5" s="1"/>
  <c r="G15" i="5" s="1"/>
  <c r="E19" i="56"/>
  <c r="G19" i="56" s="1"/>
  <c r="D18" i="5" s="1"/>
  <c r="G18" i="5" s="1"/>
  <c r="E21" i="56"/>
  <c r="G21" i="56" s="1"/>
  <c r="D20" i="5" s="1"/>
  <c r="G20" i="5" s="1"/>
  <c r="E22" i="56"/>
  <c r="G22" i="56" s="1"/>
  <c r="D21" i="5" s="1"/>
  <c r="G21" i="5" s="1"/>
  <c r="E20" i="56"/>
  <c r="G20" i="56" s="1"/>
  <c r="D19" i="5" s="1"/>
  <c r="G19" i="5" s="1"/>
  <c r="F45" i="76"/>
  <c r="C16" i="69" s="1"/>
  <c r="C12" i="69"/>
  <c r="D12" i="5" l="1"/>
  <c r="G23" i="56"/>
  <c r="G48" i="56" s="1"/>
  <c r="C24" i="69"/>
  <c r="C21" i="69"/>
  <c r="C27" i="69"/>
  <c r="G12" i="5" l="1"/>
  <c r="D22" i="5" a="1"/>
  <c r="D22" i="5" s="1"/>
  <c r="G22" i="5" l="1"/>
  <c r="I44" i="74" l="1"/>
  <c r="I43" i="74" l="1"/>
  <c r="H43" i="74"/>
  <c r="G43" i="74"/>
  <c r="I45" i="74"/>
  <c r="G44" i="74" l="1"/>
  <c r="H44" i="74"/>
  <c r="I46" i="74"/>
  <c r="G45" i="74" l="1"/>
  <c r="H45" i="74"/>
  <c r="I47" i="74" l="1"/>
  <c r="G46" i="74"/>
  <c r="H46" i="74"/>
  <c r="I48" i="74"/>
  <c r="G47" i="74" l="1"/>
  <c r="H47" i="74"/>
  <c r="I49" i="74"/>
  <c r="G48" i="74" l="1"/>
  <c r="H48" i="74"/>
  <c r="I50" i="74"/>
  <c r="H49" i="74" l="1"/>
  <c r="G49" i="74"/>
  <c r="I51" i="74"/>
  <c r="H50" i="74" l="1"/>
  <c r="G50" i="74"/>
  <c r="I52" i="74"/>
  <c r="G51" i="74" l="1"/>
  <c r="H51" i="74"/>
  <c r="I53" i="74"/>
  <c r="H52" i="74" l="1"/>
  <c r="G52" i="74"/>
  <c r="I54" i="74"/>
  <c r="G53" i="74" l="1"/>
  <c r="H53" i="74"/>
  <c r="I55" i="74"/>
  <c r="G54" i="74" l="1"/>
  <c r="H54" i="74"/>
  <c r="I56" i="74"/>
  <c r="H55" i="74" l="1"/>
  <c r="G55" i="74"/>
  <c r="I57" i="74"/>
  <c r="H56" i="74" l="1"/>
  <c r="G56" i="74"/>
  <c r="I58" i="74"/>
  <c r="G57" i="74" l="1"/>
  <c r="H57" i="74"/>
  <c r="I59" i="74"/>
  <c r="H58" i="74" l="1"/>
  <c r="G58" i="74"/>
  <c r="I60" i="74"/>
  <c r="G59" i="74" l="1"/>
  <c r="H59" i="74"/>
  <c r="I61" i="74"/>
  <c r="G60" i="74" l="1"/>
  <c r="H60" i="74"/>
  <c r="I62" i="74"/>
  <c r="H61" i="74" l="1"/>
  <c r="G61" i="74"/>
  <c r="I63" i="74"/>
  <c r="H62" i="74" l="1"/>
  <c r="G62" i="74"/>
  <c r="I64" i="74"/>
  <c r="H63" i="74" l="1"/>
  <c r="G63" i="74"/>
  <c r="I65" i="74"/>
  <c r="H64" i="74" l="1"/>
  <c r="G64" i="74"/>
  <c r="I66" i="74"/>
  <c r="G65" i="74" l="1"/>
  <c r="H65" i="74"/>
  <c r="I67" i="74"/>
  <c r="G66" i="74" l="1"/>
  <c r="H66" i="74"/>
  <c r="I68" i="74"/>
  <c r="H67" i="74" l="1"/>
  <c r="G67" i="74"/>
  <c r="I69" i="74"/>
  <c r="H68" i="74" l="1"/>
  <c r="G68" i="74"/>
  <c r="I70" i="74"/>
  <c r="H69" i="74" l="1"/>
  <c r="G69" i="74"/>
  <c r="I71" i="74"/>
  <c r="H70" i="74" l="1"/>
  <c r="G70" i="74"/>
  <c r="I72" i="74"/>
  <c r="G71" i="74" l="1"/>
  <c r="H71" i="74"/>
  <c r="I73" i="74"/>
  <c r="H72" i="74" l="1"/>
  <c r="G72" i="74"/>
  <c r="I74" i="74"/>
  <c r="H73" i="74" l="1"/>
  <c r="G73" i="74"/>
  <c r="I75" i="74"/>
  <c r="H74" i="74" l="1"/>
  <c r="G74" i="74"/>
  <c r="I76" i="74"/>
  <c r="H75" i="74" l="1"/>
  <c r="G75" i="74"/>
  <c r="I77" i="74"/>
  <c r="G76" i="74" l="1"/>
  <c r="H76" i="74"/>
  <c r="I78" i="74"/>
  <c r="H77" i="74" l="1"/>
  <c r="G77" i="74"/>
  <c r="I79" i="74"/>
  <c r="G78" i="74" l="1"/>
  <c r="H78" i="74"/>
  <c r="I80" i="74"/>
  <c r="H79" i="74" l="1"/>
  <c r="G79" i="74"/>
  <c r="I81" i="74"/>
  <c r="G80" i="74" l="1"/>
  <c r="H80" i="74"/>
  <c r="I82" i="74"/>
  <c r="H81" i="74" l="1"/>
  <c r="G81" i="74"/>
  <c r="I83" i="74"/>
  <c r="G82" i="74" l="1"/>
  <c r="H82" i="74"/>
  <c r="I84" i="74"/>
  <c r="G83" i="74" l="1"/>
  <c r="H83" i="74"/>
  <c r="I85" i="74"/>
  <c r="G84" i="74" l="1"/>
  <c r="H84" i="74"/>
  <c r="I86" i="74"/>
  <c r="H85" i="74" l="1"/>
  <c r="G85" i="74"/>
  <c r="I87" i="74"/>
  <c r="H86" i="74" l="1"/>
  <c r="G86" i="74"/>
  <c r="I88" i="74"/>
  <c r="H87" i="74" l="1"/>
  <c r="G87" i="74"/>
  <c r="I89" i="74"/>
  <c r="G88" i="74" l="1"/>
  <c r="H88" i="74"/>
  <c r="I90" i="74"/>
  <c r="G89" i="74" l="1"/>
  <c r="H89" i="74"/>
  <c r="I91" i="74"/>
  <c r="G90" i="74" l="1"/>
  <c r="H90" i="74"/>
  <c r="I92" i="74"/>
  <c r="H91" i="74" l="1"/>
  <c r="G91" i="74"/>
  <c r="I93" i="74"/>
  <c r="G92" i="74" l="1"/>
  <c r="H92" i="74"/>
  <c r="I94" i="74"/>
  <c r="G93" i="74" l="1"/>
  <c r="H93" i="74"/>
  <c r="I95" i="74"/>
  <c r="H94" i="74" l="1"/>
  <c r="G94" i="74"/>
  <c r="I96" i="74"/>
  <c r="G95" i="74" l="1"/>
  <c r="H95" i="74"/>
  <c r="I97" i="74"/>
  <c r="G96" i="74" l="1"/>
  <c r="H96" i="74"/>
  <c r="I98" i="74"/>
  <c r="H97" i="74" l="1"/>
  <c r="G97" i="74"/>
  <c r="I99" i="74"/>
  <c r="H98" i="74" l="1"/>
  <c r="G98" i="74"/>
  <c r="I100" i="74"/>
  <c r="H99" i="74" l="1"/>
  <c r="G99" i="74"/>
  <c r="I101" i="74"/>
  <c r="G100" i="74" l="1"/>
  <c r="H100" i="74"/>
  <c r="I102" i="74"/>
  <c r="G101" i="74" l="1"/>
  <c r="H101" i="74"/>
  <c r="I103" i="74"/>
  <c r="H102" i="74" l="1"/>
  <c r="G102" i="74"/>
  <c r="I104" i="74"/>
  <c r="G103" i="74" l="1"/>
  <c r="H103" i="74"/>
  <c r="I105" i="74"/>
  <c r="G104" i="74" l="1"/>
  <c r="H104" i="74"/>
  <c r="I106" i="74"/>
  <c r="G105" i="74" l="1"/>
  <c r="H105" i="74"/>
  <c r="I107" i="74"/>
  <c r="H106" i="74" l="1"/>
  <c r="G106" i="74"/>
  <c r="I108" i="74"/>
  <c r="H107" i="74" l="1"/>
  <c r="G107" i="74"/>
  <c r="I109" i="74"/>
  <c r="G108" i="74" l="1"/>
  <c r="H108" i="74"/>
  <c r="I110" i="74"/>
  <c r="G109" i="74" l="1"/>
  <c r="H109" i="74"/>
  <c r="I111" i="74"/>
  <c r="G110" i="74" l="1"/>
  <c r="H110" i="74"/>
  <c r="I112" i="74"/>
  <c r="G111" i="74" l="1"/>
  <c r="H111" i="74"/>
  <c r="I113" i="74"/>
  <c r="H112" i="74" l="1"/>
  <c r="G112" i="74"/>
  <c r="I114" i="74"/>
  <c r="G113" i="74" l="1"/>
  <c r="H113" i="74"/>
  <c r="I115" i="74"/>
  <c r="G114" i="74" l="1"/>
  <c r="H114" i="74"/>
  <c r="I116" i="74"/>
  <c r="H115" i="74" l="1"/>
  <c r="G115" i="74"/>
  <c r="I117" i="74"/>
  <c r="G116" i="74" l="1"/>
  <c r="H116" i="74"/>
  <c r="I118" i="74"/>
  <c r="H117" i="74" l="1"/>
  <c r="G117" i="74"/>
  <c r="I119" i="74"/>
  <c r="G118" i="74" l="1"/>
  <c r="H118" i="74"/>
  <c r="I120" i="74"/>
  <c r="H119" i="74" l="1"/>
  <c r="G119" i="74"/>
  <c r="I121" i="74"/>
  <c r="H120" i="74" l="1"/>
  <c r="G120" i="74"/>
  <c r="I122" i="74"/>
  <c r="H121" i="74" l="1"/>
  <c r="G121" i="74"/>
  <c r="I123" i="74"/>
  <c r="G122" i="74" l="1"/>
  <c r="H122" i="74"/>
  <c r="I124" i="74"/>
  <c r="H123" i="74" l="1"/>
  <c r="G123" i="74"/>
  <c r="I125" i="74"/>
  <c r="H124" i="74" l="1"/>
  <c r="G124" i="74"/>
  <c r="I126" i="74"/>
  <c r="G125" i="74" l="1"/>
  <c r="H125" i="74"/>
  <c r="I127" i="74"/>
  <c r="G126" i="74" l="1"/>
  <c r="H126" i="74"/>
  <c r="I128" i="74"/>
  <c r="G127" i="74" l="1"/>
  <c r="H127" i="74"/>
  <c r="I129" i="74"/>
  <c r="G128" i="74" l="1"/>
  <c r="H128" i="74"/>
  <c r="I130" i="74"/>
  <c r="G129" i="74" l="1"/>
  <c r="H129" i="74"/>
  <c r="I131" i="74"/>
  <c r="H130" i="74" l="1"/>
  <c r="G130" i="74"/>
  <c r="I132" i="74"/>
  <c r="G131" i="74" l="1"/>
  <c r="H131" i="74"/>
  <c r="I133" i="74"/>
  <c r="H132" i="74" l="1"/>
  <c r="G132" i="74"/>
  <c r="I134" i="74"/>
  <c r="G133" i="74" l="1"/>
  <c r="H133" i="74"/>
  <c r="I135" i="74"/>
  <c r="H134" i="74" l="1"/>
  <c r="G134" i="74"/>
  <c r="I136" i="74"/>
  <c r="H135" i="74" l="1"/>
  <c r="G135" i="74"/>
  <c r="I137" i="74"/>
  <c r="G136" i="74" l="1"/>
  <c r="H136" i="74"/>
  <c r="I138" i="74"/>
  <c r="G137" i="74" l="1"/>
  <c r="H137" i="74"/>
  <c r="I139" i="74"/>
  <c r="G138" i="74" l="1"/>
  <c r="H138" i="74"/>
  <c r="I140" i="74"/>
  <c r="G139" i="74" l="1"/>
  <c r="H139" i="74"/>
  <c r="I141" i="74"/>
  <c r="H140" i="74" l="1"/>
  <c r="G140" i="74"/>
  <c r="I142" i="74"/>
  <c r="G141" i="74" l="1"/>
  <c r="H141" i="74"/>
  <c r="I143" i="74"/>
  <c r="G142" i="74" l="1"/>
  <c r="H142" i="74"/>
  <c r="I144" i="74"/>
  <c r="H143" i="74" l="1"/>
  <c r="G143" i="74"/>
  <c r="I145" i="74"/>
  <c r="G144" i="74" l="1"/>
  <c r="H144" i="74"/>
  <c r="I146" i="74"/>
  <c r="H145" i="74" l="1"/>
  <c r="G145" i="74"/>
  <c r="I147" i="74"/>
  <c r="G146" i="74" l="1"/>
  <c r="H146" i="74"/>
  <c r="I148" i="74"/>
  <c r="H147" i="74" l="1"/>
  <c r="G147" i="74"/>
  <c r="I149" i="74"/>
  <c r="H148" i="74" l="1"/>
  <c r="G148" i="74"/>
  <c r="I150" i="74"/>
  <c r="H149" i="74" l="1"/>
  <c r="G149" i="74"/>
  <c r="I151" i="74"/>
  <c r="H150" i="74" l="1"/>
  <c r="G150" i="74"/>
  <c r="I152" i="74"/>
  <c r="H151" i="74" l="1"/>
  <c r="G151" i="74"/>
  <c r="I153" i="74"/>
  <c r="G152" i="74" l="1"/>
  <c r="H152" i="74"/>
  <c r="I154" i="74"/>
  <c r="G153" i="74" l="1"/>
  <c r="H153" i="74"/>
  <c r="I155" i="74"/>
  <c r="G154" i="74" l="1"/>
  <c r="H154" i="74"/>
  <c r="I156" i="74"/>
  <c r="H155" i="74" l="1"/>
  <c r="G155" i="74"/>
  <c r="I157" i="74"/>
  <c r="G156" i="74" l="1"/>
  <c r="H156" i="74"/>
  <c r="I158" i="74"/>
  <c r="G157" i="74" l="1"/>
  <c r="H157" i="74"/>
  <c r="I159" i="74"/>
  <c r="G158" i="74" l="1"/>
  <c r="H158" i="74"/>
  <c r="I160" i="74"/>
  <c r="G159" i="74" l="1"/>
  <c r="H159" i="74"/>
  <c r="I161" i="74"/>
  <c r="H160" i="74" l="1"/>
  <c r="G160" i="74"/>
  <c r="I162" i="74"/>
  <c r="H161" i="74" l="1"/>
  <c r="G161" i="74"/>
  <c r="I163" i="74"/>
  <c r="H162" i="74" l="1"/>
  <c r="G162" i="74"/>
  <c r="I164" i="74"/>
  <c r="G163" i="74" l="1"/>
  <c r="H163" i="74"/>
  <c r="I165" i="74"/>
  <c r="G164" i="74" l="1"/>
  <c r="H164" i="74"/>
  <c r="I166" i="74"/>
  <c r="H165" i="74" l="1"/>
  <c r="G165" i="74"/>
  <c r="I167" i="74"/>
  <c r="H166" i="74" l="1"/>
  <c r="G166" i="74"/>
  <c r="I168" i="74"/>
  <c r="H167" i="74" l="1"/>
  <c r="G167" i="74"/>
  <c r="I169" i="74"/>
  <c r="H168" i="74" l="1"/>
  <c r="G168" i="74"/>
  <c r="I170" i="74"/>
  <c r="H169" i="74" l="1"/>
  <c r="G169" i="74"/>
  <c r="I171" i="74"/>
  <c r="G170" i="74" l="1"/>
  <c r="H170" i="74"/>
  <c r="I172" i="74"/>
  <c r="H171" i="74" l="1"/>
  <c r="G171" i="74"/>
  <c r="I173" i="74"/>
  <c r="H172" i="74" l="1"/>
  <c r="G172" i="74"/>
  <c r="I174" i="74"/>
  <c r="H173" i="74" l="1"/>
  <c r="G173" i="74"/>
  <c r="I175" i="74"/>
  <c r="H174" i="74" l="1"/>
  <c r="G174" i="74"/>
  <c r="I176" i="74"/>
  <c r="G175" i="74" l="1"/>
  <c r="H175" i="74"/>
  <c r="I177" i="74"/>
  <c r="H176" i="74" l="1"/>
  <c r="G176" i="74"/>
  <c r="I178" i="74"/>
  <c r="H177" i="74" l="1"/>
  <c r="G177" i="74"/>
  <c r="I179" i="74"/>
  <c r="H178" i="74" l="1"/>
  <c r="G178" i="74"/>
  <c r="I180" i="74"/>
  <c r="H179" i="74" l="1"/>
  <c r="G179" i="74"/>
  <c r="I181" i="74"/>
  <c r="G180" i="74" l="1"/>
  <c r="H180" i="74"/>
  <c r="I182" i="74"/>
  <c r="H181" i="74" l="1"/>
  <c r="G181" i="74"/>
  <c r="I183" i="74"/>
  <c r="G182" i="74" l="1"/>
  <c r="H182" i="74"/>
  <c r="I184" i="74"/>
  <c r="G183" i="74" l="1"/>
  <c r="H183" i="74"/>
  <c r="I185" i="74"/>
  <c r="H184" i="74" l="1"/>
  <c r="G184" i="74"/>
  <c r="I186" i="74"/>
  <c r="G185" i="74" l="1"/>
  <c r="H185" i="74"/>
  <c r="I187" i="74"/>
  <c r="G186" i="74" l="1"/>
  <c r="H186" i="74"/>
  <c r="I188" i="74"/>
  <c r="G187" i="74" l="1"/>
  <c r="H187" i="74"/>
  <c r="I189" i="74"/>
  <c r="G188" i="74" l="1"/>
  <c r="H188" i="74"/>
  <c r="I190" i="74"/>
  <c r="H189" i="74" l="1"/>
  <c r="G189" i="74"/>
  <c r="I191" i="74"/>
  <c r="H190" i="74" l="1"/>
  <c r="G190" i="74"/>
  <c r="I192" i="74"/>
  <c r="G191" i="74" l="1"/>
  <c r="H191" i="74"/>
  <c r="I193" i="74"/>
  <c r="G192" i="74" l="1"/>
  <c r="H192" i="74"/>
  <c r="I194" i="74"/>
  <c r="G193" i="74" l="1"/>
  <c r="H193" i="74"/>
  <c r="I195" i="74"/>
  <c r="G194" i="74" l="1"/>
  <c r="H194" i="74"/>
  <c r="I196" i="74"/>
  <c r="G195" i="74" l="1"/>
  <c r="H195" i="74"/>
  <c r="I197" i="74"/>
  <c r="G196" i="74" l="1"/>
  <c r="H196" i="74"/>
  <c r="I198" i="74"/>
  <c r="G197" i="74" l="1"/>
  <c r="H197" i="74"/>
  <c r="I199" i="74"/>
  <c r="G198" i="74" l="1"/>
  <c r="H198" i="74"/>
  <c r="I200" i="74"/>
  <c r="H199" i="74" l="1"/>
  <c r="G199" i="74"/>
  <c r="I201" i="74"/>
  <c r="G200" i="74" l="1"/>
  <c r="H200" i="74"/>
  <c r="I202" i="74"/>
  <c r="G201" i="74" l="1"/>
  <c r="H201" i="74"/>
  <c r="I203" i="74"/>
  <c r="H202" i="74" l="1"/>
  <c r="G202" i="74"/>
  <c r="I204" i="74"/>
  <c r="G203" i="74" l="1"/>
  <c r="H203" i="74"/>
  <c r="I205" i="74"/>
  <c r="G204" i="74" l="1"/>
  <c r="H204" i="74"/>
  <c r="I206" i="74"/>
  <c r="H205" i="74" l="1"/>
  <c r="G205" i="74"/>
  <c r="I207" i="74"/>
  <c r="G206" i="74" l="1"/>
  <c r="H206" i="74"/>
  <c r="I208" i="74"/>
  <c r="G207" i="74" l="1"/>
  <c r="H207" i="74"/>
  <c r="I209" i="74"/>
  <c r="H208" i="74" l="1"/>
  <c r="G208" i="74"/>
  <c r="I210" i="74"/>
  <c r="G209" i="74" l="1"/>
  <c r="H209" i="74"/>
  <c r="I211" i="74"/>
  <c r="H210" i="74" l="1"/>
  <c r="G210" i="74"/>
  <c r="I212" i="74"/>
  <c r="G211" i="74" l="1"/>
  <c r="H211" i="74"/>
  <c r="I213" i="74"/>
  <c r="H212" i="74" l="1"/>
  <c r="G212" i="74"/>
  <c r="I214" i="74"/>
  <c r="H213" i="74" l="1"/>
  <c r="G213" i="74"/>
  <c r="I215" i="74"/>
  <c r="G214" i="74" l="1"/>
  <c r="H214" i="74"/>
  <c r="I216" i="74"/>
  <c r="H215" i="74" l="1"/>
  <c r="G215" i="74"/>
  <c r="I217" i="74"/>
  <c r="H216" i="74" l="1"/>
  <c r="G216" i="74"/>
  <c r="I218" i="74"/>
  <c r="H217" i="74" l="1"/>
  <c r="G217" i="74"/>
  <c r="I219" i="74"/>
  <c r="G218" i="74" l="1"/>
  <c r="H218" i="74"/>
  <c r="I220" i="74"/>
  <c r="G219" i="74" l="1"/>
  <c r="H219" i="74"/>
  <c r="I221" i="74"/>
  <c r="H220" i="74" l="1"/>
  <c r="G220" i="74"/>
  <c r="I222" i="74"/>
  <c r="H221" i="74" l="1"/>
  <c r="G221" i="74"/>
  <c r="I223" i="74"/>
  <c r="G222" i="74" l="1"/>
  <c r="H222" i="74"/>
  <c r="I224" i="74"/>
  <c r="H223" i="74" l="1"/>
  <c r="G223" i="74"/>
  <c r="I225" i="74"/>
  <c r="H224" i="74" l="1"/>
  <c r="G224" i="74"/>
  <c r="I226" i="74"/>
  <c r="G225" i="74" l="1"/>
  <c r="H225" i="74"/>
  <c r="I227" i="74"/>
  <c r="G226" i="74" l="1"/>
  <c r="H226" i="74"/>
  <c r="I228" i="74"/>
  <c r="G227" i="74" l="1"/>
  <c r="H227" i="74"/>
  <c r="I229" i="74"/>
  <c r="G228" i="74" l="1"/>
  <c r="H228" i="74"/>
  <c r="I230" i="74"/>
  <c r="G229" i="74" l="1"/>
  <c r="H229" i="74"/>
  <c r="I231" i="74"/>
  <c r="G230" i="74" l="1"/>
  <c r="H230" i="74"/>
  <c r="I232" i="74"/>
  <c r="G231" i="74" l="1"/>
  <c r="H231" i="74"/>
  <c r="I233" i="74"/>
  <c r="H232" i="74" l="1"/>
  <c r="G232" i="74"/>
  <c r="I234" i="74"/>
  <c r="G233" i="74" l="1"/>
  <c r="H233" i="74"/>
  <c r="I235" i="74"/>
  <c r="H234" i="74" l="1"/>
  <c r="G234" i="74"/>
  <c r="I236" i="74"/>
  <c r="G235" i="74" l="1"/>
  <c r="H235" i="74"/>
  <c r="I237" i="74"/>
  <c r="H236" i="74" l="1"/>
  <c r="G236" i="74"/>
  <c r="I238" i="74"/>
  <c r="G237" i="74" l="1"/>
  <c r="H237" i="74"/>
  <c r="I239" i="74"/>
  <c r="G238" i="74" l="1"/>
  <c r="H238" i="74"/>
  <c r="I240" i="74"/>
  <c r="H239" i="74" l="1"/>
  <c r="G239" i="74"/>
  <c r="I241" i="74"/>
  <c r="G240" i="74" l="1"/>
  <c r="H240" i="74"/>
  <c r="I242" i="74"/>
  <c r="G241" i="74" l="1"/>
  <c r="H241" i="74"/>
  <c r="I243" i="74"/>
  <c r="G242" i="74" l="1"/>
  <c r="H242" i="74"/>
  <c r="I244" i="74"/>
  <c r="H243" i="74" l="1"/>
  <c r="G243" i="74"/>
  <c r="I245" i="74"/>
  <c r="H244" i="74" l="1"/>
  <c r="G244" i="74"/>
  <c r="I246" i="74"/>
  <c r="G245" i="74" l="1"/>
  <c r="H245" i="74"/>
  <c r="I247" i="74"/>
  <c r="H246" i="74" l="1"/>
  <c r="G246" i="74"/>
  <c r="I248" i="74"/>
  <c r="G247" i="74" l="1"/>
  <c r="H247" i="74"/>
  <c r="I249" i="74"/>
  <c r="G248" i="74" l="1"/>
  <c r="H248" i="74"/>
  <c r="I250" i="74"/>
  <c r="G249" i="74" l="1"/>
  <c r="H249" i="74"/>
  <c r="I251" i="74"/>
  <c r="H250" i="74" l="1"/>
  <c r="G250" i="74"/>
  <c r="I252" i="74"/>
  <c r="H251" i="74" l="1"/>
  <c r="G251" i="74"/>
  <c r="I253" i="74"/>
  <c r="H252" i="74" l="1"/>
  <c r="G252" i="74"/>
  <c r="I254" i="74"/>
  <c r="H253" i="74" l="1"/>
  <c r="G253" i="74"/>
  <c r="I255" i="74"/>
  <c r="G254" i="74" l="1"/>
  <c r="H254" i="74"/>
  <c r="I256" i="74"/>
  <c r="H255" i="74" l="1"/>
  <c r="G255" i="74"/>
  <c r="I257" i="74"/>
  <c r="G256" i="74" l="1"/>
  <c r="H256" i="74"/>
  <c r="I258" i="74"/>
  <c r="G257" i="74" l="1"/>
  <c r="H257" i="74"/>
  <c r="I259" i="74"/>
  <c r="G258" i="74" l="1"/>
  <c r="H258" i="74"/>
  <c r="I260" i="74"/>
  <c r="H259" i="74" l="1"/>
  <c r="G259" i="74"/>
  <c r="I261" i="74"/>
  <c r="G260" i="74" l="1"/>
  <c r="H260" i="74"/>
  <c r="I262" i="74"/>
  <c r="G261" i="74" l="1"/>
  <c r="H261" i="74"/>
  <c r="I263" i="74"/>
  <c r="G262" i="74" l="1"/>
  <c r="H262" i="74"/>
  <c r="I264" i="74"/>
  <c r="H263" i="74" l="1"/>
  <c r="G263" i="74"/>
  <c r="I265" i="74"/>
  <c r="H264" i="74" l="1"/>
  <c r="G264" i="74"/>
  <c r="I266" i="74"/>
  <c r="H265" i="74" l="1"/>
  <c r="G265" i="74"/>
  <c r="I267" i="74"/>
  <c r="G266" i="74" l="1"/>
  <c r="H266" i="74"/>
  <c r="I268" i="74"/>
  <c r="G267" i="74" l="1"/>
  <c r="H267" i="74"/>
  <c r="I269" i="74"/>
  <c r="G268" i="74" l="1"/>
  <c r="H268" i="74"/>
  <c r="I270" i="74"/>
  <c r="G269" i="74" l="1"/>
  <c r="H269" i="74"/>
  <c r="I271" i="74"/>
  <c r="G270" i="74" l="1"/>
  <c r="H270" i="74"/>
  <c r="I272" i="74"/>
  <c r="G271" i="74" l="1"/>
  <c r="H271" i="74"/>
  <c r="I273" i="74"/>
  <c r="G272" i="74" l="1"/>
  <c r="H272" i="74"/>
  <c r="I274" i="74"/>
  <c r="H273" i="74" l="1"/>
  <c r="G273" i="74"/>
  <c r="I275" i="74"/>
  <c r="H274" i="74" l="1"/>
  <c r="G274" i="74"/>
  <c r="I276" i="74"/>
  <c r="G275" i="74" l="1"/>
  <c r="H275" i="74"/>
  <c r="I277" i="74"/>
  <c r="H276" i="74" l="1"/>
  <c r="G276" i="74"/>
  <c r="I278" i="74"/>
  <c r="G277" i="74" l="1"/>
  <c r="H277" i="74"/>
  <c r="I279" i="74"/>
  <c r="H278" i="74" l="1"/>
  <c r="G278" i="74"/>
  <c r="I280" i="74"/>
  <c r="H279" i="74" l="1"/>
  <c r="G279" i="74"/>
  <c r="I281" i="74"/>
  <c r="G280" i="74" l="1"/>
  <c r="H280" i="74"/>
  <c r="I282" i="74"/>
  <c r="H281" i="74" l="1"/>
  <c r="G281" i="74"/>
  <c r="I283" i="74"/>
  <c r="H282" i="74" l="1"/>
  <c r="G282" i="74"/>
  <c r="I284" i="74"/>
  <c r="G283" i="74" l="1"/>
  <c r="H283" i="74"/>
  <c r="I285" i="74"/>
  <c r="G284" i="74" l="1"/>
  <c r="H284" i="74"/>
  <c r="I286" i="74"/>
  <c r="G285" i="74" l="1"/>
  <c r="H285" i="74"/>
  <c r="I287" i="74"/>
  <c r="G286" i="74" l="1"/>
  <c r="H286" i="74"/>
  <c r="I288" i="74"/>
  <c r="H287" i="74" l="1"/>
  <c r="G287" i="74"/>
  <c r="I289" i="74"/>
  <c r="H288" i="74" l="1"/>
  <c r="G288" i="74"/>
  <c r="I290" i="74"/>
  <c r="H289" i="74" l="1"/>
  <c r="G289" i="74"/>
  <c r="I291" i="74"/>
  <c r="H290" i="74" l="1"/>
  <c r="G290" i="74"/>
  <c r="I292" i="74"/>
  <c r="H291" i="74" l="1"/>
  <c r="G291" i="74"/>
  <c r="I293" i="74"/>
  <c r="G292" i="74" l="1"/>
  <c r="H292" i="74"/>
  <c r="I294" i="74"/>
  <c r="G293" i="74" l="1"/>
  <c r="H293" i="74"/>
  <c r="I295" i="74"/>
  <c r="H294" i="74" l="1"/>
  <c r="G294" i="74"/>
  <c r="I296" i="74"/>
  <c r="G295" i="74" l="1"/>
  <c r="H295" i="74"/>
  <c r="I297" i="74"/>
  <c r="G296" i="74" l="1"/>
  <c r="H296" i="74"/>
  <c r="I298" i="74"/>
  <c r="G297" i="74" l="1"/>
  <c r="H297" i="74"/>
  <c r="I299" i="74"/>
  <c r="H298" i="74" l="1"/>
  <c r="G298" i="74"/>
  <c r="I300" i="74"/>
  <c r="H299" i="74" l="1"/>
  <c r="G299" i="74"/>
  <c r="I301" i="74"/>
  <c r="H300" i="74" l="1"/>
  <c r="G300" i="74"/>
  <c r="I302" i="74"/>
  <c r="G301" i="74" l="1"/>
  <c r="H301" i="74"/>
  <c r="I303" i="74"/>
  <c r="H302" i="74" l="1"/>
  <c r="G302" i="74"/>
  <c r="I304" i="74"/>
  <c r="G303" i="74" l="1"/>
  <c r="H303" i="74"/>
  <c r="I305" i="74"/>
  <c r="G304" i="74" l="1"/>
  <c r="H304" i="74"/>
  <c r="I306" i="74"/>
  <c r="G305" i="74" l="1"/>
  <c r="H305" i="74"/>
  <c r="I307" i="74"/>
  <c r="G306" i="74" l="1"/>
  <c r="H306" i="74"/>
  <c r="I308" i="74"/>
  <c r="H307" i="74" l="1"/>
  <c r="G307" i="74"/>
  <c r="I309" i="74"/>
  <c r="H308" i="74" l="1"/>
  <c r="G308" i="74"/>
  <c r="I310" i="74"/>
  <c r="H309" i="74" l="1"/>
  <c r="G309" i="74"/>
  <c r="I311" i="74"/>
  <c r="G310" i="74" l="1"/>
  <c r="H310" i="74"/>
  <c r="I312" i="74"/>
  <c r="G311" i="74" l="1"/>
  <c r="H311" i="74"/>
  <c r="I313" i="74"/>
  <c r="G312" i="74" l="1"/>
  <c r="H312" i="74"/>
  <c r="I314" i="74"/>
  <c r="G313" i="74" l="1"/>
  <c r="H313" i="74"/>
  <c r="I315" i="74"/>
  <c r="G314" i="74" l="1"/>
  <c r="H314" i="74"/>
  <c r="I316" i="74"/>
  <c r="H315" i="74" l="1"/>
  <c r="G315" i="74"/>
  <c r="I317" i="74"/>
  <c r="H316" i="74" l="1"/>
  <c r="G316" i="74"/>
  <c r="I318" i="74"/>
  <c r="G317" i="74" l="1"/>
  <c r="H317" i="74"/>
  <c r="I319" i="74"/>
  <c r="H318" i="74" l="1"/>
  <c r="G318" i="74"/>
  <c r="I320" i="74"/>
  <c r="G319" i="74" l="1"/>
  <c r="H319" i="74"/>
  <c r="I321" i="74"/>
  <c r="H320" i="74" l="1"/>
  <c r="G320" i="74"/>
  <c r="I322" i="74"/>
  <c r="H321" i="74" l="1"/>
  <c r="G321" i="74"/>
  <c r="I323" i="74"/>
  <c r="H322" i="74" l="1"/>
  <c r="G322" i="74"/>
  <c r="I324" i="74"/>
  <c r="G323" i="74" l="1"/>
  <c r="H323" i="74"/>
  <c r="I325" i="74"/>
  <c r="G324" i="74" l="1"/>
  <c r="H324" i="74"/>
  <c r="I326" i="74"/>
  <c r="G325" i="74" l="1"/>
  <c r="H325" i="74"/>
  <c r="I327" i="74"/>
  <c r="H326" i="74" l="1"/>
  <c r="G326" i="74"/>
  <c r="I328" i="74"/>
  <c r="H327" i="74" l="1"/>
  <c r="G327" i="74"/>
  <c r="I329" i="74"/>
  <c r="H328" i="74" l="1"/>
  <c r="G328" i="74"/>
  <c r="I330" i="74"/>
  <c r="H329" i="74" l="1"/>
  <c r="G329" i="74"/>
  <c r="I331" i="74"/>
  <c r="G330" i="74" l="1"/>
  <c r="H330" i="74"/>
  <c r="I332" i="74"/>
  <c r="G331" i="74" l="1"/>
  <c r="H331" i="74"/>
  <c r="I333" i="74"/>
  <c r="G332" i="74" l="1"/>
  <c r="H332" i="74"/>
  <c r="I334" i="74"/>
  <c r="H333" i="74" l="1"/>
  <c r="G333" i="74"/>
  <c r="I335" i="74"/>
  <c r="H334" i="74" l="1"/>
  <c r="G334" i="74"/>
  <c r="I336" i="74"/>
  <c r="G335" i="74" l="1"/>
  <c r="H335" i="74"/>
  <c r="I337" i="74"/>
  <c r="H336" i="74" l="1"/>
  <c r="G336" i="74"/>
  <c r="I338" i="74"/>
  <c r="G337" i="74" l="1"/>
  <c r="H337" i="74"/>
  <c r="I339" i="74"/>
  <c r="H338" i="74" l="1"/>
  <c r="G338" i="74"/>
  <c r="I340" i="74"/>
  <c r="G339" i="74" l="1"/>
  <c r="H339" i="74"/>
  <c r="I341" i="74"/>
  <c r="G340" i="74" l="1"/>
  <c r="H340" i="74"/>
  <c r="I342" i="74"/>
  <c r="G341" i="74" l="1"/>
  <c r="H341" i="74"/>
  <c r="I343" i="74"/>
  <c r="G342" i="74" l="1"/>
  <c r="H342" i="74"/>
  <c r="I344" i="74"/>
  <c r="G343" i="74" l="1"/>
  <c r="H343" i="74"/>
  <c r="I345" i="74"/>
  <c r="G344" i="74" l="1"/>
  <c r="H344" i="74"/>
  <c r="I346" i="74"/>
  <c r="H345" i="74" l="1"/>
  <c r="G345" i="74"/>
  <c r="I347" i="74"/>
  <c r="H346" i="74" l="1"/>
  <c r="G346" i="74"/>
  <c r="I348" i="74"/>
  <c r="G347" i="74" l="1"/>
  <c r="H347" i="74"/>
  <c r="I349" i="74"/>
  <c r="G348" i="74" l="1"/>
  <c r="H348" i="74"/>
  <c r="I350" i="74"/>
  <c r="G349" i="74" l="1"/>
  <c r="H349" i="74"/>
  <c r="I351" i="74"/>
  <c r="H350" i="74" l="1"/>
  <c r="G350" i="74"/>
  <c r="I352" i="74"/>
  <c r="H351" i="74" l="1"/>
  <c r="G351" i="74"/>
  <c r="I353" i="74"/>
  <c r="G352" i="74" l="1"/>
  <c r="H352" i="74"/>
  <c r="I354" i="74"/>
  <c r="H353" i="74" l="1"/>
  <c r="G353" i="74"/>
  <c r="I355" i="74"/>
  <c r="H354" i="74" l="1"/>
  <c r="G354" i="74"/>
  <c r="I356" i="74"/>
  <c r="G355" i="74" l="1"/>
  <c r="H355" i="74"/>
  <c r="I357" i="74"/>
  <c r="H356" i="74" l="1"/>
  <c r="G356" i="74"/>
  <c r="I358" i="74"/>
  <c r="G357" i="74" l="1"/>
  <c r="H357" i="74"/>
  <c r="I359" i="74"/>
  <c r="G358" i="74" l="1"/>
  <c r="H358" i="74"/>
  <c r="I360" i="74"/>
  <c r="H359" i="74" l="1"/>
  <c r="G359" i="74"/>
  <c r="I361" i="74"/>
  <c r="G360" i="74" l="1"/>
  <c r="H360" i="74"/>
  <c r="I362" i="74"/>
  <c r="G361" i="74" l="1"/>
  <c r="H361" i="74"/>
  <c r="I363" i="74"/>
  <c r="G362" i="74" l="1"/>
  <c r="H362" i="74"/>
  <c r="I364" i="74"/>
  <c r="G363" i="74" l="1"/>
  <c r="H363" i="74"/>
  <c r="I365" i="74"/>
  <c r="G364" i="74" l="1"/>
  <c r="H364" i="74"/>
  <c r="I366" i="74"/>
  <c r="G365" i="74" l="1"/>
  <c r="H365" i="74"/>
  <c r="I367" i="74"/>
  <c r="G366" i="74" l="1"/>
  <c r="H366" i="74"/>
  <c r="I368" i="74"/>
  <c r="H367" i="74" l="1"/>
  <c r="G367" i="74"/>
  <c r="I369" i="74"/>
  <c r="G368" i="74" l="1"/>
  <c r="H368" i="74"/>
  <c r="I370" i="74"/>
  <c r="H369" i="74" l="1"/>
  <c r="G369" i="74"/>
  <c r="I371" i="74"/>
  <c r="G370" i="74" l="1"/>
  <c r="H370" i="74"/>
  <c r="I372" i="74"/>
  <c r="G371" i="74" l="1"/>
  <c r="H371" i="74"/>
  <c r="I373" i="74"/>
  <c r="G372" i="74" l="1"/>
  <c r="H372" i="74"/>
  <c r="I374" i="74"/>
  <c r="H373" i="74" l="1"/>
  <c r="G373" i="74"/>
  <c r="I375" i="74"/>
  <c r="G374" i="74" l="1"/>
  <c r="H374" i="74"/>
  <c r="I376" i="74"/>
  <c r="H375" i="74" l="1"/>
  <c r="G375" i="74"/>
  <c r="I377" i="74"/>
  <c r="H376" i="74" l="1"/>
  <c r="G376" i="74"/>
  <c r="I378" i="74"/>
  <c r="G377" i="74" l="1"/>
  <c r="H377" i="74"/>
  <c r="I379" i="74"/>
  <c r="H378" i="74" l="1"/>
  <c r="G378" i="74"/>
  <c r="I380" i="74"/>
  <c r="H379" i="74" l="1"/>
  <c r="G379" i="74"/>
  <c r="I381" i="74"/>
  <c r="G380" i="74" l="1"/>
  <c r="H380" i="74"/>
  <c r="I382" i="74"/>
  <c r="G381" i="74" l="1"/>
  <c r="H381" i="74"/>
  <c r="I383" i="74"/>
  <c r="G382" i="74" l="1"/>
  <c r="H382" i="74"/>
  <c r="I384" i="74"/>
  <c r="H383" i="74" l="1"/>
  <c r="G383" i="74"/>
  <c r="I385" i="74"/>
  <c r="H384" i="74" l="1"/>
  <c r="G384" i="74"/>
  <c r="I386" i="74"/>
  <c r="G385" i="74" l="1"/>
  <c r="H385" i="74"/>
  <c r="I387" i="74"/>
  <c r="H386" i="74" l="1"/>
  <c r="G386" i="74"/>
  <c r="I388" i="74"/>
  <c r="G387" i="74" l="1"/>
  <c r="H387" i="74"/>
  <c r="I389" i="74"/>
  <c r="G388" i="74" l="1"/>
  <c r="H388" i="74"/>
  <c r="I390" i="74"/>
  <c r="H389" i="74" l="1"/>
  <c r="G389" i="74"/>
  <c r="I391" i="74"/>
  <c r="G390" i="74" l="1"/>
  <c r="H390" i="74"/>
  <c r="I392" i="74"/>
  <c r="G391" i="74" l="1"/>
  <c r="H391" i="74"/>
  <c r="I393" i="74"/>
  <c r="G392" i="74" l="1"/>
  <c r="H392" i="74"/>
  <c r="I394" i="74"/>
  <c r="H393" i="74" l="1"/>
  <c r="G393" i="74"/>
  <c r="I395" i="74"/>
  <c r="H394" i="74" l="1"/>
  <c r="G394" i="74"/>
  <c r="I396" i="74"/>
  <c r="H395" i="74" l="1"/>
  <c r="G395" i="74"/>
  <c r="I397" i="74"/>
  <c r="H396" i="74" l="1"/>
  <c r="G396" i="74"/>
  <c r="I398" i="74"/>
  <c r="H397" i="74" l="1"/>
  <c r="G397" i="74"/>
  <c r="I399" i="74"/>
  <c r="H398" i="74" l="1"/>
  <c r="G398" i="74"/>
  <c r="I400" i="74"/>
  <c r="H399" i="74" l="1"/>
  <c r="G399" i="74"/>
  <c r="I401" i="74"/>
  <c r="H400" i="74" l="1"/>
  <c r="G400" i="74"/>
  <c r="I402" i="74"/>
  <c r="G401" i="74" l="1"/>
  <c r="H401" i="74"/>
  <c r="I403" i="74"/>
  <c r="G402" i="74" l="1"/>
  <c r="H402" i="74"/>
  <c r="I404" i="74"/>
  <c r="H403" i="74" l="1"/>
  <c r="G403" i="74"/>
  <c r="I405" i="74"/>
  <c r="G404" i="74" l="1"/>
  <c r="H404" i="74"/>
  <c r="I406" i="74"/>
  <c r="H405" i="74" l="1"/>
  <c r="G405" i="74"/>
  <c r="G406" i="74" l="1"/>
  <c r="H406" i="74"/>
  <c r="I407" i="74"/>
  <c r="I42" i="74" s="1"/>
  <c r="E42" i="74"/>
  <c r="G407" i="74" l="1"/>
  <c r="G42" i="74" s="1"/>
  <c r="H407" i="74"/>
  <c r="H42"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<sst xmlns="http://schemas.openxmlformats.org/spreadsheetml/2006/main" count="7397" uniqueCount="1183">
  <si>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</si>
  <si>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</si>
  <si>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</si>
  <si>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</si>
  <si>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</si>
  <si>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</si>
  <si>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</si>
  <si>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</si>
  <si>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</si>
  <si>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</si>
  <si>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</si>
  <si>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</si>
  <si>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</si>
  <si>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</si>
  <si>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</si>
  <si>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</si>
  <si>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</si>
  <si>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</si>
  <si>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</si>
  <si>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</si>
  <si>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</si>
  <si>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</si>
  <si>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</si>
  <si>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</si>
  <si>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</si>
  <si>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</si>
  <si>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</si>
  <si>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</si>
  <si>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</si>
  <si>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</si>
  <si>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</si>
  <si>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</si>
  <si>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</si>
  <si>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</si>
  <si>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</si>
  <si>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</si>
  <si>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</si>
  <si>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</si>
  <si>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</si>
  <si>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</si>
  <si>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</si>
  <si>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</si>
  <si>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</si>
  <si>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</si>
  <si>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</si>
  <si>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</si>
  <si>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</si>
  <si>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</si>
  <si>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</si>
  <si>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</si>
  <si>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</si>
  <si>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</si>
  <si>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</si>
  <si>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</si>
  <si>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</si>
  <si>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</si>
  <si>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</si>
  <si>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</si>
  <si>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</si>
  <si>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</si>
  <si>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</si>
  <si>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</si>
  <si>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</si>
  <si>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</si>
  <si>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</si>
  <si>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</si>
  <si>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</si>
  <si>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</si>
  <si>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</si>
  <si>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</si>
  <si>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</si>
  <si>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</si>
  <si>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</si>
  <si>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</si>
  <si>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</si>
  <si>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</si>
  <si>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</si>
  <si>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</si>
  <si>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</si>
  <si>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</si>
  <si>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</si>
  <si>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</si>
  <si>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</si>
  <si>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</si>
  <si>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</si>
  <si>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</si>
  <si>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</si>
  <si>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</si>
  <si>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</si>
  <si>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</si>
  <si>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</si>
  <si>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</si>
  <si>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</si>
  <si>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</si>
  <si>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</si>
  <si>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</si>
  <si>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</si>
  <si>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</si>
  <si>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</si>
  <si>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</si>
  <si>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</si>
  <si>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</si>
  <si>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</si>
  <si>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</si>
  <si>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</si>
  <si>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</si>
  <si>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</si>
  <si>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</si>
  <si>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</si>
  <si>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</si>
  <si>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</si>
  <si>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</si>
  <si>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</si>
  <si>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</si>
  <si>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</si>
  <si>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</si>
  <si>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</si>
  <si>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</si>
  <si>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</si>
  <si>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</si>
  <si>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</si>
  <si>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</si>
  <si>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</si>
  <si>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</si>
  <si>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</si>
  <si>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</si>
  <si>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</si>
  <si>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</si>
  <si>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</si>
  <si>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</si>
  <si>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</si>
  <si>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</si>
  <si>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</si>
  <si>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</si>
  <si>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</si>
  <si>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</si>
  <si>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</si>
  <si>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</si>
  <si>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</si>
  <si>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</si>
  <si>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</si>
  <si>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</si>
  <si>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</si>
  <si>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</si>
  <si>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</si>
  <si>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</si>
  <si>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</si>
  <si>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</si>
  <si>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</si>
  <si>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</si>
  <si>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</si>
  <si>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</si>
  <si>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</si>
  <si>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</si>
  <si>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</si>
  <si>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</si>
  <si>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</si>
  <si>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</si>
  <si>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</si>
  <si>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</si>
  <si>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</si>
  <si>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</si>
  <si>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</si>
  <si>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</si>
  <si>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</si>
  <si>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</si>
  <si>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</si>
  <si>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</si>
  <si>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</si>
  <si>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</si>
  <si>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</si>
  <si>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</si>
  <si>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</si>
  <si>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</si>
  <si>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</si>
  <si>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</si>
  <si>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</si>
  <si>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</si>
  <si>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</si>
  <si>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</si>
  <si>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</si>
  <si>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</si>
  <si>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</si>
  <si>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</si>
  <si>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</si>
  <si>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</si>
  <si>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</si>
  <si>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</si>
  <si>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</si>
  <si>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</si>
  <si>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</si>
  <si>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</si>
  <si>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</si>
  <si>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</si>
  <si>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</si>
  <si>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</si>
  <si>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</si>
  <si>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</si>
  <si>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</si>
  <si>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</si>
  <si>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</si>
  <si>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</si>
  <si>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</si>
  <si>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</si>
  <si>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</si>
  <si>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</si>
  <si>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</si>
  <si>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</si>
  <si>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</si>
  <si>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</si>
  <si>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</si>
  <si>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</si>
  <si>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</si>
  <si>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</si>
  <si>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</si>
  <si>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</si>
  <si>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</si>
  <si>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</si>
  <si>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</si>
  <si>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</si>
  <si>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</si>
  <si>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</si>
  <si>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</si>
  <si>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</si>
  <si>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</si>
  <si>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</si>
  <si>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</si>
  <si>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</si>
  <si>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</si>
  <si>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</si>
  <si>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</si>
  <si>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</si>
  <si>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</si>
  <si>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</si>
  <si>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</si>
  <si>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</si>
  <si>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</si>
  <si>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</si>
  <si>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</si>
  <si>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</si>
  <si>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</si>
  <si>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</si>
  <si>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</si>
  <si>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</si>
  <si>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</si>
  <si>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</si>
  <si>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</si>
  <si>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</si>
  <si>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</si>
  <si>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</si>
  <si>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</si>
  <si>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</si>
  <si>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</si>
  <si>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</si>
  <si>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</si>
  <si>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</si>
  <si>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</si>
  <si>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</si>
  <si>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</si>
  <si>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</si>
  <si>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</si>
  <si>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</si>
  <si>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</si>
  <si>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</si>
  <si>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</si>
  <si>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</si>
  <si>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</si>
  <si>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</si>
  <si>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</si>
  <si>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</si>
  <si>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</si>
  <si>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</si>
  <si>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</si>
  <si>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</si>
  <si>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</si>
  <si>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</si>
  <si>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</si>
  <si>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</si>
  <si>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</si>
  <si>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</si>
  <si>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</si>
  <si>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</si>
  <si>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</si>
  <si>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</si>
  <si>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</si>
  <si>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</si>
  <si>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</si>
  <si>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</si>
  <si>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</si>
  <si>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</si>
  <si>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</si>
  <si>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</si>
  <si>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</si>
  <si>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</si>
  <si>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</si>
  <si>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</si>
  <si>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</si>
  <si>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</si>
  <si>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</si>
  <si>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</si>
  <si>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</si>
  <si>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</si>
  <si>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</si>
  <si>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</si>
  <si>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</si>
  <si>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</si>
  <si>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</si>
  <si>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</si>
  <si>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</si>
  <si>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</si>
  <si>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</si>
  <si>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</si>
  <si>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</si>
  <si>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</si>
  <si>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</si>
  <si>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</si>
  <si>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</si>
  <si>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</si>
  <si>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</si>
  <si>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</si>
  <si>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</si>
  <si>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</si>
  <si>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</si>
  <si>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</si>
  <si>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</si>
  <si>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</si>
  <si>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</si>
  <si>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</si>
  <si>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</si>
  <si>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</si>
  <si>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</si>
  <si>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</si>
  <si>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</si>
  <si>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</si>
  <si>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</si>
  <si>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</si>
  <si>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</si>
  <si>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</si>
  <si>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</si>
  <si>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</si>
  <si>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</si>
  <si>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</si>
  <si>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</si>
  <si>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</si>
  <si>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</si>
  <si>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</si>
  <si>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</si>
  <si>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</si>
  <si>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</si>
  <si>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</si>
  <si>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</si>
  <si>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</si>
  <si>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</si>
  <si>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</si>
  <si>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</si>
  <si>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</si>
  <si>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</si>
  <si>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</si>
  <si>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</si>
  <si>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</si>
  <si>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</si>
  <si>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</si>
  <si>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</si>
  <si>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</si>
  <si>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</si>
  <si>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</si>
  <si>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</si>
  <si>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</si>
  <si>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</si>
  <si>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</si>
  <si>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</si>
  <si>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</si>
  <si>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</si>
  <si>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</si>
  <si>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</si>
  <si>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</si>
  <si>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</si>
  <si>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</si>
  <si>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</si>
  <si>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</si>
  <si>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</si>
  <si>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</si>
  <si>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</si>
  <si>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</si>
  <si>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</si>
  <si>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</si>
  <si>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</si>
  <si>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</si>
  <si>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</si>
  <si>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</si>
  <si>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</si>
  <si>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</si>
  <si>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</si>
  <si>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</si>
  <si>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</si>
  <si>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</si>
  <si>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</si>
  <si>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</si>
  <si>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</si>
  <si>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</si>
  <si>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</si>
  <si>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</si>
  <si>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</si>
  <si>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</si>
  <si>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</si>
  <si>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</si>
  <si>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</si>
  <si>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</si>
  <si>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</si>
  <si>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</si>
  <si>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</si>
  <si>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</si>
  <si>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</si>
  <si>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</si>
  <si>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</si>
  <si>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</si>
  <si>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</si>
  <si>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</si>
  <si>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</si>
  <si>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</si>
  <si>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</si>
  <si>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</si>
  <si>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</si>
  <si>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</si>
  <si>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</si>
  <si>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</si>
  <si>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</si>
  <si>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</si>
  <si>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</si>
  <si>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</si>
  <si>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</si>
  <si>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</si>
  <si>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</si>
  <si>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</si>
  <si>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</si>
  <si>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</si>
  <si>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</si>
  <si>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</si>
  <si>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</si>
  <si>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</si>
  <si>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</si>
  <si>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</si>
  <si>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</si>
  <si>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</si>
  <si>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</si>
  <si>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</si>
  <si>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</si>
  <si>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</si>
  <si>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</si>
  <si>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</si>
  <si>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</si>
  <si>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</si>
  <si>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</si>
  <si>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</si>
  <si>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</si>
  <si>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</si>
  <si>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</si>
  <si>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</si>
  <si>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</si>
  <si>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</si>
  <si>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</si>
  <si>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</si>
  <si>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</si>
  <si>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</si>
  <si>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</si>
  <si>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</si>
  <si>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</si>
  <si>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</si>
  <si>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</si>
  <si>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</si>
  <si>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</si>
  <si>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</si>
  <si>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</si>
  <si>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</si>
  <si>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</si>
  <si>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</si>
  <si>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</si>
  <si>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</si>
  <si>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</si>
  <si>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</si>
  <si>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</si>
  <si>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</si>
  <si>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</si>
  <si>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</si>
  <si>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</si>
  <si>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</si>
  <si>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</si>
  <si>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</si>
  <si>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</si>
  <si>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</si>
  <si>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</si>
  <si>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</si>
  <si>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</si>
  <si>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</si>
  <si>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</si>
  <si>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</si>
  <si>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</si>
  <si>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</si>
  <si>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</si>
  <si>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</si>
  <si>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</si>
  <si>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</si>
  <si>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</si>
  <si>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</si>
  <si>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</si>
  <si>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</si>
  <si>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</si>
  <si>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</si>
  <si>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</si>
  <si>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</si>
  <si>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</si>
  <si>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</si>
  <si>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</si>
  <si>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</si>
  <si>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</si>
  <si>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</si>
  <si>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</si>
  <si>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</si>
  <si>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</si>
  <si>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</si>
  <si>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</si>
  <si>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</si>
  <si>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</si>
  <si>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</si>
  <si>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</si>
  <si>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</si>
  <si>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</si>
  <si>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</si>
  <si>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</si>
  <si>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</si>
  <si>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</si>
  <si>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</si>
  <si>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</si>
  <si>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</si>
  <si>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</si>
  <si>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</si>
  <si>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</si>
  <si>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</si>
  <si>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</si>
  <si>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</si>
  <si>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</si>
  <si>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</si>
  <si>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</si>
  <si>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</si>
  <si>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</si>
  <si>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</si>
  <si>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</si>
  <si>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</si>
  <si>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</si>
  <si>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</si>
  <si>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</si>
  <si>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</si>
  <si>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</si>
  <si>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</si>
  <si>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</si>
  <si>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</si>
  <si>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</si>
  <si>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</si>
  <si>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</si>
  <si>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</si>
  <si>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</si>
  <si>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</si>
  <si>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</si>
  <si>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</si>
  <si>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</si>
  <si>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</si>
  <si>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</si>
  <si>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</si>
  <si>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</si>
  <si>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</si>
  <si>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</si>
  <si>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</si>
  <si>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</si>
  <si>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</si>
  <si>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</si>
  <si>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</si>
  <si>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</si>
  <si>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</si>
  <si>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</si>
  <si>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</si>
  <si>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</si>
  <si>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</si>
  <si>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</si>
  <si>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</si>
  <si>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</si>
  <si>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</si>
  <si>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</si>
  <si>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</si>
  <si>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</si>
  <si>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</si>
  <si>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</si>
  <si>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</si>
  <si>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</si>
  <si>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</si>
  <si>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</si>
  <si>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</si>
  <si>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</si>
  <si>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</si>
  <si>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</si>
  <si>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</si>
  <si>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</si>
  <si>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</si>
  <si>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</si>
  <si>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</si>
  <si>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</si>
  <si>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</si>
  <si>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</si>
  <si>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</si>
  <si>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</si>
  <si>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</si>
  <si>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</si>
  <si>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</si>
  <si>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</si>
  <si>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</si>
  <si>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</si>
  <si>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</si>
  <si>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</si>
  <si>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</si>
  <si>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</si>
  <si>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</si>
  <si>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</si>
  <si>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</si>
  <si>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</si>
  <si>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</si>
  <si>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</si>
  <si>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</si>
  <si>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</si>
  <si>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</si>
  <si>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</si>
  <si>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</si>
  <si>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</si>
  <si>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</si>
  <si>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</si>
  <si>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</si>
  <si>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</si>
  <si>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</si>
  <si>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</si>
  <si>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</si>
  <si>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</si>
  <si>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</si>
  <si>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</si>
  <si>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</si>
  <si>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</si>
  <si>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</si>
  <si>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</si>
  <si>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</si>
  <si>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</si>
  <si>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</si>
  <si>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</si>
  <si>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</si>
  <si>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</si>
  <si>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</si>
  <si>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</si>
  <si>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</si>
  <si>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</si>
  <si>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</si>
  <si>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</si>
  <si>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</si>
  <si>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</si>
  <si>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</si>
  <si>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</si>
  <si>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</si>
  <si>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</si>
  <si>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</si>
  <si>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</si>
  <si>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</si>
  <si>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</si>
  <si>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</si>
  <si>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</si>
  <si>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</si>
  <si>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</si>
  <si>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</si>
  <si>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</si>
  <si>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</si>
  <si>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</si>
  <si>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</si>
  <si>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</si>
  <si>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</si>
  <si>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</si>
  <si>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</si>
  <si>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</si>
  <si>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</si>
  <si>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</si>
  <si>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</si>
  <si>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</si>
  <si>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</si>
  <si>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</si>
  <si>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</si>
  <si>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</si>
  <si>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</si>
  <si>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</si>
  <si>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</si>
  <si>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</si>
  <si>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</si>
  <si>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</si>
  <si>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</si>
  <si>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</si>
  <si>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</si>
  <si>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Source:</t>
  </si>
  <si>
    <t>Check</t>
  </si>
  <si>
    <t>Report</t>
  </si>
  <si>
    <t>Company</t>
  </si>
  <si>
    <t>Ledger</t>
  </si>
  <si>
    <t>ACTUALS</t>
  </si>
  <si>
    <t>Book</t>
  </si>
  <si>
    <t>Period</t>
  </si>
  <si>
    <t>Multi Company Filter</t>
  </si>
  <si>
    <t>Report last ran on</t>
  </si>
  <si>
    <t>Ledger Account</t>
  </si>
  <si>
    <t>Ledger accounts</t>
  </si>
  <si>
    <t>APA Asset</t>
  </si>
  <si>
    <t>Cost Center</t>
  </si>
  <si>
    <t>Spend Category</t>
  </si>
  <si>
    <t>Revenue Category</t>
  </si>
  <si>
    <t>Supplier</t>
  </si>
  <si>
    <t>Customer</t>
  </si>
  <si>
    <t>Ledger/Budget Debit minus Credit</t>
  </si>
  <si>
    <t>2024-11</t>
  </si>
  <si>
    <t>2025-06</t>
  </si>
  <si>
    <t>2024-07</t>
  </si>
  <si>
    <t>2024-08</t>
  </si>
  <si>
    <t>2024-09</t>
  </si>
  <si>
    <t>2024-10</t>
  </si>
  <si>
    <t>2024-12</t>
  </si>
  <si>
    <t>2025-01</t>
  </si>
  <si>
    <t>2025-02</t>
  </si>
  <si>
    <t>2025-03</t>
  </si>
  <si>
    <t>2025-04</t>
  </si>
  <si>
    <t>2025-05</t>
  </si>
  <si>
    <t>Manual Journal</t>
  </si>
  <si>
    <t>FY24</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</si>
  <si>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</si>
  <si>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</si>
  <si>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</si>
  <si>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</si>
  <si>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</si>
  <si>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</si>
  <si>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</si>
  <si>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</si>
  <si>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</si>
  <si>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</si>
  <si>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</si>
  <si>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</si>
  <si>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</si>
  <si>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</si>
  <si>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</si>
  <si>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 xml:space="preserve">Acquistion of Allgas By GDI (EII) Pty Limited on </t>
  </si>
  <si>
    <t>RC0056 CAPACITY TRADING - MINIMUM BILL PARTICIPANT FEE</t>
  </si>
  <si>
    <t>1701:PROPERTY, PLANT AND EQUIPMENT - COST (CONTRA)</t>
  </si>
  <si>
    <t>4000:OPERATING REVENUE</t>
  </si>
  <si>
    <t>MSP</t>
  </si>
  <si>
    <t>CWP</t>
  </si>
  <si>
    <t>SESA</t>
  </si>
  <si>
    <t>BWP</t>
  </si>
  <si>
    <t>SWQP</t>
  </si>
  <si>
    <t>WGP</t>
  </si>
  <si>
    <t>Closing cost</t>
  </si>
  <si>
    <t>Closing WDV</t>
  </si>
  <si>
    <t>Buildings</t>
  </si>
  <si>
    <t>City Gates, supply regulators and valve stations</t>
  </si>
  <si>
    <t>Compressors</t>
  </si>
  <si>
    <t>Odourant plants</t>
  </si>
  <si>
    <t>Metering</t>
  </si>
  <si>
    <t>Pipelines</t>
  </si>
  <si>
    <t>SCADA (Communications)</t>
  </si>
  <si>
    <r>
      <t xml:space="preserve">The acquisition date range of items of property, plant and equipment is required to be reported as part of </t>
    </r>
    <r>
      <rPr>
        <b/>
        <sz val="10"/>
        <rFont val="Arial"/>
        <family val="2"/>
      </rPr>
      <t>Table 3.5.1: Pipeline Assets at Cost.</t>
    </r>
  </si>
  <si>
    <t>The reported date range required to be reflected will be the year in which GDI was acquired from APA, through to the most recent year in which assets were capitalised.</t>
  </si>
  <si>
    <t xml:space="preserve">FY25 Movement </t>
  </si>
  <si>
    <t xml:space="preserve">Date range of required to be reported </t>
  </si>
  <si>
    <t>2011 - 2025</t>
  </si>
  <si>
    <t xml:space="preserve"> 14/12/2011</t>
  </si>
  <si>
    <t>2011 - ??</t>
  </si>
  <si>
    <t xml:space="preserve">Leased asset </t>
  </si>
  <si>
    <t>Table 3.5.1: Pipeline Assets at Cost.</t>
  </si>
  <si>
    <t>PPE C LAND &amp; BUILDINGS ROU ASSET - ADJUSTMENTS</t>
  </si>
  <si>
    <t>4000: OPERATING REVENUE</t>
  </si>
  <si>
    <t>C050</t>
  </si>
  <si>
    <t>Disposals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</si>
  <si>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</si>
  <si>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</si>
  <si>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</si>
  <si>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SWQP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</si>
  <si>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</si>
  <si>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</si>
  <si>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</si>
  <si>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</si>
  <si>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 AF</t>
  </si>
  <si>
    <t>ColumnL</t>
  </si>
  <si>
    <t>Opening cost</t>
  </si>
  <si>
    <t>Additions - adj</t>
  </si>
  <si>
    <t>Opening Accumulated Depreciation</t>
  </si>
  <si>
    <t>Depreciation expense</t>
  </si>
  <si>
    <t>Depreciation exp - disposal</t>
  </si>
  <si>
    <t>Closing Accumulated Depreciation</t>
  </si>
  <si>
    <t>Reg-Buildings-Buildings</t>
  </si>
  <si>
    <t>Reg-City Gates, supply regulators and valve stations-City Gates, supply regulators and valve stations</t>
  </si>
  <si>
    <t>Reg-IT systems-Other depreciable pipeline assets</t>
  </si>
  <si>
    <t>Reg-Metering-Metering</t>
  </si>
  <si>
    <t>Reg-Metering-Other depreciable pipeline assets</t>
  </si>
  <si>
    <t>Reg-Pipelines-Other depreciable pipeline assets</t>
  </si>
  <si>
    <t>Reg-Pipelines-Pipelines</t>
  </si>
  <si>
    <t>Reg-SCADA (Communications)-SCADA (Communications)</t>
  </si>
  <si>
    <t>(blank)</t>
  </si>
  <si>
    <t>Closing balance</t>
  </si>
  <si>
    <t>FY25</t>
  </si>
  <si>
    <t>A201 Central West Pipeline</t>
  </si>
  <si>
    <t>Transmission</t>
  </si>
  <si>
    <t>Auction Service</t>
  </si>
  <si>
    <t>Shared lease asset depreciation</t>
  </si>
  <si>
    <t>CRP</t>
  </si>
  <si>
    <t>blue highlights below indicates which numbers are used in the reporting tabs</t>
  </si>
  <si>
    <t>The info below was extracted from schedule located as follows:</t>
  </si>
  <si>
    <t>X:\Finance\Reg Shared Corp Asset\FY25\Leased Assets</t>
  </si>
  <si>
    <t>Opening WDV</t>
  </si>
  <si>
    <t>R-O-U lease asset at beginning of period</t>
  </si>
  <si>
    <t>Additions in Period</t>
  </si>
  <si>
    <t>Terminations in period</t>
  </si>
  <si>
    <t>R-O-U lease asset at end of period</t>
  </si>
  <si>
    <t>R-O-U lease depreciation at beginning of period</t>
  </si>
  <si>
    <t>Depreciation in Period</t>
  </si>
  <si>
    <t>R-O-U lease depreciation at end of period</t>
  </si>
  <si>
    <t>Interest Expense for Period (P&amp;L)</t>
  </si>
  <si>
    <t>This summary feeds into Table 3.3.1: Pipeline assets at cost. We report the leased assets WDV at 1 July 2019 (when AASB 16 was implemented) as initial construction cost, subsequent additions, disposals, depreciation are reported accumulatively in table 3.1.1.</t>
  </si>
  <si>
    <t>FY25 Info Link</t>
  </si>
  <si>
    <t>FY24 info link</t>
  </si>
  <si>
    <t>Z:\Finance\Reg Shared Corp Asset\FY24\Leased Assets FY24\Shared AASB 16 Leased Assets FY24.xlsx</t>
  </si>
  <si>
    <t>FY23 Info Link</t>
  </si>
  <si>
    <t>..\..\..\..\Reg Shared Corp Asset\FY23\Leased Assets FY23\Shared AASB 16 Leased Assets FY23.xlsx</t>
  </si>
  <si>
    <t>FY22 Info Link</t>
  </si>
  <si>
    <t>..\..\..\..\Reg Shared Corp Asset\FY22\Leased Assets FY22\Shared AASB 16 Leased Assets FY22.xlsx</t>
  </si>
  <si>
    <t>FY21 Info Link</t>
  </si>
  <si>
    <t>..\..\..\..\Reg Shared Corp Asset\FY21\Leased Assets FY21\Shared AASB 16 Leased Assets FY21 incl all Saas Cost in FY21 Part 23 and Part7.xlsx</t>
  </si>
  <si>
    <t>FY20 Info Link</t>
  </si>
  <si>
    <t>..\..\..\FY2020\3. Non Scheme Financial Reporting Template\7. PPS\pps-2020-part-23-financial-reporting (support file).xls</t>
  </si>
  <si>
    <t>FY20</t>
  </si>
  <si>
    <t>FY21</t>
  </si>
  <si>
    <t>FY22</t>
  </si>
  <si>
    <t>FY23</t>
  </si>
  <si>
    <t>Adj to Opening Balance 1 July 2024 to agree to FS</t>
  </si>
  <si>
    <t>B073 - 5057</t>
  </si>
  <si>
    <t>B117 - 4007</t>
  </si>
  <si>
    <t>B160 - 4122</t>
  </si>
  <si>
    <t>B015 - 2000</t>
  </si>
  <si>
    <t>B154 - 4024</t>
  </si>
  <si>
    <t>B094 - 2002</t>
  </si>
  <si>
    <t>Closing WDV for Part 10 reporting</t>
  </si>
  <si>
    <t>Opening WDV per Part 10 reporting</t>
  </si>
  <si>
    <t>Adjustment to agree to Opening balance</t>
  </si>
  <si>
    <t>Shared lease asset interest expense</t>
  </si>
  <si>
    <t>RC0076 PIPELINE - THROUGHPUT</t>
  </si>
  <si>
    <t>Adjustment to depreciationto align with prior period balance</t>
  </si>
  <si>
    <t>Note 1</t>
  </si>
  <si>
    <t xml:space="preserve">Negative addition of $39k relates to an adjustment to the ROU Cost on the implementation of the new lease software system, Progen. </t>
  </si>
  <si>
    <t>Dr 284112</t>
  </si>
  <si>
    <t>AASB 16 LEASE LIABILITY ADJUSTMENTS (CURRENT PERIOD) L&amp;B</t>
  </si>
  <si>
    <t>Cr 170057</t>
  </si>
  <si>
    <t>As the $39k is a reconciling item, the negative addition has not been recorded for the purposes of part 10.</t>
  </si>
  <si>
    <t xml:space="preserve">The following note relates to historical adjustment carried over from APA Group's old ERP system, Oracle. This has been kept to ensure records are robust. </t>
  </si>
  <si>
    <t>View Details - Organisations and Business Names</t>
  </si>
  <si>
    <t>APT PIPELINES (NSW) PTY LIMITED</t>
  </si>
  <si>
    <t>37 080 842 360</t>
  </si>
  <si>
    <t>Marsden and Dubbo New South Wales</t>
  </si>
  <si>
    <t>Central West Pipeline</t>
  </si>
  <si>
    <t>C009 APT PIPELINES (NSW) PTY LIMITED</t>
  </si>
  <si>
    <t>APA FIN - JOURNAL LINE TRANSACTION DETAILS</t>
  </si>
  <si>
    <t>Journal</t>
  </si>
  <si>
    <t>Journal Number</t>
  </si>
  <si>
    <t>Intercompany Initiating Company</t>
  </si>
  <si>
    <t>Status</t>
  </si>
  <si>
    <t>Journal Accounting period</t>
  </si>
  <si>
    <t>Accounting Date</t>
  </si>
  <si>
    <t>Accrual Journal</t>
  </si>
  <si>
    <t>Ledger Summary Level 08</t>
  </si>
  <si>
    <t>Included By Cash Flow Ledger Account Summary</t>
  </si>
  <si>
    <t>Transaction Debit Amount</t>
  </si>
  <si>
    <t>Transaction Credit Amount</t>
  </si>
  <si>
    <t>Transaction Currency</t>
  </si>
  <si>
    <t>Ledger Debit Amount</t>
  </si>
  <si>
    <t>Ledger Credit Amount</t>
  </si>
  <si>
    <t>Ledger Currency</t>
  </si>
  <si>
    <t>Line Memo</t>
  </si>
  <si>
    <t>External Reference ID</t>
  </si>
  <si>
    <t>Match ID</t>
  </si>
  <si>
    <t>Book Code</t>
  </si>
  <si>
    <t>Intercompany Affiliate</t>
  </si>
  <si>
    <t>Activity</t>
  </si>
  <si>
    <t>Project</t>
  </si>
  <si>
    <t>Project Task</t>
  </si>
  <si>
    <t>Project Plan Phase</t>
  </si>
  <si>
    <t>Project Plan Task</t>
  </si>
  <si>
    <t>Project Role</t>
  </si>
  <si>
    <t>Operational Transaction</t>
  </si>
  <si>
    <t>Purchase Order Line</t>
  </si>
  <si>
    <t>Part 10 Classification</t>
  </si>
  <si>
    <t>Sales Item</t>
  </si>
  <si>
    <t>Expense Report</t>
  </si>
  <si>
    <t>Regulatory Status</t>
  </si>
  <si>
    <t>Created by</t>
  </si>
  <si>
    <t>Created Moment</t>
  </si>
  <si>
    <t>JNL-00090473 - C009 APT PIPELINES (NSW) PTY LIMITED - 01/07/2024 - EC MAS Revenue accruals - June24 (Reversal)</t>
  </si>
  <si>
    <t>JNL-00090473</t>
  </si>
  <si>
    <t>C003 APA INFRASTRUCTURE LIMITED</t>
  </si>
  <si>
    <t>Posted</t>
  </si>
  <si>
    <t>Actuals</t>
  </si>
  <si>
    <t>Workday: Receipts from Customers</t>
  </si>
  <si>
    <t>AUD</t>
  </si>
  <si>
    <t>2024-06 Capacity Trading Participation Charge CWP</t>
  </si>
  <si>
    <t>800042 CENTRAL WEST PIPELINE (CWP)_GENERAL (C009)</t>
  </si>
  <si>
    <t>C-0090205 Alinta Energy Retail Sales 85465 GTA</t>
  </si>
  <si>
    <t>Capacity Trading - Minimum Bill</t>
  </si>
  <si>
    <t>Light Regulation</t>
  </si>
  <si>
    <t>Ravi Yenamandra</t>
  </si>
  <si>
    <t>2024-06 CWP CRP Service</t>
  </si>
  <si>
    <t>Throughput Charge Variable - STP</t>
  </si>
  <si>
    <t>2024-06 CWP Service</t>
  </si>
  <si>
    <t>JNL-00092086 - C009 APT PIPELINES (NSW) PTY LIMITED - 01/07/2024 - MSP MAS Revenue accrual - June24 (Reversal)</t>
  </si>
  <si>
    <t>JNL-00092086</t>
  </si>
  <si>
    <t>MSP OREN 109990 CWP Throughput Charge</t>
  </si>
  <si>
    <t>C-0109990 Origin GTA 2023</t>
  </si>
  <si>
    <t>CWP Marsden Service</t>
  </si>
  <si>
    <t>C-0054325 MAS AGL Wholesale Gas Limited</t>
  </si>
  <si>
    <t>JNL-00120724 - C009 APT PIPELINES (NSW) PTY LIMITED - 24/07/2024 - MSP MAS Revenue Trf - June24</t>
  </si>
  <si>
    <t>JNL-00120724</t>
  </si>
  <si>
    <t>C016 EAST AUSTRALIAN PIPELINE PTY LIMITED</t>
  </si>
  <si>
    <t>CWP Marsden: Receipt</t>
  </si>
  <si>
    <t>C-0033021 COVAU MAS 33021</t>
  </si>
  <si>
    <t>JNL-00121964 - C009 APT PIPELINES (NSW) PTY LIMITED - 26/07/2024 - EC MAS Revenue Trf - JUNE24</t>
  </si>
  <si>
    <t>JNL-00121964</t>
  </si>
  <si>
    <t>JNL-00128419 - C009 APT PIPELINES (NSW) PTY LIMITED - 31/07/2024 - EC MAS Revenue accruals - July24</t>
  </si>
  <si>
    <t>JNL-00128419</t>
  </si>
  <si>
    <t>2024-07 CWP CRP Service</t>
  </si>
  <si>
    <t>2024-07 CWP Service</t>
  </si>
  <si>
    <t>2024-07 Capacity Trading Participation Charge CWP</t>
  </si>
  <si>
    <t>JNL-00128424 - C009 APT PIPELINES (NSW) PTY LIMITED - 01/08/2024 - EC MAS Revenue accruals - July24 (Reversal)</t>
  </si>
  <si>
    <t>JNL-00128424</t>
  </si>
  <si>
    <t>JNL-00128446 - C009 APT PIPELINES (NSW) PTY LIMITED - 31/07/2024 - MSP MAS Revenue accrual - July24</t>
  </si>
  <si>
    <t>JNL-00128446</t>
  </si>
  <si>
    <t>JNL-00128452 - C009 APT PIPELINES (NSW) PTY LIMITED - 01/08/2024 - MSP MAS Revenue accrual - July24 (Reversal)</t>
  </si>
  <si>
    <t>JNL-00128452</t>
  </si>
  <si>
    <t>JNL-00142298 - C009 APT PIPELINES (NSW) PTY LIMITED - 20/08/2024 - MSP MAS Revenue Trf - July24</t>
  </si>
  <si>
    <t>JNL-00142298</t>
  </si>
  <si>
    <t>JNL-00144016 - C009 APT PIPELINES (NSW) PTY LIMITED - 26/08/2024 - EC MAS Revenue Trf - JULY24</t>
  </si>
  <si>
    <t>JNL-00144016</t>
  </si>
  <si>
    <t>JNL-00159362 - C009 APT PIPELINES (NSW) PTY LIMITED - 31/08/2024 - FLOCHO - MSP MAS Revenue accrual - August24</t>
  </si>
  <si>
    <t>JNL-00159362</t>
  </si>
  <si>
    <t>Florence Chooi</t>
  </si>
  <si>
    <t>JNL-00159371 - C009 APT PIPELINES (NSW) PTY LIMITED - 01/09/2024 - FLOCHO - MSP MAS Revenue accrual - August24 (Reversal)</t>
  </si>
  <si>
    <t>JNL-00159371</t>
  </si>
  <si>
    <t>JNL-00159705 - C009 APT PIPELINES (NSW) PTY LIMITED - 31/08/2024 - FLOCHO - EC MAS Revenue accruals - August24</t>
  </si>
  <si>
    <t>JNL-00159705</t>
  </si>
  <si>
    <t>2024-08 CWP CRP Service</t>
  </si>
  <si>
    <t>2024-08 CWP Service</t>
  </si>
  <si>
    <t>2024-08 Capacity Trading Participation Charge CWP</t>
  </si>
  <si>
    <t>JNL-00159738 - C009 APT PIPELINES (NSW) PTY LIMITED - 01/09/2024 - FLOCHO - EC MAS Revenue accruals - August24 (Reversal)</t>
  </si>
  <si>
    <t>JNL-00159738</t>
  </si>
  <si>
    <t>JNL-00183310 - C009 APT PIPELINES (NSW) PTY LIMITED - 23/09/2024 - MSP MAS Revenue Trf - August24</t>
  </si>
  <si>
    <t>JNL-00183310</t>
  </si>
  <si>
    <t>JNL-00183590 - C009 APT PIPELINES (NSW) PTY LIMITED - 24/09/2024 - EC MAS Revenue Trf - AUGUST24</t>
  </si>
  <si>
    <t>JNL-00183590</t>
  </si>
  <si>
    <t>JNL-00190624 - C009 APT PIPELINES (NSW) PTY LIMITED - 30/09/2024 - MSP MAS Revenue accrual - Sep24</t>
  </si>
  <si>
    <t>JNL-00190624</t>
  </si>
  <si>
    <t>JNL-00190631 - C009 APT PIPELINES (NSW) PTY LIMITED - 01/10/2024 - MSP MAS Revenue accrual - Sep24 (Reversal)</t>
  </si>
  <si>
    <t>JNL-00190631</t>
  </si>
  <si>
    <t>JNL-00191098 - C009 APT PIPELINES (NSW) PTY LIMITED - 30/09/2024 - EC MAS Revenue accruals - Sep24</t>
  </si>
  <si>
    <t>JNL-00191098</t>
  </si>
  <si>
    <t>2024-09 CWP CRP Service</t>
  </si>
  <si>
    <t>2024-09 CWP Service</t>
  </si>
  <si>
    <t>2024-09 Capacity Trading Participation Charge CWP</t>
  </si>
  <si>
    <t>JNL-00191115 - C009 APT PIPELINES (NSW) PTY LIMITED - 01/10/2024 - EC MAS Revenue accruals - Sep24 (Reversal)</t>
  </si>
  <si>
    <t>JNL-00191115</t>
  </si>
  <si>
    <t>JNL-00217877 - C009 APT PIPELINES (NSW) PTY LIMITED - 21/10/2024 - MSP MAS Revenue Trf - September24</t>
  </si>
  <si>
    <t>JNL-00217877</t>
  </si>
  <si>
    <t>JNL-00218067 - C009 APT PIPELINES (NSW) PTY LIMITED - 21/10/2024 - EC MAS Revenue Trf - SEPTEMBER24</t>
  </si>
  <si>
    <t>JNL-00218067</t>
  </si>
  <si>
    <t>JNL-00224855 - C009 APT PIPELINES (NSW) PTY LIMITED - 31/10/2024 - MSP MAS Revenue accrual - Oct24</t>
  </si>
  <si>
    <t>JNL-00224855</t>
  </si>
  <si>
    <t>JNL-00224862 - C009 APT PIPELINES (NSW) PTY LIMITED - 01/11/2024 - MSP MAS Revenue accrual - Oct24 (Reversal)</t>
  </si>
  <si>
    <t>JNL-00224862</t>
  </si>
  <si>
    <t>JNL-00225035 - C009 APT PIPELINES (NSW) PTY LIMITED - 31/10/2024 - EC MAS Revenue accruals - Oct24</t>
  </si>
  <si>
    <t>JNL-00225035</t>
  </si>
  <si>
    <t>2024-10 CWP CRP Service</t>
  </si>
  <si>
    <t>2024-10 CWP Service</t>
  </si>
  <si>
    <t>2024-10 Capacity Trading Participation Charge CWP</t>
  </si>
  <si>
    <t>JNL-00225050 - C009 APT PIPELINES (NSW) PTY LIMITED - 01/11/2024 - EC MAS Revenue accruals - Oct24 (Reversal)</t>
  </si>
  <si>
    <t>JNL-00225050</t>
  </si>
  <si>
    <t>JNL-00250253 - C009 APT PIPELINES (NSW) PTY LIMITED - 25/11/2024 - MSP MAS Revenue Trf - October24</t>
  </si>
  <si>
    <t>JNL-00250253</t>
  </si>
  <si>
    <t>JNL-00250500 - C009 APT PIPELINES (NSW) PTY LIMITED - 25/11/2024 - EC MAS Revenue Trf - OCTOBER24</t>
  </si>
  <si>
    <t>JNL-00250500</t>
  </si>
  <si>
    <t>2024-10 MSP - CWP - Throughput Charge</t>
  </si>
  <si>
    <t>C-0053645 MAS - Energy Australia Pty Ltd - Qld</t>
  </si>
  <si>
    <t>JNL-00255849 - C009 APT PIPELINES (NSW) PTY LIMITED - 30/11/2024 - MSP MAS Revenue accrual - Nov24</t>
  </si>
  <si>
    <t>JNL-00255849</t>
  </si>
  <si>
    <t>JNL-00255855 - C009 APT PIPELINES (NSW) PTY LIMITED - 01/12/2024 - MSP MAS Revenue accrual - Nov24 (Reversal)</t>
  </si>
  <si>
    <t>JNL-00255855</t>
  </si>
  <si>
    <t>JNL-00256333 - C009 APT PIPELINES (NSW) PTY LIMITED - 25/11/2024 - EC MAS Revenue- Ju24-Sep24 Adjustments</t>
  </si>
  <si>
    <t>JNL-00256333</t>
  </si>
  <si>
    <t>C092 APA (SWQP) PTY LIMITED</t>
  </si>
  <si>
    <t>MSP - CWP - Throughput Charge (Jul24-Sep24 Adj)</t>
  </si>
  <si>
    <t>JNL-00256432 - C009 APT PIPELINES (NSW) PTY LIMITED - 30/11/2024 - EC MAS Revenue accruals - Nov24</t>
  </si>
  <si>
    <t>JNL-00256432</t>
  </si>
  <si>
    <t>2024-11 CWP CRP Service</t>
  </si>
  <si>
    <t>2024-11 CWP Service</t>
  </si>
  <si>
    <t>2024-11 Capacity Trading Participation Charge CWP</t>
  </si>
  <si>
    <t>2024-11 MSP - CWP - Throughput Charge</t>
  </si>
  <si>
    <t>JNL-00256442 - C009 APT PIPELINES (NSW) PTY LIMITED - 01/12/2024 - EC MAS Revenue accruals - Nov24 (Reversal)</t>
  </si>
  <si>
    <t>JNL-00256442</t>
  </si>
  <si>
    <t>JNL-00273651 - C009 APT PIPELINES (NSW) PTY LIMITED - 23/12/2024 - MSP MAS Revenue Trf - November24</t>
  </si>
  <si>
    <t>JNL-00273651</t>
  </si>
  <si>
    <t>JNL-00274201 - C009 APT PIPELINES (NSW) PTY LIMITED - 23/12/2024 - EC MAS Revenue Trf - NOVEMBER24</t>
  </si>
  <si>
    <t>JNL-00274201</t>
  </si>
  <si>
    <t>JNL-00276303 - C009 APT PIPELINES (NSW) PTY LIMITED - 31/12/2024 - EC MAS Revenue accruals - Dec24</t>
  </si>
  <si>
    <t>JNL-00276303</t>
  </si>
  <si>
    <t>2024-12 MSP - CWP - Throughput Charge</t>
  </si>
  <si>
    <t>2024-12 CWP CRP Service</t>
  </si>
  <si>
    <t>2024-12 CWP Service</t>
  </si>
  <si>
    <t>2024-12 Capacity Trading Participation Charge CWP</t>
  </si>
  <si>
    <t>JNL-00276311 - C009 APT PIPELINES (NSW) PTY LIMITED - 01/01/2025 - EC MAS Revenue accruals - Dec24 (Reversal)</t>
  </si>
  <si>
    <t>JNL-00276311</t>
  </si>
  <si>
    <t>JNL-00276629 - C009 APT PIPELINES (NSW) PTY LIMITED - 31/12/2024 - MSP MAS Revenue accrual - Dec24</t>
  </si>
  <si>
    <t>JNL-00276629</t>
  </si>
  <si>
    <t>JNL-00276638 - C009 APT PIPELINES (NSW) PTY LIMITED - 01/01/2025 - MSP MAS Revenue accrual - Dec24 (Reversal)</t>
  </si>
  <si>
    <t>JNL-00276638</t>
  </si>
  <si>
    <t>JNL-00279501 - C009 APT PIPELINES (NSW) PTY LIMITED - 31/12/2024 - Origin Throughput CRP charge-reallocation to CWP</t>
  </si>
  <si>
    <t>JNL-00279501</t>
  </si>
  <si>
    <t>C061 CENTRAL RANGES PIPELINE PTY LIMITED</t>
  </si>
  <si>
    <t>MSP OREN 109990 CRP Throughput Charge-Nov24</t>
  </si>
  <si>
    <t>MSP OREN 109990 CRP Throughput Charge-Oct24</t>
  </si>
  <si>
    <t>MSP OREN 109990 CRP Throughput Charge-Sep24</t>
  </si>
  <si>
    <t>MSP OREN 109990 CRP Throughput Charge-Aug24</t>
  </si>
  <si>
    <t>MSP OREN 109990 CRP Throughput Charge-Jul24</t>
  </si>
  <si>
    <t>JNL-00279509 - C009 APT PIPELINES (NSW) PTY LIMITED - 31/12/2024 - Origin Throughput CRP charge-reallocation to CWP-Dec24 accrual</t>
  </si>
  <si>
    <t>JNL-00279509</t>
  </si>
  <si>
    <t>MSP OREN 109990 CRP Throughput Charge-Dec24 accrual</t>
  </si>
  <si>
    <t>JNL-00279511 - C009 APT PIPELINES (NSW) PTY LIMITED - 01/01/2025 - Origin Throughput CRP charge-reallocation to CWP-Dec24 accrual (Reversal)</t>
  </si>
  <si>
    <t>JNL-00279511</t>
  </si>
  <si>
    <t>JNL-00303374 - C009 APT PIPELINES (NSW) PTY LIMITED - 20/01/2025 - MSP MAS Revenue Trf - December24</t>
  </si>
  <si>
    <t>JNL-00303374</t>
  </si>
  <si>
    <t>MSP OREN 109990 CRP Throughput Charge</t>
  </si>
  <si>
    <t>JNL-00304233 - C009 APT PIPELINES (NSW) PTY LIMITED - 20/01/2025 - EC MAS Revenue Trf - DECEMBER24</t>
  </si>
  <si>
    <t>JNL-00304233</t>
  </si>
  <si>
    <t>JNL-00308988 - C009 APT PIPELINES (NSW) PTY LIMITED - 31/01/2025 - MSP MAS Revenue accrual - Jan25</t>
  </si>
  <si>
    <t>JNL-00308988</t>
  </si>
  <si>
    <t>JNL-00308998 - C009 APT PIPELINES (NSW) PTY LIMITED - 01/02/2025 - MSP MAS Revenue accrual - Jan25 (Reversal)</t>
  </si>
  <si>
    <t>JNL-00308998</t>
  </si>
  <si>
    <t>JNL-00309025 - C009 APT PIPELINES (NSW) PTY LIMITED - 31/01/2025 - EC MAS Revenue accruals - Jan25</t>
  </si>
  <si>
    <t>JNL-00309025</t>
  </si>
  <si>
    <t>2025-01 CWP CRP Service</t>
  </si>
  <si>
    <t>2025-01 CWP Service</t>
  </si>
  <si>
    <t>2025-01 Capacity Trading Participation Charge CWP</t>
  </si>
  <si>
    <t>2025-01 MSP - CWP - Throughput Charge</t>
  </si>
  <si>
    <t>JNL-00309036 - C009 APT PIPELINES (NSW) PTY LIMITED - 01/02/2025 - EC MAS Revenue accruals - Jan25 (Reversal)</t>
  </si>
  <si>
    <t>JNL-00309036</t>
  </si>
  <si>
    <t>JNL-00332203 - C009 APT PIPELINES (NSW) PTY LIMITED - 24/02/2025 - MSP MAS Revenue Trf - January25</t>
  </si>
  <si>
    <t>JNL-00332203</t>
  </si>
  <si>
    <t>JNL-00332334 - C009 APT PIPELINES (NSW) PTY LIMITED - 24/02/2025 - EC MAS Revenue Trf - JANUARY25</t>
  </si>
  <si>
    <t>JNL-00332334</t>
  </si>
  <si>
    <t>JNL-00336386 - C009 APT PIPELINES (NSW) PTY LIMITED - 28/02/2025 - MSP MAS Revenue accrual - Feb25</t>
  </si>
  <si>
    <t>JNL-00336386</t>
  </si>
  <si>
    <t>JNL-00336397 - C009 APT PIPELINES (NSW) PTY LIMITED - 01/03/2025 - MSP MAS Revenue accrual - Feb25 (Reversal)</t>
  </si>
  <si>
    <t>JNL-00336397</t>
  </si>
  <si>
    <t>JNL-00336445 - C009 APT PIPELINES (NSW) PTY LIMITED - 28/02/2025 - EC MAS Revenue accruals - Feb25</t>
  </si>
  <si>
    <t>JNL-00336445</t>
  </si>
  <si>
    <t>2025-02 CWP CRP Service</t>
  </si>
  <si>
    <t>2025-02 MSP - CWP - Throughput Charge</t>
  </si>
  <si>
    <t>2025-02 CWP Service</t>
  </si>
  <si>
    <t>2025-02 Capacity Trading Participation Charge CWP</t>
  </si>
  <si>
    <t>JNL-00336456 - C009 APT PIPELINES (NSW) PTY LIMITED - 01/03/2025 - EC MAS Revenue accruals - Feb25 (Reversal)</t>
  </si>
  <si>
    <t>JNL-00336456</t>
  </si>
  <si>
    <t>JNL-00362709 - C009 APT PIPELINES (NSW) PTY LIMITED - 24/03/2025 - MSP MAS Revenue Trf - February25</t>
  </si>
  <si>
    <t>JNL-00362709</t>
  </si>
  <si>
    <t>JNL-00364045 - C009 APT PIPELINES (NSW) PTY LIMITED - 24/03/2025 - EC MAS Revenue Trf - FEBRUARY25</t>
  </si>
  <si>
    <t>JNL-00364045</t>
  </si>
  <si>
    <t>JNL-00368315 - C009 APT PIPELINES (NSW) PTY LIMITED - 31/03/2025 - MSP MAS Revenue accrual - Mar25</t>
  </si>
  <si>
    <t>JNL-00368315</t>
  </si>
  <si>
    <t>JNL-00368324 - C009 APT PIPELINES (NSW) PTY LIMITED - 01/04/2025 - MSP MAS Revenue accrual - Mar25 (Reversal)</t>
  </si>
  <si>
    <t>JNL-00368324</t>
  </si>
  <si>
    <t>JNL-00368369 - C009 APT PIPELINES (NSW) PTY LIMITED - 31/03/2025 - EC MAS Revenue accruals - Mar25</t>
  </si>
  <si>
    <t>JNL-00368369</t>
  </si>
  <si>
    <t>2025-03 MSP - CWP - Throughput Charge</t>
  </si>
  <si>
    <t>2025-03 Capacity Trading Participation Charge CWP</t>
  </si>
  <si>
    <t>2025-03 CWP Service</t>
  </si>
  <si>
    <t>2025-03 CWP CRP Service</t>
  </si>
  <si>
    <t>JNL-00368378 - C009 APT PIPELINES (NSW) PTY LIMITED - 01/04/2025 - EC MAS Revenue accruals - Mar25 (Reversal)</t>
  </si>
  <si>
    <t>JNL-00368378</t>
  </si>
  <si>
    <t>JNL-00384582 - C009 APT PIPELINES (NSW) PTY LIMITED - 28/04/2025 - MSP MAS Revenue Trf - March25</t>
  </si>
  <si>
    <t>JNL-00384582</t>
  </si>
  <si>
    <t>JNL-00388150 - C009 APT PIPELINES (NSW) PTY LIMITED - 28/04/2025 - EC MAS Revenue Trf - MARCH25</t>
  </si>
  <si>
    <t>JNL-00388150</t>
  </si>
  <si>
    <t>JNL-00393503 - C009 APT PIPELINES (NSW) PTY LIMITED - 30/04/2025 - MSP MAS Revenue accrual - Apr25</t>
  </si>
  <si>
    <t>JNL-00393503</t>
  </si>
  <si>
    <t>JNL-00393511 - C009 APT PIPELINES (NSW) PTY LIMITED - 01/05/2025 - MSP MAS Revenue accrual - Apr25 (Reversal)</t>
  </si>
  <si>
    <t>JNL-00393511</t>
  </si>
  <si>
    <t>JNL-00393547 - C009 APT PIPELINES (NSW) PTY LIMITED - 30/04/2025 - EC MAS Revenue accruals - Apr25</t>
  </si>
  <si>
    <t>JNL-00393547</t>
  </si>
  <si>
    <t>2025-04 MSP - CWP - Throughput Charge</t>
  </si>
  <si>
    <t>2025-04 Capacity Trading Participation Charge CWP</t>
  </si>
  <si>
    <t>2025-04 CWP Service</t>
  </si>
  <si>
    <t>2025-04 CWP CRP Service</t>
  </si>
  <si>
    <t>JNL-00393558 - C009 APT PIPELINES (NSW) PTY LIMITED - 01/05/2025 - EC MAS Revenue accruals - Apr25 (Reversal)</t>
  </si>
  <si>
    <t>JNL-00393558</t>
  </si>
  <si>
    <t>JNL-00394909 - C009 APT PIPELINES (NSW) PTY LIMITED - 30/04/2025 - MSP MAS Revenue accrual - Apr25 (Reversal)</t>
  </si>
  <si>
    <t>JNL-00394909</t>
  </si>
  <si>
    <t>JNL-00394924 - C009 APT PIPELINES (NSW) PTY LIMITED - 01/05/2025 - MSP MAS Revenue accrual - Apr25 (Reversal)</t>
  </si>
  <si>
    <t>JNL-00394924</t>
  </si>
  <si>
    <t>JNL-00394938 - C009 APT PIPELINES (NSW) PTY LIMITED - 30/04/2025 - MSP MAS Revenue accrual - Apr25</t>
  </si>
  <si>
    <t>JNL-00394938</t>
  </si>
  <si>
    <t>JNL-00394948 - C009 APT PIPELINES (NSW) PTY LIMITED - 01/05/2025 - MSP MAS Revenue accrual - Apr25 (Reversal)</t>
  </si>
  <si>
    <t>JNL-00394948</t>
  </si>
  <si>
    <t>JNL-00421752 - C009 APT PIPELINES (NSW) PTY LIMITED - 26/05/2025 - MSP MAS Revenue Trf - April25</t>
  </si>
  <si>
    <t>JNL-00421752</t>
  </si>
  <si>
    <t>JNL-00421939 - C009 APT PIPELINES (NSW) PTY LIMITED - 26/05/2025 - EC MAS Revenue Trf - APRIL25</t>
  </si>
  <si>
    <t>JNL-00421939</t>
  </si>
  <si>
    <t>JNL-00425413 - C009 APT PIPELINES (NSW) PTY LIMITED - 31/05/2025 - EC MAS Revenue accruals - May25</t>
  </si>
  <si>
    <t>JNL-00425413</t>
  </si>
  <si>
    <t>2025-05 MSP - CWP - Throughput Charge</t>
  </si>
  <si>
    <t>2025-05 Capacity Trading Participation Charge CWP</t>
  </si>
  <si>
    <t>2025-05 CWP Service</t>
  </si>
  <si>
    <t>2025-05 CWP CRP Service</t>
  </si>
  <si>
    <t>JNL-00425419 - C009 APT PIPELINES (NSW) PTY LIMITED - 01/06/2025 - EC MAS Revenue accruals - May25 (Reversal)</t>
  </si>
  <si>
    <t>JNL-00425419</t>
  </si>
  <si>
    <t>JNL-00425729 - C009 APT PIPELINES (NSW) PTY LIMITED - 31/05/2025 - MSP MAS Revenue accrual - May25</t>
  </si>
  <si>
    <t>JNL-00425729</t>
  </si>
  <si>
    <t>JNL-00425736 - C009 APT PIPELINES (NSW) PTY LIMITED - 01/06/2025 - MSP MAS Revenue accrual - May25 (Reversal)</t>
  </si>
  <si>
    <t>JNL-00425736</t>
  </si>
  <si>
    <t>JNL-00451605 - C009 APT PIPELINES (NSW) PTY LIMITED - 23/06/2025 - MSP MAS Revenue Trf - May25</t>
  </si>
  <si>
    <t>JNL-00451605</t>
  </si>
  <si>
    <t>JNL-00451645 - C009 APT PIPELINES (NSW) PTY LIMITED - 23/06/2025 - EC MAS Revenue Trf - MAY25</t>
  </si>
  <si>
    <t>JNL-00451645</t>
  </si>
  <si>
    <t>JNL-00454840 - C009 APT PIPELINES (NSW) PTY LIMITED - 30/06/2025 - EC MAS Revenue accruals - June25</t>
  </si>
  <si>
    <t>JNL-00454840</t>
  </si>
  <si>
    <t>2025-06 MSP - CWP - Throughput Charge</t>
  </si>
  <si>
    <t>2025-06 Capacity Trading Participation Charge CWP</t>
  </si>
  <si>
    <t>2025-06 CWP Service</t>
  </si>
  <si>
    <t>2025-06 CWP CRP Service</t>
  </si>
  <si>
    <t>JNL-00456480 - C009 APT PIPELINES (NSW) PTY LIMITED - 30/06/2025 - MSP MAS Revenue accrual - June25</t>
  </si>
  <si>
    <t>JNL-00456480</t>
  </si>
  <si>
    <t>A201 - G604</t>
  </si>
  <si>
    <t>Nameplate capacity</t>
  </si>
  <si>
    <t>1/7/1999 to 30/6/2024</t>
  </si>
  <si>
    <t>1/7/2005 to 30/6/2007</t>
  </si>
  <si>
    <t>1/7/2011 to 30/6/2023</t>
  </si>
  <si>
    <t>1/7/2002 to 30/6/2022</t>
  </si>
  <si>
    <t>1/7/2007 to 30/6/2023</t>
  </si>
  <si>
    <t>Various</t>
  </si>
  <si>
    <t>1/7/1999 to 30/6/2000</t>
  </si>
  <si>
    <t>Information Technology</t>
  </si>
  <si>
    <t>Pipeline Management Agreement</t>
  </si>
  <si>
    <t>2008</t>
  </si>
  <si>
    <t>1998</t>
  </si>
  <si>
    <t>Section 12</t>
  </si>
  <si>
    <t xml:space="preserve">Section 13 </t>
  </si>
  <si>
    <t>Section 15</t>
  </si>
  <si>
    <t>Section 17</t>
  </si>
  <si>
    <t>Section 18</t>
  </si>
  <si>
    <t>Section 19</t>
  </si>
  <si>
    <t>Section 21</t>
  </si>
  <si>
    <t>Section 22</t>
  </si>
  <si>
    <t>Section 23</t>
  </si>
  <si>
    <t>Section 24</t>
  </si>
  <si>
    <t>Section 25</t>
  </si>
  <si>
    <t>13 TJ/d</t>
  </si>
  <si>
    <t>Section 11</t>
  </si>
  <si>
    <t>Section 16</t>
  </si>
  <si>
    <t>Level 10, 121 Castlereagh Street</t>
  </si>
  <si>
    <t>Based on Weighted Average Statutory Accounting Useful life</t>
  </si>
  <si>
    <t>Section 21 &amp; Section 22</t>
  </si>
  <si>
    <t>COMMON</t>
  </si>
  <si>
    <t>2025 - P12 JUN</t>
  </si>
  <si>
    <t>APA INFRA CONSOLIDATION HIERARCHY</t>
  </si>
  <si>
    <t>PROGEN Opening WDV 1 July 2024</t>
  </si>
  <si>
    <t>R-O-U lease asset at beginning of period 1 July 2024</t>
  </si>
  <si>
    <t>Additions in Period FY25</t>
  </si>
  <si>
    <t>Terminations in period FY25</t>
  </si>
  <si>
    <t>R-O-U lease asset at end of period 30 June 2025</t>
  </si>
  <si>
    <t>R-O-U lease depreciation at beginning of period 1 July 2024</t>
  </si>
  <si>
    <t>Depreciation in Period FY25</t>
  </si>
  <si>
    <t>R-O-U lease depreciation at end of period 30 June 2025</t>
  </si>
  <si>
    <t>Closing WDV 30 June 2025</t>
  </si>
  <si>
    <t>Interest Expense for Period (P&amp;L) FY25</t>
  </si>
  <si>
    <t>1/7/2003 to 30/6/2025</t>
  </si>
  <si>
    <t>1/7/2019 to 30/6/2025</t>
  </si>
  <si>
    <t>See section 24 of the Basis of Preparation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</si>
</sst>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d/m/yy"/>
    <numFmt numFmtId="176" formatCode="#,##0.00;\(#,##0.00\)"/>
    <numFmt numFmtId="177" formatCode="_-* #,##0_-;\-* #,##0_-;_-* &quot;-&quot;??_-;_-@_-"/>
    <numFmt numFmtId="178" formatCode="_-* #,##0.00\ _-;\(\ #,##0.00\ \);"/>
    <numFmt numFmtId="179" formatCode="dd/mm/yyyy"/>
    <numFmt numFmtId="180" formatCode="dd/mm/yyyy\ h:mm:ss.000\ AM/PM"/>
  </numFmts>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i/>
      <sz val="10"/>
      <color rgb="FFDE2E21"/>
      <name val="Arial"/>
      <family val="2"/>
    </font>
    <font>
      <b/>
      <u/>
      <sz val="10"/>
      <name val="Arial"/>
      <family val="2"/>
    </font>
    <font>
      <b/>
      <sz val="10"/>
      <color rgb="FFFF0000"/>
      <name val="Arial"/>
      <family val="2"/>
    </font>
    <font>
      <b/>
      <sz val="11"/>
      <color theme="1"/>
      <name val="Calibri"/>
      <family val="2"/>
      <scheme val="minor"/>
    </font>
    <font>
      <u/>
      <sz val="11"/>
      <color theme="10"/>
      <name val="Calibri"/>
      <family val="2"/>
      <scheme val="minor"/>
    </font>
    <font>
      <sz val="10"/>
      <name val="Arial"/>
      <family val="2"/>
    </font>
    <font>
      <i/>
      <sz val="9"/>
      <color rgb="FF000000"/>
      <name val="Calibri"/>
      <family val="2"/>
    </font>
    <font>
      <b/>
      <sz val="9"/>
      <color rgb="FFFFFFFF"/>
      <name val="Calibri"/>
      <family val="2"/>
    </font>
    <font>
      <sz val="9"/>
      <color rgb="FF000000"/>
      <name val="Calibri"/>
      <family val="2"/>
    </font>
    <font>
      <b/>
      <sz val="11"/>
      <name val="Calibri"/>
      <family val="2"/>
      <scheme val="minor"/>
    </font>
    <font>
      <b/>
      <sz val="11"/>
      <name val="Calibri"/>
      <family val="2"/>
    </font>
    <font>
      <sz val="11"/>
      <name val="Calibri"/>
      <family val="2"/>
    </font>
    <font>
      <sz val="11"/>
      <name val="Calibri"/>
      <family val="2"/>
      <scheme val="minor"/>
    </font>
    <font>
      <i/>
      <sz val="10"/>
      <color rgb="FFFF0000"/>
      <name val="Arial"/>
      <family val="2"/>
    </font>
    <font>
      <sz val="10"/>
      <name val="Arial"/>
      <family val="2"/>
    </font>
    <font>
      <b/>
      <sz val="10"/>
      <name val="Arial"/>
      <family val="2"/>
    </font>
    <font>
      <b/>
      <sz val="10"/>
      <color rgb="FFFFFFFF"/>
      <name val="Arial"/>
      <family val="2"/>
    </font>
    <font>
      <sz val="9"/>
      <name val="Calibri"/>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3166AB"/>
      </patternFill>
    </fill>
    <fill>
      <patternFill patternType="solid">
        <fgColor rgb="FF0C7A5B"/>
      </patternFill>
    </fill>
    <fill>
      <patternFill patternType="solid">
        <fgColor rgb="FFFFF9E6"/>
        <bgColor indexed="64"/>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
      <patternFill patternType="solid">
        <fgColor rgb="FF00B0F0"/>
        <bgColor indexed="64"/>
      </patternFill>
    </fill>
    <fill>
      <patternFill patternType="solid">
        <fgColor rgb="FF92D050"/>
        <bgColor indexed="64"/>
      </patternFill>
    </fill>
    <fill>
      <patternFill patternType="solid">
        <fgColor rgb="FFFFFFCC"/>
        <bgColor indexed="64"/>
      </patternFill>
    </fill>
    <fill>
      <patternFill patternType="solid">
        <fgColor theme="3" tint="0.79998168889431442"/>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
      <left/>
      <right/>
      <top style="thin">
        <color indexed="64"/>
      </top>
      <bottom style="double">
        <color indexed="64"/>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s>
  <cellStyleXfs count="278">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81" fillId="0" borderId="0" applyNumberFormat="0" applyFill="0" applyBorder="0" applyAlignment="0" applyProtection="0"/>
    <xf numFmtId="43" fontId="82" fillId="0" borderId="0" applyFont="0" applyFill="0" applyBorder="0" applyAlignment="0" applyProtection="0"/>
    <xf numFmtId="9" fontId="8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94" fillId="0" borderId="0"/>
    <xf numFmtId="43" fontId="94" fillId="0" borderId="0" applyFont="0" applyFill="0" applyBorder="0" applyAlignment="0" applyProtection="0"/>
    <xf numFmtId="0" fontId="1" fillId="0" borderId="0"/>
    <xf numFmtId="0" fontId="81" fillId="0" borderId="0" applyNumberForma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cellStyleXfs>
  <cellXfs count="543">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14" fontId="10" fillId="0" borderId="0" xfId="0" applyNumberFormat="1" applyFont="1" applyAlignment="1">
      <alignment vertical="center"/>
    </xf>
    <xf numFmtId="43" fontId="0" fillId="0" borderId="0" xfId="0" applyNumberFormat="1"/>
    <xf numFmtId="164" fontId="37" fillId="13" borderId="10" xfId="78" applyNumberFormat="1" applyFont="1" applyFill="1" applyBorder="1" applyAlignment="1"/>
    <xf numFmtId="0" fontId="10" fillId="0" borderId="0" xfId="0" applyFont="1" applyAlignment="1">
      <alignment wrapText="1"/>
    </xf>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5" borderId="10" xfId="231" applyNumberFormat="1" applyFont="1" applyFill="1" applyBorder="1"/>
    <xf numFmtId="164" fontId="10" fillId="35"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6" borderId="10" xfId="228" applyNumberFormat="1" applyFont="1" applyFill="1" applyBorder="1" applyAlignment="1">
      <alignment horizontal="left"/>
    </xf>
    <xf numFmtId="49" fontId="58" fillId="36" borderId="10" xfId="228" applyNumberFormat="1" applyFont="1" applyFill="1" applyBorder="1" applyAlignment="1">
      <alignment horizontal="left"/>
    </xf>
    <xf numFmtId="2" fontId="35" fillId="36" borderId="11" xfId="229" applyNumberFormat="1" applyFont="1" applyFill="1" applyBorder="1" applyAlignment="1">
      <alignment horizontal="left" vertical="center" wrapText="1"/>
    </xf>
    <xf numFmtId="167" fontId="12" fillId="36" borderId="10" xfId="228" quotePrefix="1" applyNumberFormat="1" applyFont="1" applyFill="1" applyBorder="1" applyAlignment="1">
      <alignment vertical="center" wrapText="1"/>
    </xf>
    <xf numFmtId="49" fontId="35" fillId="36" borderId="10" xfId="228" applyNumberFormat="1" applyFont="1" applyFill="1" applyBorder="1" applyAlignment="1">
      <alignment horizontal="center" vertical="center" wrapText="1"/>
    </xf>
    <xf numFmtId="167" fontId="41" fillId="36" borderId="10" xfId="228" quotePrefix="1" applyNumberFormat="1" applyFont="1" applyFill="1" applyBorder="1" applyAlignment="1">
      <alignment horizontal="left" vertical="center" wrapText="1"/>
    </xf>
    <xf numFmtId="167" fontId="58" fillId="36" borderId="10" xfId="228" quotePrefix="1" applyNumberFormat="1" applyFont="1" applyFill="1" applyBorder="1" applyAlignment="1">
      <alignment horizontal="left" vertical="center" wrapText="1" indent="1"/>
    </xf>
    <xf numFmtId="167" fontId="59" fillId="36" borderId="10" xfId="228" quotePrefix="1" applyNumberFormat="1" applyFont="1" applyFill="1" applyBorder="1" applyAlignment="1">
      <alignment horizontal="left" vertical="center" wrapText="1"/>
    </xf>
    <xf numFmtId="49" fontId="58" fillId="36" borderId="10" xfId="228" applyNumberFormat="1" applyFont="1" applyFill="1" applyBorder="1" applyAlignment="1">
      <alignment horizontal="left" indent="1"/>
    </xf>
    <xf numFmtId="49" fontId="58" fillId="36" borderId="10" xfId="232" applyNumberFormat="1" applyFont="1" applyFill="1" applyBorder="1" applyAlignment="1">
      <alignment horizontal="left" vertical="center" wrapText="1" indent="1"/>
    </xf>
    <xf numFmtId="167" fontId="35" fillId="36" borderId="10" xfId="228" quotePrefix="1" applyNumberFormat="1" applyFont="1" applyFill="1" applyBorder="1" applyAlignment="1">
      <alignment horizontal="center" vertical="center" wrapText="1"/>
    </xf>
    <xf numFmtId="2" fontId="35" fillId="36" borderId="10" xfId="228" applyNumberFormat="1" applyFont="1" applyFill="1" applyBorder="1" applyAlignment="1">
      <alignment horizontal="center" vertical="center" wrapText="1"/>
    </xf>
    <xf numFmtId="2" fontId="12" fillId="36" borderId="10" xfId="78" applyNumberFormat="1" applyFont="1" applyFill="1" applyBorder="1" applyAlignment="1" applyProtection="1">
      <alignment horizontal="center"/>
    </xf>
    <xf numFmtId="49" fontId="12" fillId="36" borderId="10" xfId="228" applyNumberFormat="1" applyFont="1" applyFill="1" applyBorder="1"/>
    <xf numFmtId="49" fontId="35" fillId="36" borderId="10" xfId="228" applyNumberFormat="1" applyFont="1" applyFill="1" applyBorder="1" applyAlignment="1">
      <alignment horizontal="left"/>
    </xf>
    <xf numFmtId="49" fontId="12" fillId="36" borderId="10" xfId="228" applyNumberFormat="1" applyFont="1" applyFill="1" applyBorder="1" applyAlignment="1">
      <alignment horizontal="left" wrapText="1"/>
    </xf>
    <xf numFmtId="49" fontId="35" fillId="36" borderId="12" xfId="228" applyNumberFormat="1" applyFont="1" applyFill="1" applyBorder="1" applyAlignment="1">
      <alignment horizontal="center" vertical="center" wrapText="1"/>
    </xf>
    <xf numFmtId="49" fontId="35" fillId="36" borderId="13" xfId="228" applyNumberFormat="1" applyFont="1" applyFill="1" applyBorder="1" applyAlignment="1">
      <alignment horizontal="center" vertical="center" wrapText="1"/>
    </xf>
    <xf numFmtId="49" fontId="35" fillId="36" borderId="10" xfId="231" applyNumberFormat="1" applyFont="1" applyFill="1" applyBorder="1" applyAlignment="1">
      <alignment horizontal="center" vertical="center" wrapText="1"/>
    </xf>
    <xf numFmtId="164" fontId="35" fillId="36" borderId="10" xfId="231" applyNumberFormat="1" applyFont="1" applyFill="1" applyBorder="1" applyAlignment="1">
      <alignment horizontal="right" vertical="center" wrapText="1"/>
    </xf>
    <xf numFmtId="49" fontId="35" fillId="36" borderId="10" xfId="231" applyNumberFormat="1" applyFont="1" applyFill="1" applyBorder="1" applyAlignment="1">
      <alignment horizontal="center"/>
    </xf>
    <xf numFmtId="166" fontId="12" fillId="36" borderId="14" xfId="78" applyNumberFormat="1" applyFont="1" applyFill="1" applyBorder="1" applyAlignment="1" applyProtection="1">
      <alignment horizontal="right" vertical="center"/>
    </xf>
    <xf numFmtId="49" fontId="35" fillId="36" borderId="10" xfId="231" applyNumberFormat="1" applyFont="1" applyFill="1" applyBorder="1" applyAlignment="1">
      <alignment horizontal="right" vertical="center" wrapText="1"/>
    </xf>
    <xf numFmtId="49" fontId="35" fillId="36" borderId="14" xfId="231" applyNumberFormat="1" applyFont="1" applyFill="1" applyBorder="1" applyAlignment="1">
      <alignment horizontal="center"/>
    </xf>
    <xf numFmtId="49" fontId="12" fillId="36" borderId="10" xfId="228" applyNumberFormat="1" applyFont="1" applyFill="1" applyBorder="1" applyAlignment="1">
      <alignment wrapText="1"/>
    </xf>
    <xf numFmtId="167" fontId="35" fillId="36" borderId="10" xfId="229" quotePrefix="1" applyNumberFormat="1" applyFont="1" applyFill="1" applyBorder="1" applyAlignment="1">
      <alignment horizontal="center" vertical="center" wrapText="1"/>
    </xf>
    <xf numFmtId="2" fontId="35" fillId="36" borderId="11" xfId="229" applyNumberFormat="1" applyFont="1" applyFill="1" applyBorder="1" applyAlignment="1">
      <alignment horizontal="center" vertical="center" wrapText="1"/>
    </xf>
    <xf numFmtId="2" fontId="60" fillId="36" borderId="11" xfId="229" applyNumberFormat="1" applyFont="1" applyFill="1" applyBorder="1" applyAlignment="1">
      <alignment horizontal="left" vertical="center" wrapText="1"/>
    </xf>
    <xf numFmtId="41" fontId="12" fillId="36" borderId="15" xfId="229" applyNumberFormat="1" applyFont="1" applyFill="1" applyBorder="1" applyAlignment="1">
      <alignment horizontal="left" indent="1"/>
    </xf>
    <xf numFmtId="41" fontId="9" fillId="36" borderId="15" xfId="229" applyNumberFormat="1" applyFont="1" applyFill="1" applyBorder="1"/>
    <xf numFmtId="164" fontId="35" fillId="36" borderId="10" xfId="231" applyNumberFormat="1" applyFont="1" applyFill="1" applyBorder="1" applyAlignment="1">
      <alignment horizontal="center" vertical="center" wrapText="1"/>
    </xf>
    <xf numFmtId="167" fontId="35" fillId="36" borderId="10" xfId="233" applyNumberFormat="1" applyFont="1" applyFill="1" applyBorder="1" applyAlignment="1">
      <alignment horizontal="center" vertical="center" wrapText="1"/>
    </xf>
    <xf numFmtId="49" fontId="35" fillId="36" borderId="10" xfId="233" applyNumberFormat="1" applyFont="1" applyFill="1" applyBorder="1" applyAlignment="1">
      <alignment horizontal="center" vertical="center" wrapText="1"/>
    </xf>
    <xf numFmtId="49" fontId="60" fillId="36" borderId="10" xfId="233" applyNumberFormat="1" applyFont="1" applyFill="1" applyBorder="1" applyAlignment="1">
      <alignment horizontal="center" vertical="center" wrapText="1"/>
    </xf>
    <xf numFmtId="166" fontId="12" fillId="36" borderId="14" xfId="78" applyNumberFormat="1" applyFont="1" applyFill="1" applyBorder="1" applyAlignment="1" applyProtection="1">
      <alignment horizontal="center" vertical="center"/>
    </xf>
    <xf numFmtId="166" fontId="58" fillId="36" borderId="14" xfId="78" applyNumberFormat="1" applyFont="1" applyFill="1" applyBorder="1" applyAlignment="1" applyProtection="1">
      <alignment horizontal="center" vertical="center"/>
    </xf>
    <xf numFmtId="2" fontId="58" fillId="36" borderId="14" xfId="78" applyNumberFormat="1" applyFont="1" applyFill="1" applyBorder="1" applyAlignment="1" applyProtection="1">
      <alignment horizontal="center" vertical="center"/>
    </xf>
    <xf numFmtId="1" fontId="12" fillId="36" borderId="14" xfId="78" applyNumberFormat="1" applyFont="1" applyFill="1" applyBorder="1" applyAlignment="1" applyProtection="1">
      <alignment horizontal="center" vertical="center"/>
    </xf>
    <xf numFmtId="49" fontId="35" fillId="36" borderId="10" xfId="233" applyNumberFormat="1" applyFont="1" applyFill="1" applyBorder="1" applyAlignment="1">
      <alignment horizontal="left" vertical="center" wrapText="1"/>
    </xf>
    <xf numFmtId="167" fontId="12" fillId="36" borderId="10" xfId="0" applyNumberFormat="1" applyFont="1" applyFill="1" applyBorder="1" applyAlignment="1">
      <alignment horizontal="left" vertical="center" wrapText="1"/>
    </xf>
    <xf numFmtId="49" fontId="12" fillId="36" borderId="10" xfId="233" applyNumberFormat="1" applyFont="1" applyFill="1" applyBorder="1" applyAlignment="1">
      <alignment horizontal="left" vertical="center" wrapText="1"/>
    </xf>
    <xf numFmtId="49" fontId="58" fillId="36" borderId="10" xfId="233" applyNumberFormat="1" applyFont="1" applyFill="1" applyBorder="1" applyAlignment="1">
      <alignment horizontal="left" vertical="center" wrapText="1"/>
    </xf>
    <xf numFmtId="166" fontId="61" fillId="36" borderId="10" xfId="233" applyNumberFormat="1" applyFont="1" applyFill="1" applyBorder="1" applyAlignment="1">
      <alignment horizontal="left"/>
    </xf>
    <xf numFmtId="0" fontId="10" fillId="37" borderId="16" xfId="228" applyFont="1" applyFill="1" applyBorder="1" applyAlignment="1" applyProtection="1">
      <alignment horizontal="center"/>
      <protection locked="0"/>
    </xf>
    <xf numFmtId="166" fontId="10" fillId="37" borderId="16"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left" indent="1"/>
      <protection locked="0"/>
    </xf>
    <xf numFmtId="164" fontId="10" fillId="37" borderId="10" xfId="78" applyNumberFormat="1" applyFont="1" applyFill="1" applyBorder="1" applyAlignment="1" applyProtection="1">
      <alignment horizontal="right"/>
      <protection locked="0"/>
    </xf>
    <xf numFmtId="166" fontId="10" fillId="37" borderId="10" xfId="228" applyNumberFormat="1" applyFont="1" applyFill="1" applyBorder="1" applyAlignment="1" applyProtection="1">
      <alignment horizontal="right"/>
      <protection locked="0"/>
    </xf>
    <xf numFmtId="164" fontId="10" fillId="37" borderId="16" xfId="228" applyNumberFormat="1" applyFont="1" applyFill="1" applyBorder="1" applyAlignment="1" applyProtection="1">
      <alignment horizontal="right"/>
      <protection locked="0"/>
    </xf>
    <xf numFmtId="166" fontId="10" fillId="37" borderId="16" xfId="228" applyNumberFormat="1" applyFont="1" applyFill="1" applyBorder="1" applyAlignment="1" applyProtection="1">
      <alignment horizontal="right"/>
      <protection locked="0"/>
    </xf>
    <xf numFmtId="0" fontId="10" fillId="37" borderId="10" xfId="231" applyFont="1" applyFill="1" applyBorder="1" applyProtection="1">
      <protection locked="0"/>
    </xf>
    <xf numFmtId="164" fontId="10" fillId="37" borderId="10" xfId="231" applyNumberFormat="1" applyFont="1" applyFill="1" applyBorder="1" applyAlignment="1" applyProtection="1">
      <alignment horizontal="right"/>
      <protection locked="0"/>
    </xf>
    <xf numFmtId="10" fontId="10" fillId="37" borderId="10" xfId="231" applyNumberFormat="1" applyFont="1" applyFill="1" applyBorder="1" applyAlignment="1" applyProtection="1">
      <alignment horizontal="right"/>
      <protection locked="0"/>
    </xf>
    <xf numFmtId="168" fontId="10" fillId="37" borderId="10" xfId="231" applyNumberFormat="1" applyFont="1" applyFill="1" applyBorder="1" applyProtection="1">
      <protection locked="0"/>
    </xf>
    <xf numFmtId="14" fontId="10" fillId="37" borderId="10" xfId="231"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right"/>
      <protection locked="0"/>
    </xf>
    <xf numFmtId="166" fontId="10" fillId="37" borderId="10" xfId="233" applyNumberFormat="1" applyFont="1" applyFill="1" applyBorder="1" applyAlignment="1" applyProtection="1">
      <alignment horizontal="right"/>
      <protection locked="0"/>
    </xf>
    <xf numFmtId="169" fontId="10" fillId="37" borderId="10" xfId="233" applyNumberFormat="1" applyFont="1" applyFill="1" applyBorder="1" applyAlignment="1" applyProtection="1">
      <alignment horizontal="right"/>
      <protection locked="0"/>
    </xf>
    <xf numFmtId="1" fontId="10" fillId="37" borderId="10" xfId="233" applyNumberFormat="1" applyFont="1" applyFill="1" applyBorder="1" applyAlignment="1" applyProtection="1">
      <alignment horizontal="right"/>
      <protection locked="0"/>
    </xf>
    <xf numFmtId="164" fontId="10" fillId="37" borderId="10" xfId="233" applyNumberFormat="1" applyFont="1" applyFill="1" applyBorder="1" applyAlignment="1" applyProtection="1">
      <alignment horizontal="right"/>
      <protection locked="0"/>
    </xf>
    <xf numFmtId="14" fontId="10" fillId="37" borderId="10" xfId="231" applyNumberFormat="1" applyFont="1" applyFill="1" applyBorder="1" applyProtection="1">
      <protection locked="0"/>
    </xf>
    <xf numFmtId="164" fontId="10" fillId="37" borderId="10" xfId="231" applyNumberFormat="1" applyFont="1" applyFill="1" applyBorder="1" applyProtection="1">
      <protection locked="0"/>
    </xf>
    <xf numFmtId="167" fontId="42" fillId="38"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8" borderId="10" xfId="229" applyNumberFormat="1" applyFont="1" applyFill="1" applyBorder="1"/>
    <xf numFmtId="41" fontId="60" fillId="38" borderId="10" xfId="229" applyNumberFormat="1" applyFont="1" applyFill="1" applyBorder="1" applyAlignment="1">
      <alignment horizontal="left"/>
    </xf>
    <xf numFmtId="41" fontId="35" fillId="38" borderId="10" xfId="229" applyNumberFormat="1" applyFont="1" applyFill="1" applyBorder="1"/>
    <xf numFmtId="49" fontId="12" fillId="38" borderId="10" xfId="228" applyNumberFormat="1" applyFont="1" applyFill="1" applyBorder="1"/>
    <xf numFmtId="167" fontId="12" fillId="38" borderId="0" xfId="0" applyNumberFormat="1" applyFont="1" applyFill="1" applyAlignment="1">
      <alignment horizontal="left" vertical="center" wrapText="1"/>
    </xf>
    <xf numFmtId="49" fontId="35" fillId="36" borderId="10" xfId="231" applyNumberFormat="1" applyFont="1" applyFill="1" applyBorder="1" applyAlignment="1">
      <alignment horizontal="center" vertical="center"/>
    </xf>
    <xf numFmtId="164" fontId="10" fillId="39"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8" borderId="0" xfId="152" applyFont="1" applyFill="1">
      <alignment vertical="center"/>
    </xf>
    <xf numFmtId="14" fontId="62" fillId="38" borderId="0" xfId="228" applyNumberFormat="1" applyFont="1" applyFill="1" applyAlignment="1">
      <alignment horizontal="left"/>
    </xf>
    <xf numFmtId="14" fontId="62" fillId="38" borderId="0" xfId="228" applyNumberFormat="1" applyFont="1" applyFill="1" applyAlignment="1">
      <alignment horizontal="right"/>
    </xf>
    <xf numFmtId="14" fontId="54" fillId="38" borderId="0" xfId="228" applyNumberFormat="1" applyFont="1" applyFill="1" applyAlignment="1">
      <alignment horizontal="right"/>
    </xf>
    <xf numFmtId="0" fontId="0" fillId="9" borderId="0" xfId="228" applyFont="1"/>
    <xf numFmtId="167" fontId="12" fillId="36" borderId="10" xfId="0" applyNumberFormat="1" applyFont="1" applyFill="1" applyBorder="1" applyAlignment="1">
      <alignment horizontal="center" vertical="center" wrapText="1"/>
    </xf>
    <xf numFmtId="167" fontId="35"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10" fillId="37" borderId="10" xfId="228" applyFont="1" applyFill="1" applyBorder="1" applyAlignment="1" applyProtection="1">
      <alignment horizontal="center"/>
      <protection locked="0"/>
    </xf>
    <xf numFmtId="0" fontId="0" fillId="40" borderId="0" xfId="0" applyFill="1"/>
    <xf numFmtId="0" fontId="8" fillId="40" borderId="0" xfId="0" applyFont="1" applyFill="1"/>
    <xf numFmtId="49" fontId="35" fillId="36" borderId="10" xfId="228" applyNumberFormat="1" applyFont="1" applyFill="1" applyBorder="1" applyAlignment="1">
      <alignment horizontal="left" vertical="center" wrapText="1"/>
    </xf>
    <xf numFmtId="2" fontId="12" fillId="36" borderId="0" xfId="78" applyNumberFormat="1" applyFont="1" applyFill="1" applyBorder="1" applyAlignment="1" applyProtection="1">
      <alignment horizontal="center"/>
    </xf>
    <xf numFmtId="49" fontId="12" fillId="36"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6" borderId="10" xfId="80" applyNumberFormat="1" applyFont="1" applyFill="1" applyBorder="1" applyAlignment="1" applyProtection="1">
      <alignment horizontal="center"/>
    </xf>
    <xf numFmtId="49" fontId="58" fillId="36"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9" borderId="10" xfId="80" applyNumberFormat="1" applyFont="1" applyFill="1" applyBorder="1" applyAlignment="1" applyProtection="1">
      <alignment horizontal="right"/>
    </xf>
    <xf numFmtId="49" fontId="12" fillId="36" borderId="10" xfId="228" applyNumberFormat="1" applyFont="1" applyFill="1" applyBorder="1" applyAlignment="1">
      <alignment horizontal="left" vertical="center" wrapText="1"/>
    </xf>
    <xf numFmtId="49" fontId="12" fillId="38"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6" borderId="10" xfId="228" applyFont="1" applyFill="1" applyBorder="1" applyAlignment="1">
      <alignment horizontal="left"/>
    </xf>
    <xf numFmtId="49" fontId="35" fillId="38"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7" borderId="16" xfId="228" applyFont="1" applyFill="1" applyBorder="1" applyAlignment="1" applyProtection="1">
      <alignment horizontal="right"/>
      <protection locked="0"/>
    </xf>
    <xf numFmtId="2" fontId="10" fillId="37" borderId="16" xfId="228" applyNumberFormat="1" applyFont="1" applyFill="1" applyBorder="1" applyAlignment="1" applyProtection="1">
      <alignment horizontal="right"/>
      <protection locked="0"/>
    </xf>
    <xf numFmtId="167" fontId="12" fillId="36" borderId="10" xfId="228" quotePrefix="1" applyNumberFormat="1" applyFont="1" applyFill="1" applyBorder="1" applyAlignment="1">
      <alignment horizontal="left" vertical="center" wrapText="1"/>
    </xf>
    <xf numFmtId="0" fontId="10" fillId="37" borderId="10" xfId="231" applyFont="1" applyFill="1" applyBorder="1" applyAlignment="1" applyProtection="1">
      <alignment horizontal="left" vertical="center"/>
      <protection locked="0"/>
    </xf>
    <xf numFmtId="164" fontId="10" fillId="40" borderId="10" xfId="231" applyNumberFormat="1" applyFont="1" applyFill="1" applyBorder="1" applyAlignment="1">
      <alignment horizontal="right"/>
    </xf>
    <xf numFmtId="10" fontId="10" fillId="40"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xf>
    <xf numFmtId="164" fontId="10" fillId="37"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7" borderId="10" xfId="231" applyNumberFormat="1" applyFont="1" applyFill="1" applyBorder="1" applyAlignment="1" applyProtection="1">
      <alignment horizontal="center" vertical="center"/>
      <protection locked="0"/>
    </xf>
    <xf numFmtId="168" fontId="10" fillId="37" borderId="10" xfId="231" applyNumberFormat="1" applyFont="1" applyFill="1" applyBorder="1" applyAlignment="1" applyProtection="1">
      <alignment horizontal="center" vertical="center" wrapText="1"/>
      <protection locked="0"/>
    </xf>
    <xf numFmtId="49" fontId="54" fillId="38" borderId="0" xfId="152" applyFill="1">
      <alignment vertical="center"/>
    </xf>
    <xf numFmtId="167" fontId="35" fillId="36" borderId="10" xfId="228" quotePrefix="1" applyNumberFormat="1" applyFont="1" applyFill="1" applyBorder="1" applyAlignment="1">
      <alignment horizontal="left" vertical="center" wrapText="1"/>
    </xf>
    <xf numFmtId="49" fontId="35" fillId="38"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 fontId="10" fillId="37" borderId="16" xfId="228" applyNumberFormat="1" applyFont="1" applyFill="1" applyBorder="1" applyAlignment="1" applyProtection="1">
      <alignment horizontal="right"/>
      <protection locked="0"/>
    </xf>
    <xf numFmtId="14" fontId="10" fillId="37" borderId="16" xfId="228" applyNumberFormat="1" applyFont="1" applyFill="1" applyBorder="1" applyAlignment="1" applyProtection="1">
      <alignment horizontal="right"/>
      <protection locked="0"/>
    </xf>
    <xf numFmtId="164" fontId="7" fillId="39"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8" borderId="0" xfId="0" applyFont="1" applyFill="1" applyAlignment="1">
      <alignment horizontal="right" indent="2"/>
    </xf>
    <xf numFmtId="0" fontId="63" fillId="38" borderId="0" xfId="160" quotePrefix="1" applyFont="1" applyFill="1" applyBorder="1" applyAlignment="1" applyProtection="1"/>
    <xf numFmtId="0" fontId="63" fillId="38" borderId="0" xfId="0" quotePrefix="1" applyFont="1" applyFill="1" applyAlignment="1">
      <alignment horizontal="left"/>
    </xf>
    <xf numFmtId="0" fontId="64" fillId="40" borderId="0" xfId="160" quotePrefix="1" applyFont="1" applyFill="1" applyBorder="1" applyAlignment="1" applyProtection="1"/>
    <xf numFmtId="0" fontId="64" fillId="40" borderId="0" xfId="0" quotePrefix="1" applyFont="1" applyFill="1" applyAlignment="1">
      <alignment horizontal="left"/>
    </xf>
    <xf numFmtId="0" fontId="48" fillId="37" borderId="12" xfId="229" applyFont="1" applyFill="1" applyBorder="1" applyAlignment="1" applyProtection="1">
      <alignment horizontal="right" vertical="center"/>
      <protection locked="0"/>
    </xf>
    <xf numFmtId="0" fontId="50" fillId="41" borderId="0" xfId="0" applyFont="1" applyFill="1"/>
    <xf numFmtId="0" fontId="65" fillId="41" borderId="0" xfId="0" applyFont="1" applyFill="1"/>
    <xf numFmtId="0" fontId="10" fillId="37" borderId="10" xfId="233" applyFont="1" applyFill="1" applyBorder="1" applyAlignment="1" applyProtection="1">
      <alignment horizontal="right"/>
      <protection locked="0"/>
    </xf>
    <xf numFmtId="2" fontId="12" fillId="36" borderId="10" xfId="229" applyNumberFormat="1" applyFont="1" applyFill="1" applyBorder="1" applyAlignment="1">
      <alignment horizontal="center" vertical="center" wrapText="1"/>
    </xf>
    <xf numFmtId="41" fontId="12" fillId="36" borderId="10" xfId="229" applyNumberFormat="1" applyFont="1" applyFill="1" applyBorder="1" applyAlignment="1">
      <alignment horizontal="left" indent="1"/>
    </xf>
    <xf numFmtId="49" fontId="60" fillId="36" borderId="10" xfId="229" applyNumberFormat="1" applyFont="1" applyFill="1" applyBorder="1" applyAlignment="1">
      <alignment horizontal="left" vertical="center" wrapText="1"/>
    </xf>
    <xf numFmtId="10" fontId="10" fillId="0" borderId="0" xfId="218" applyNumberFormat="1"/>
    <xf numFmtId="166" fontId="37" fillId="39" borderId="10" xfId="80" applyNumberFormat="1" applyFont="1" applyFill="1" applyBorder="1" applyAlignment="1" applyProtection="1">
      <alignment horizontal="right"/>
    </xf>
    <xf numFmtId="49" fontId="60" fillId="36"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6" borderId="10" xfId="229" applyNumberFormat="1" applyFont="1" applyFill="1" applyBorder="1" applyAlignment="1">
      <alignment horizontal="left" vertical="center" wrapText="1"/>
    </xf>
    <xf numFmtId="49" fontId="35" fillId="36"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6"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6" borderId="15" xfId="229" applyNumberFormat="1" applyFont="1" applyFill="1" applyBorder="1" applyAlignment="1">
      <alignment horizontal="center" vertical="center"/>
    </xf>
    <xf numFmtId="0" fontId="8" fillId="40" borderId="0" xfId="229" applyFont="1" applyFill="1"/>
    <xf numFmtId="173" fontId="37" fillId="13" borderId="10" xfId="80" applyNumberFormat="1" applyFont="1" applyFill="1" applyBorder="1" applyAlignment="1" applyProtection="1">
      <alignment horizontal="right"/>
    </xf>
    <xf numFmtId="49" fontId="58" fillId="36" borderId="10" xfId="229" applyNumberFormat="1" applyFont="1" applyFill="1" applyBorder="1" applyAlignment="1">
      <alignment horizontal="center" vertical="center"/>
    </xf>
    <xf numFmtId="49" fontId="58" fillId="38" borderId="10" xfId="229" applyNumberFormat="1" applyFont="1" applyFill="1" applyBorder="1"/>
    <xf numFmtId="49" fontId="12" fillId="36" borderId="0" xfId="229" applyNumberFormat="1" applyFont="1" applyFill="1" applyAlignment="1">
      <alignment horizontal="left"/>
    </xf>
    <xf numFmtId="49" fontId="12" fillId="36"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6" borderId="10" xfId="228" applyNumberFormat="1" applyFont="1" applyFill="1" applyBorder="1" applyAlignment="1">
      <alignment horizontal="right"/>
    </xf>
    <xf numFmtId="14" fontId="60" fillId="36" borderId="10" xfId="228" applyNumberFormat="1" applyFont="1" applyFill="1" applyBorder="1" applyAlignment="1">
      <alignment horizontal="right"/>
    </xf>
    <xf numFmtId="49" fontId="58" fillId="36"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7" borderId="10" xfId="242" applyFont="1" applyFill="1" applyBorder="1" applyAlignment="1" applyProtection="1">
      <alignment horizontal="right"/>
      <protection locked="0"/>
    </xf>
    <xf numFmtId="10" fontId="37" fillId="37" borderId="10" xfId="242" applyNumberFormat="1" applyFont="1" applyFill="1" applyBorder="1" applyAlignment="1" applyProtection="1">
      <alignment horizontal="right"/>
      <protection locked="0"/>
    </xf>
    <xf numFmtId="49" fontId="35" fillId="36"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6" borderId="0" xfId="229" applyNumberFormat="1" applyFont="1" applyFill="1" applyAlignment="1">
      <alignment horizontal="left" vertical="center" wrapText="1"/>
    </xf>
    <xf numFmtId="10" fontId="10" fillId="39"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9"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6"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9" borderId="16" xfId="228" applyNumberFormat="1" applyFont="1" applyFill="1" applyBorder="1" applyAlignment="1">
      <alignment horizontal="center"/>
    </xf>
    <xf numFmtId="0" fontId="68" fillId="0" borderId="0" xfId="0" applyFont="1"/>
    <xf numFmtId="49" fontId="12" fillId="36" borderId="28" xfId="229" applyNumberFormat="1" applyFont="1" applyFill="1" applyBorder="1" applyAlignment="1">
      <alignment horizontal="center" vertical="center" wrapText="1"/>
    </xf>
    <xf numFmtId="0" fontId="5" fillId="9" borderId="0" xfId="226"/>
    <xf numFmtId="0" fontId="54" fillId="38" borderId="0" xfId="226" applyFont="1" applyFill="1" applyAlignment="1">
      <alignment vertical="center"/>
    </xf>
    <xf numFmtId="0" fontId="5" fillId="9" borderId="0" xfId="226" applyAlignment="1">
      <alignment horizontal="left" vertical="center"/>
    </xf>
    <xf numFmtId="0" fontId="69" fillId="36" borderId="0" xfId="226" applyFont="1" applyFill="1" applyAlignment="1">
      <alignment vertical="center"/>
    </xf>
    <xf numFmtId="0" fontId="70" fillId="36" borderId="0" xfId="226" applyFont="1" applyFill="1" applyAlignment="1">
      <alignment vertical="center"/>
    </xf>
    <xf numFmtId="0" fontId="60" fillId="36" borderId="0" xfId="226" applyFont="1" applyFill="1" applyAlignment="1">
      <alignment vertical="center"/>
    </xf>
    <xf numFmtId="0" fontId="7" fillId="9" borderId="0" xfId="226" applyFont="1"/>
    <xf numFmtId="0" fontId="71" fillId="36" borderId="17" xfId="226" applyFont="1" applyFill="1" applyBorder="1" applyAlignment="1">
      <alignment vertical="center"/>
    </xf>
    <xf numFmtId="0" fontId="71" fillId="36" borderId="0" xfId="226" applyFont="1" applyFill="1" applyAlignment="1">
      <alignment vertical="center"/>
    </xf>
    <xf numFmtId="0" fontId="71" fillId="38" borderId="0" xfId="226" applyFont="1" applyFill="1" applyAlignment="1">
      <alignment vertical="center"/>
    </xf>
    <xf numFmtId="0" fontId="71" fillId="38"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applyAlignment="1">
      <alignment horizontal="right" vertical="center"/>
    </xf>
    <xf numFmtId="0" fontId="48" fillId="9" borderId="0" xfId="226" applyFont="1"/>
    <xf numFmtId="0" fontId="49" fillId="36" borderId="0" xfId="229" applyFont="1" applyFill="1"/>
    <xf numFmtId="0" fontId="48" fillId="36" borderId="0" xfId="229" applyFont="1" applyFill="1"/>
    <xf numFmtId="0" fontId="71" fillId="36"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5" borderId="10" xfId="228" applyFont="1" applyFill="1" applyBorder="1"/>
    <xf numFmtId="0" fontId="10" fillId="42"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6" borderId="10" xfId="229" applyNumberFormat="1" applyFont="1" applyFill="1" applyBorder="1" applyAlignment="1">
      <alignment horizontal="center" vertical="center" wrapText="1"/>
    </xf>
    <xf numFmtId="166" fontId="12" fillId="36" borderId="10" xfId="229" applyNumberFormat="1" applyFont="1" applyFill="1" applyBorder="1" applyAlignment="1">
      <alignment horizontal="left"/>
    </xf>
    <xf numFmtId="0" fontId="12" fillId="36" borderId="10" xfId="229" applyFont="1" applyFill="1" applyBorder="1"/>
    <xf numFmtId="0" fontId="10" fillId="37" borderId="10" xfId="80" applyNumberFormat="1" applyFont="1" applyFill="1" applyBorder="1" applyAlignment="1" applyProtection="1">
      <alignment horizontal="right"/>
    </xf>
    <xf numFmtId="0" fontId="35" fillId="36" borderId="10" xfId="229" applyFont="1" applyFill="1" applyBorder="1"/>
    <xf numFmtId="49" fontId="35" fillId="38" borderId="10" xfId="229" applyNumberFormat="1" applyFont="1" applyFill="1" applyBorder="1"/>
    <xf numFmtId="49" fontId="10" fillId="9" borderId="0" xfId="228" applyNumberFormat="1" applyFont="1"/>
    <xf numFmtId="0" fontId="60" fillId="36" borderId="10" xfId="229" applyFont="1" applyFill="1" applyBorder="1"/>
    <xf numFmtId="164" fontId="10" fillId="39" borderId="10" xfId="80" applyNumberFormat="1" applyFont="1" applyFill="1" applyBorder="1" applyAlignment="1" applyProtection="1">
      <alignment horizontal="right"/>
    </xf>
    <xf numFmtId="0" fontId="0" fillId="9" borderId="0" xfId="229" applyFont="1"/>
    <xf numFmtId="0" fontId="40" fillId="35" borderId="10" xfId="229" applyFont="1" applyFill="1" applyBorder="1"/>
    <xf numFmtId="0" fontId="5" fillId="9" borderId="0" xfId="231" applyAlignment="1">
      <alignment horizontal="center" vertical="center"/>
    </xf>
    <xf numFmtId="0" fontId="68" fillId="9" borderId="0" xfId="228" applyFont="1"/>
    <xf numFmtId="0" fontId="10" fillId="42"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6" borderId="14" xfId="231" applyNumberFormat="1" applyFont="1" applyFill="1" applyBorder="1" applyAlignment="1">
      <alignment horizontal="center"/>
    </xf>
    <xf numFmtId="2" fontId="12" fillId="36"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8" borderId="15" xfId="231" applyFont="1" applyFill="1" applyBorder="1" applyAlignment="1">
      <alignment horizontal="left"/>
    </xf>
    <xf numFmtId="10" fontId="10" fillId="37" borderId="10" xfId="78" applyNumberFormat="1" applyFont="1" applyFill="1" applyBorder="1" applyAlignment="1" applyProtection="1">
      <alignment horizontal="right"/>
      <protection locked="0"/>
    </xf>
    <xf numFmtId="49" fontId="60" fillId="36" borderId="10" xfId="229" applyNumberFormat="1" applyFont="1" applyFill="1" applyBorder="1" applyAlignment="1">
      <alignment vertical="center" wrapText="1"/>
    </xf>
    <xf numFmtId="49" fontId="35" fillId="36" borderId="31" xfId="229" applyNumberFormat="1" applyFont="1" applyFill="1" applyBorder="1" applyAlignment="1">
      <alignment horizontal="left" vertical="center" wrapText="1"/>
    </xf>
    <xf numFmtId="0" fontId="10" fillId="0" borderId="0" xfId="218" applyAlignment="1">
      <alignment vertical="center" wrapText="1"/>
    </xf>
    <xf numFmtId="168" fontId="10" fillId="37" borderId="10" xfId="231" applyNumberFormat="1" applyFont="1" applyFill="1" applyBorder="1" applyAlignment="1" applyProtection="1">
      <alignment horizontal="left" wrapText="1"/>
      <protection locked="0"/>
    </xf>
    <xf numFmtId="0" fontId="10" fillId="37" borderId="10" xfId="231" applyFont="1" applyFill="1" applyBorder="1" applyAlignment="1" applyProtection="1">
      <alignment horizontal="left" wrapText="1"/>
      <protection locked="0"/>
    </xf>
    <xf numFmtId="49" fontId="10" fillId="37" borderId="10" xfId="78" applyNumberFormat="1" applyFont="1" applyFill="1" applyBorder="1" applyAlignment="1" applyProtection="1">
      <alignment horizontal="right"/>
      <protection locked="0"/>
    </xf>
    <xf numFmtId="49" fontId="10" fillId="36" borderId="10" xfId="229" applyNumberFormat="1" applyFill="1" applyBorder="1" applyAlignment="1">
      <alignment horizontal="left"/>
    </xf>
    <xf numFmtId="49" fontId="10" fillId="37"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6" borderId="10" xfId="229" applyNumberFormat="1" applyFont="1" applyFill="1" applyBorder="1" applyAlignment="1">
      <alignment horizontal="left"/>
    </xf>
    <xf numFmtId="49" fontId="35" fillId="36" borderId="10" xfId="229" quotePrefix="1" applyNumberFormat="1" applyFont="1" applyFill="1" applyBorder="1" applyAlignment="1">
      <alignment horizontal="center" vertical="center" wrapText="1"/>
    </xf>
    <xf numFmtId="49" fontId="61" fillId="36" borderId="10" xfId="233" applyNumberFormat="1" applyFont="1" applyFill="1" applyBorder="1" applyAlignment="1">
      <alignment horizontal="left"/>
    </xf>
    <xf numFmtId="49" fontId="10" fillId="37"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6" borderId="10" xfId="233" applyNumberFormat="1" applyFont="1" applyFill="1" applyBorder="1" applyAlignment="1">
      <alignment horizontal="left"/>
    </xf>
    <xf numFmtId="49" fontId="10" fillId="37" borderId="10" xfId="233" applyNumberFormat="1" applyFont="1" applyFill="1" applyBorder="1" applyAlignment="1" applyProtection="1">
      <alignment vertical="top"/>
      <protection locked="0"/>
    </xf>
    <xf numFmtId="49" fontId="10" fillId="37" borderId="10" xfId="228" applyNumberFormat="1" applyFont="1" applyFill="1" applyBorder="1" applyAlignment="1" applyProtection="1">
      <alignment horizontal="center"/>
      <protection locked="0"/>
    </xf>
    <xf numFmtId="41" fontId="12" fillId="36"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0" fontId="48" fillId="9" borderId="0" xfId="226" applyFont="1" applyAlignment="1">
      <alignment horizontal="left" vertical="center"/>
    </xf>
    <xf numFmtId="0" fontId="49" fillId="36" borderId="0" xfId="229" applyFont="1" applyFill="1" applyAlignment="1">
      <alignment horizontal="right" indent="1"/>
    </xf>
    <xf numFmtId="2" fontId="35" fillId="36" borderId="10" xfId="229" applyNumberFormat="1" applyFont="1" applyFill="1" applyBorder="1" applyAlignment="1">
      <alignment horizontal="center" vertical="center" wrapText="1"/>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0" fontId="5" fillId="0" borderId="0" xfId="0" applyFont="1"/>
    <xf numFmtId="3" fontId="5" fillId="0" borderId="0" xfId="0" applyNumberFormat="1" applyFont="1"/>
    <xf numFmtId="3" fontId="5" fillId="0" borderId="44" xfId="0" applyNumberFormat="1" applyFont="1" applyBorder="1"/>
    <xf numFmtId="0" fontId="77" fillId="0" borderId="0" xfId="0" applyFont="1"/>
    <xf numFmtId="0" fontId="15" fillId="0" borderId="0" xfId="160" applyAlignment="1" applyProtection="1"/>
    <xf numFmtId="0" fontId="7" fillId="0" borderId="0" xfId="0" applyFont="1"/>
    <xf numFmtId="166" fontId="5" fillId="37" borderId="10" xfId="228" applyNumberFormat="1" applyFill="1" applyBorder="1" applyAlignment="1" applyProtection="1">
      <alignment horizontal="left" indent="1"/>
      <protection locked="0"/>
    </xf>
    <xf numFmtId="166" fontId="5" fillId="37" borderId="16" xfId="228" applyNumberFormat="1" applyFill="1" applyBorder="1" applyAlignment="1" applyProtection="1">
      <alignment horizontal="center"/>
      <protection locked="0"/>
    </xf>
    <xf numFmtId="0" fontId="15" fillId="46" borderId="0" xfId="160" applyFill="1" applyAlignment="1" applyProtection="1"/>
    <xf numFmtId="164" fontId="5" fillId="37" borderId="10" xfId="231" applyNumberFormat="1" applyFill="1" applyBorder="1" applyAlignment="1" applyProtection="1">
      <alignment horizontal="right"/>
      <protection locked="0"/>
    </xf>
    <xf numFmtId="0" fontId="5" fillId="37" borderId="16" xfId="228" applyFill="1" applyBorder="1" applyAlignment="1" applyProtection="1">
      <alignment horizontal="center"/>
      <protection locked="0"/>
    </xf>
    <xf numFmtId="0" fontId="5" fillId="0" borderId="0" xfId="259"/>
    <xf numFmtId="168" fontId="5" fillId="37" borderId="10" xfId="231" applyNumberFormat="1" applyFill="1" applyBorder="1" applyAlignment="1" applyProtection="1">
      <alignment horizontal="center" vertical="center" wrapText="1"/>
      <protection locked="0"/>
    </xf>
    <xf numFmtId="0" fontId="78" fillId="0" borderId="0" xfId="0" applyFont="1"/>
    <xf numFmtId="14" fontId="5" fillId="37" borderId="10" xfId="231" quotePrefix="1" applyNumberFormat="1" applyFill="1" applyBorder="1" applyAlignment="1" applyProtection="1">
      <alignment horizontal="center"/>
      <protection locked="0"/>
    </xf>
    <xf numFmtId="0" fontId="3" fillId="0" borderId="0" xfId="260"/>
    <xf numFmtId="0" fontId="53" fillId="0" borderId="0" xfId="0" applyFont="1"/>
    <xf numFmtId="177" fontId="53" fillId="0" borderId="0" xfId="78" applyNumberFormat="1" applyFont="1"/>
    <xf numFmtId="169" fontId="10" fillId="37" borderId="10" xfId="233" applyNumberFormat="1" applyFont="1" applyFill="1" applyBorder="1" applyAlignment="1" applyProtection="1">
      <alignment horizontal="center"/>
      <protection locked="0"/>
    </xf>
    <xf numFmtId="177" fontId="0" fillId="0" borderId="54" xfId="78" applyNumberFormat="1" applyFont="1" applyBorder="1"/>
    <xf numFmtId="0" fontId="5" fillId="0" borderId="0" xfId="0" applyFont="1" applyAlignment="1">
      <alignment wrapText="1"/>
    </xf>
    <xf numFmtId="0" fontId="5" fillId="0" borderId="0" xfId="0" applyFont="1" applyAlignment="1">
      <alignment horizontal="center" wrapText="1"/>
    </xf>
    <xf numFmtId="0" fontId="53" fillId="0" borderId="0" xfId="0" applyFont="1" applyAlignment="1">
      <alignment vertical="center"/>
    </xf>
    <xf numFmtId="15" fontId="5" fillId="0" borderId="0" xfId="0" quotePrefix="1" applyNumberFormat="1" applyFont="1"/>
    <xf numFmtId="164" fontId="10" fillId="37" borderId="10" xfId="233" applyNumberFormat="1" applyFont="1" applyFill="1" applyBorder="1" applyAlignment="1" applyProtection="1">
      <alignment horizontal="right" vertical="center"/>
      <protection locked="0"/>
    </xf>
    <xf numFmtId="164" fontId="5" fillId="37" borderId="10" xfId="233" applyNumberFormat="1" applyFill="1" applyBorder="1" applyAlignment="1" applyProtection="1">
      <alignment horizontal="right" vertical="center"/>
      <protection locked="0"/>
    </xf>
    <xf numFmtId="0" fontId="82" fillId="0" borderId="0" xfId="0" applyFont="1"/>
    <xf numFmtId="0" fontId="79" fillId="0" borderId="0" xfId="0" applyFont="1"/>
    <xf numFmtId="175" fontId="79" fillId="0" borderId="0" xfId="0" applyNumberFormat="1" applyFont="1"/>
    <xf numFmtId="0" fontId="5" fillId="0" borderId="0" xfId="0" applyFont="1" applyAlignment="1">
      <alignment vertical="center" wrapText="1"/>
    </xf>
    <xf numFmtId="176" fontId="77" fillId="43" borderId="0" xfId="0" applyNumberFormat="1" applyFont="1" applyFill="1"/>
    <xf numFmtId="0" fontId="7" fillId="47" borderId="0" xfId="0" applyFont="1" applyFill="1"/>
    <xf numFmtId="0" fontId="83" fillId="48" borderId="55" xfId="0" applyFont="1" applyFill="1" applyBorder="1"/>
    <xf numFmtId="0" fontId="84" fillId="49" borderId="56" xfId="0" applyFont="1" applyFill="1" applyBorder="1"/>
    <xf numFmtId="0" fontId="5" fillId="0" borderId="0" xfId="0" applyFont="1" applyAlignment="1">
      <alignment horizontal="center" vertical="center" wrapText="1"/>
    </xf>
    <xf numFmtId="0" fontId="85" fillId="50" borderId="57" xfId="0" applyFont="1" applyFill="1" applyBorder="1"/>
    <xf numFmtId="3" fontId="85" fillId="50" borderId="57" xfId="0" applyNumberFormat="1" applyFont="1" applyFill="1" applyBorder="1"/>
    <xf numFmtId="0" fontId="5" fillId="0" borderId="0" xfId="0" applyFont="1" applyAlignment="1">
      <alignment vertical="top"/>
    </xf>
    <xf numFmtId="0" fontId="5" fillId="0" borderId="44" xfId="0" applyFont="1" applyBorder="1"/>
    <xf numFmtId="176" fontId="5" fillId="0" borderId="44" xfId="0" applyNumberFormat="1" applyFont="1" applyBorder="1"/>
    <xf numFmtId="3" fontId="7" fillId="0" borderId="45" xfId="0" applyNumberFormat="1" applyFont="1" applyBorder="1"/>
    <xf numFmtId="0" fontId="5" fillId="37" borderId="10" xfId="231" applyFill="1" applyBorder="1" applyProtection="1">
      <protection locked="0"/>
    </xf>
    <xf numFmtId="164" fontId="5" fillId="37" borderId="10" xfId="78" quotePrefix="1" applyNumberFormat="1" applyFont="1" applyFill="1" applyBorder="1" applyAlignment="1" applyProtection="1">
      <protection locked="0"/>
    </xf>
    <xf numFmtId="177" fontId="0" fillId="0" borderId="0" xfId="0" applyNumberFormat="1"/>
    <xf numFmtId="0" fontId="78" fillId="0" borderId="0" xfId="259" applyFont="1"/>
    <xf numFmtId="0" fontId="2" fillId="0" borderId="0" xfId="0" applyFont="1"/>
    <xf numFmtId="178" fontId="86" fillId="0" borderId="0" xfId="0" applyNumberFormat="1" applyFont="1" applyAlignment="1">
      <alignment vertical="center" wrapText="1"/>
    </xf>
    <xf numFmtId="178" fontId="80" fillId="0" borderId="0" xfId="0" applyNumberFormat="1" applyFont="1" applyAlignment="1">
      <alignment horizontal="left" vertical="center" wrapText="1"/>
    </xf>
    <xf numFmtId="178" fontId="80" fillId="0" borderId="0" xfId="0" applyNumberFormat="1" applyFont="1" applyAlignment="1">
      <alignment vertical="center" wrapText="1"/>
    </xf>
    <xf numFmtId="0" fontId="87" fillId="0" borderId="0" xfId="0" applyFont="1" applyAlignment="1">
      <alignment vertical="center"/>
    </xf>
    <xf numFmtId="0" fontId="87" fillId="0" borderId="0" xfId="0" applyFont="1" applyAlignment="1">
      <alignment vertical="center" wrapText="1"/>
    </xf>
    <xf numFmtId="177" fontId="88" fillId="0" borderId="0" xfId="264" applyNumberFormat="1" applyFont="1"/>
    <xf numFmtId="177" fontId="2" fillId="0" borderId="0" xfId="264" applyNumberFormat="1" applyFont="1" applyFill="1" applyBorder="1"/>
    <xf numFmtId="177" fontId="89" fillId="0" borderId="0" xfId="264" applyNumberFormat="1" applyFont="1" applyFill="1" applyBorder="1"/>
    <xf numFmtId="177" fontId="88" fillId="0" borderId="0" xfId="264" applyNumberFormat="1" applyFont="1" applyFill="1"/>
    <xf numFmtId="0" fontId="2" fillId="52" borderId="0" xfId="0" applyFont="1" applyFill="1"/>
    <xf numFmtId="177" fontId="88" fillId="52" borderId="0" xfId="264" applyNumberFormat="1" applyFont="1" applyFill="1"/>
    <xf numFmtId="177" fontId="2" fillId="52" borderId="0" xfId="264" applyNumberFormat="1" applyFont="1" applyFill="1" applyBorder="1"/>
    <xf numFmtId="177" fontId="89" fillId="52" borderId="0" xfId="264" applyNumberFormat="1" applyFont="1" applyFill="1" applyBorder="1"/>
    <xf numFmtId="0" fontId="0" fillId="52" borderId="0" xfId="0" applyFill="1"/>
    <xf numFmtId="0" fontId="7" fillId="52" borderId="0" xfId="0" applyFont="1" applyFill="1" applyAlignment="1">
      <alignment horizontal="left"/>
    </xf>
    <xf numFmtId="177" fontId="2" fillId="52" borderId="0" xfId="265" applyNumberFormat="1" applyFont="1" applyFill="1" applyBorder="1"/>
    <xf numFmtId="177" fontId="89" fillId="52" borderId="0" xfId="265" applyNumberFormat="1" applyFont="1" applyFill="1" applyBorder="1"/>
    <xf numFmtId="177" fontId="7" fillId="0" borderId="54" xfId="0" applyNumberFormat="1" applyFont="1" applyBorder="1"/>
    <xf numFmtId="0" fontId="7" fillId="0" borderId="54" xfId="0" applyFont="1" applyBorder="1"/>
    <xf numFmtId="177" fontId="7" fillId="51" borderId="54" xfId="0" applyNumberFormat="1" applyFont="1" applyFill="1" applyBorder="1"/>
    <xf numFmtId="177" fontId="2" fillId="51" borderId="0" xfId="264" applyNumberFormat="1" applyFont="1" applyFill="1" applyBorder="1"/>
    <xf numFmtId="177" fontId="0" fillId="0" borderId="0" xfId="78" applyNumberFormat="1" applyFont="1"/>
    <xf numFmtId="177" fontId="89" fillId="0" borderId="0" xfId="265" applyNumberFormat="1" applyFont="1" applyFill="1" applyBorder="1"/>
    <xf numFmtId="0" fontId="7" fillId="0" borderId="0" xfId="0" applyFont="1" applyAlignment="1">
      <alignment horizontal="left"/>
    </xf>
    <xf numFmtId="177" fontId="88" fillId="0" borderId="0" xfId="265" applyNumberFormat="1" applyFont="1" applyFill="1"/>
    <xf numFmtId="177" fontId="2" fillId="0" borderId="0" xfId="265" applyNumberFormat="1" applyFont="1" applyFill="1" applyBorder="1"/>
    <xf numFmtId="177" fontId="0" fillId="0" borderId="0" xfId="78" applyNumberFormat="1" applyFont="1" applyFill="1"/>
    <xf numFmtId="178" fontId="80" fillId="54" borderId="0" xfId="0" applyNumberFormat="1" applyFont="1" applyFill="1" applyAlignment="1">
      <alignment vertical="center" wrapText="1"/>
    </xf>
    <xf numFmtId="0" fontId="87" fillId="54" borderId="0" xfId="0" applyFont="1" applyFill="1" applyAlignment="1">
      <alignment vertical="center" wrapText="1"/>
    </xf>
    <xf numFmtId="0" fontId="0" fillId="42" borderId="0" xfId="0" applyFill="1"/>
    <xf numFmtId="168" fontId="5" fillId="37" borderId="10" xfId="231" applyNumberFormat="1" applyFill="1" applyBorder="1" applyAlignment="1" applyProtection="1">
      <alignment horizontal="center" vertical="center"/>
      <protection locked="0"/>
    </xf>
    <xf numFmtId="0" fontId="90" fillId="0" borderId="0" xfId="0" applyFont="1"/>
    <xf numFmtId="177" fontId="90" fillId="53" borderId="0" xfId="0" applyNumberFormat="1" applyFont="1" applyFill="1"/>
    <xf numFmtId="177" fontId="0" fillId="0" borderId="54" xfId="0" applyNumberFormat="1" applyBorder="1"/>
    <xf numFmtId="0" fontId="92" fillId="0" borderId="0" xfId="0" applyFont="1"/>
    <xf numFmtId="0" fontId="91" fillId="0" borderId="0" xfId="0" applyFont="1"/>
    <xf numFmtId="0" fontId="91" fillId="0" borderId="0" xfId="0" applyFont="1" applyAlignment="1">
      <alignment horizontal="left"/>
    </xf>
    <xf numFmtId="0" fontId="91" fillId="0" borderId="52" xfId="0" applyFont="1" applyBorder="1"/>
    <xf numFmtId="0" fontId="93" fillId="44" borderId="46" xfId="0" applyFont="1" applyFill="1" applyBorder="1" applyAlignment="1">
      <alignment wrapText="1"/>
    </xf>
    <xf numFmtId="0" fontId="93" fillId="44" borderId="47" xfId="0" applyFont="1" applyFill="1" applyBorder="1" applyAlignment="1">
      <alignment wrapText="1"/>
    </xf>
    <xf numFmtId="0" fontId="93" fillId="45" borderId="47" xfId="0" applyFont="1" applyFill="1" applyBorder="1" applyAlignment="1">
      <alignment wrapText="1"/>
    </xf>
    <xf numFmtId="0" fontId="93" fillId="44" borderId="48" xfId="0" applyFont="1" applyFill="1" applyBorder="1" applyAlignment="1">
      <alignment wrapText="1"/>
    </xf>
    <xf numFmtId="0" fontId="91" fillId="0" borderId="49" xfId="0" applyFont="1" applyBorder="1"/>
    <xf numFmtId="179" fontId="91" fillId="0" borderId="0" xfId="0" applyNumberFormat="1" applyFont="1"/>
    <xf numFmtId="180" fontId="91" fillId="0" borderId="50" xfId="0" applyNumberFormat="1" applyFont="1" applyBorder="1"/>
    <xf numFmtId="0" fontId="91" fillId="0" borderId="51" xfId="0" applyFont="1" applyBorder="1"/>
    <xf numFmtId="179" fontId="91" fillId="0" borderId="52" xfId="0" applyNumberFormat="1" applyFont="1" applyBorder="1"/>
    <xf numFmtId="180" fontId="91" fillId="0" borderId="53" xfId="0" applyNumberFormat="1" applyFont="1" applyBorder="1"/>
    <xf numFmtId="168" fontId="5" fillId="37" borderId="10" xfId="231" applyNumberFormat="1" applyFill="1" applyBorder="1" applyProtection="1">
      <protection locked="0"/>
    </xf>
    <xf numFmtId="14" fontId="5" fillId="37" borderId="10" xfId="231" applyNumberFormat="1" applyFill="1" applyBorder="1" applyAlignment="1" applyProtection="1">
      <alignment horizontal="center"/>
      <protection locked="0"/>
    </xf>
    <xf numFmtId="166" fontId="5" fillId="37" borderId="10" xfId="233" applyNumberFormat="1" applyFill="1" applyBorder="1" applyAlignment="1" applyProtection="1">
      <alignment horizontal="right"/>
      <protection locked="0"/>
    </xf>
    <xf numFmtId="168" fontId="5" fillId="37" borderId="10" xfId="231" applyNumberFormat="1" applyFill="1" applyBorder="1" applyAlignment="1" applyProtection="1">
      <alignment horizontal="left" wrapText="1"/>
      <protection locked="0"/>
    </xf>
    <xf numFmtId="14" fontId="5" fillId="37" borderId="10" xfId="231" quotePrefix="1" applyNumberFormat="1" applyFill="1" applyBorder="1" applyProtection="1">
      <protection locked="0"/>
    </xf>
    <xf numFmtId="0" fontId="5" fillId="37" borderId="10" xfId="80" applyNumberFormat="1" applyFont="1" applyFill="1" applyBorder="1" applyAlignment="1" applyProtection="1">
      <alignment horizontal="center"/>
    </xf>
    <xf numFmtId="49" fontId="5"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5" fillId="37" borderId="10" xfId="78" applyNumberFormat="1" applyFont="1" applyFill="1" applyBorder="1" applyAlignment="1" applyProtection="1">
      <alignment horizontal="center"/>
      <protection locked="0"/>
    </xf>
    <xf numFmtId="49" fontId="10"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5" fillId="37" borderId="10" xfId="231" applyNumberFormat="1" applyFill="1" applyBorder="1" applyAlignment="1" applyProtection="1">
      <alignment horizontal="center"/>
      <protection locked="0"/>
    </xf>
    <xf numFmtId="49" fontId="5" fillId="37" borderId="10" xfId="233" applyNumberFormat="1" applyFill="1" applyBorder="1" applyAlignment="1" applyProtection="1">
      <alignment horizontal="center"/>
      <protection locked="0"/>
    </xf>
    <xf numFmtId="49" fontId="5" fillId="37" borderId="10" xfId="228" quotePrefix="1" applyNumberFormat="1" applyFill="1" applyBorder="1" applyAlignment="1" applyProtection="1">
      <alignment horizontal="center" vertical="center" wrapText="1"/>
      <protection locked="0"/>
    </xf>
    <xf numFmtId="49" fontId="5" fillId="37" borderId="10" xfId="78" applyNumberFormat="1" applyFont="1" applyFill="1" applyBorder="1" applyAlignment="1" applyProtection="1">
      <alignment horizontal="right"/>
      <protection locked="0"/>
    </xf>
    <xf numFmtId="49" fontId="5" fillId="37" borderId="10" xfId="233" applyNumberFormat="1" applyFill="1" applyBorder="1" applyAlignment="1" applyProtection="1">
      <alignment horizontal="center" vertical="top"/>
      <protection locked="0"/>
    </xf>
    <xf numFmtId="168" fontId="5" fillId="37" borderId="10" xfId="231" applyNumberFormat="1" applyFill="1" applyBorder="1" applyAlignment="1" applyProtection="1">
      <alignment horizontal="center"/>
      <protection locked="0"/>
    </xf>
    <xf numFmtId="49" fontId="10" fillId="37" borderId="10" xfId="231" applyNumberFormat="1" applyFont="1" applyFill="1" applyBorder="1" applyAlignment="1" applyProtection="1">
      <alignment horizontal="center"/>
      <protection locked="0"/>
    </xf>
    <xf numFmtId="0" fontId="10" fillId="37" borderId="10" xfId="231" applyFont="1" applyFill="1" applyBorder="1" applyAlignment="1" applyProtection="1">
      <alignment horizontal="center"/>
      <protection locked="0"/>
    </xf>
    <xf numFmtId="0" fontId="10" fillId="37" borderId="10" xfId="233" applyFont="1" applyFill="1" applyBorder="1" applyAlignment="1" applyProtection="1">
      <alignment horizontal="center"/>
      <protection locked="0"/>
    </xf>
    <xf numFmtId="0" fontId="71" fillId="36" borderId="15" xfId="226" applyFont="1" applyFill="1" applyBorder="1" applyAlignment="1">
      <alignment horizontal="left" vertical="center"/>
    </xf>
    <xf numFmtId="0" fontId="71" fillId="36" borderId="16" xfId="226" applyFont="1" applyFill="1" applyBorder="1" applyAlignment="1">
      <alignment horizontal="left" vertical="center"/>
    </xf>
    <xf numFmtId="0" fontId="71" fillId="36" borderId="32" xfId="226" applyFont="1" applyFill="1" applyBorder="1" applyAlignment="1">
      <alignment horizontal="left" vertical="center"/>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7" borderId="17" xfId="163" applyFont="1" applyFill="1" applyBorder="1" applyAlignment="1" applyProtection="1">
      <alignment horizontal="left" vertical="center"/>
    </xf>
    <xf numFmtId="0" fontId="48" fillId="37" borderId="0" xfId="226" applyFont="1" applyFill="1" applyAlignment="1">
      <alignment horizontal="left" vertical="center"/>
    </xf>
    <xf numFmtId="0" fontId="48" fillId="37"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horizontal="right" vertical="center"/>
    </xf>
    <xf numFmtId="0" fontId="48" fillId="0" borderId="0" xfId="225" applyFont="1" applyFill="1" applyAlignment="1">
      <alignment horizontal="right" vertical="center"/>
    </xf>
    <xf numFmtId="0" fontId="8" fillId="37" borderId="32" xfId="226" applyFont="1" applyFill="1" applyBorder="1" applyAlignment="1" applyProtection="1">
      <alignment horizontal="right" vertical="center" wrapText="1"/>
      <protection locked="0"/>
    </xf>
    <xf numFmtId="0" fontId="48" fillId="37" borderId="32" xfId="225" applyFont="1" applyFill="1" applyBorder="1" applyAlignment="1" applyProtection="1">
      <alignment horizontal="right" vertical="center" wrapText="1"/>
      <protection locked="0"/>
    </xf>
    <xf numFmtId="0" fontId="48" fillId="37" borderId="16" xfId="225" applyFont="1" applyFill="1" applyBorder="1" applyAlignment="1" applyProtection="1">
      <alignment horizontal="right" vertical="center" wrapText="1"/>
      <protection locked="0"/>
    </xf>
    <xf numFmtId="0" fontId="8" fillId="37" borderId="10" xfId="226" applyFont="1" applyFill="1" applyBorder="1" applyAlignment="1" applyProtection="1">
      <alignment horizontal="right" vertical="center" wrapText="1"/>
      <protection locked="0"/>
    </xf>
    <xf numFmtId="0" fontId="48" fillId="37" borderId="10" xfId="226" applyFont="1" applyFill="1" applyBorder="1" applyAlignment="1" applyProtection="1">
      <alignment horizontal="right" vertical="center" wrapText="1"/>
      <protection locked="0"/>
    </xf>
    <xf numFmtId="14" fontId="8" fillId="37" borderId="32" xfId="226" applyNumberFormat="1" applyFont="1" applyFill="1" applyBorder="1" applyAlignment="1" applyProtection="1">
      <alignment horizontal="right" vertical="center"/>
      <protection locked="0"/>
    </xf>
    <xf numFmtId="14" fontId="48" fillId="37" borderId="32" xfId="225" applyNumberFormat="1" applyFont="1" applyFill="1" applyBorder="1" applyAlignment="1" applyProtection="1">
      <alignment horizontal="right" vertical="center"/>
      <protection locked="0"/>
    </xf>
    <xf numFmtId="14" fontId="48" fillId="37" borderId="16" xfId="225" applyNumberFormat="1" applyFont="1" applyFill="1" applyBorder="1" applyAlignment="1" applyProtection="1">
      <alignment horizontal="right" vertical="center"/>
      <protection locked="0"/>
    </xf>
    <xf numFmtId="0" fontId="49" fillId="36" borderId="0" xfId="229" applyFont="1" applyFill="1" applyAlignment="1">
      <alignment horizontal="right" indent="1"/>
    </xf>
    <xf numFmtId="0" fontId="49" fillId="36" borderId="31" xfId="229" applyFont="1" applyFill="1" applyBorder="1" applyAlignment="1">
      <alignment horizontal="right" indent="1"/>
    </xf>
    <xf numFmtId="0" fontId="74" fillId="36" borderId="19" xfId="229" applyFont="1" applyFill="1" applyBorder="1" applyAlignment="1">
      <alignment horizontal="center"/>
    </xf>
    <xf numFmtId="0" fontId="74" fillId="36" borderId="20" xfId="229" applyFont="1" applyFill="1" applyBorder="1" applyAlignment="1">
      <alignment horizontal="center"/>
    </xf>
    <xf numFmtId="0" fontId="74" fillId="36" borderId="21" xfId="229" applyFont="1" applyFill="1" applyBorder="1" applyAlignment="1">
      <alignment horizontal="center"/>
    </xf>
    <xf numFmtId="0" fontId="74" fillId="36" borderId="22" xfId="229" applyFont="1" applyFill="1" applyBorder="1" applyAlignment="1">
      <alignment horizontal="center"/>
    </xf>
    <xf numFmtId="0" fontId="74" fillId="36" borderId="23" xfId="229" applyFont="1" applyFill="1" applyBorder="1" applyAlignment="1">
      <alignment horizontal="center"/>
    </xf>
    <xf numFmtId="0" fontId="74" fillId="36" borderId="24" xfId="229" applyFont="1" applyFill="1" applyBorder="1" applyAlignment="1">
      <alignment horizontal="center"/>
    </xf>
    <xf numFmtId="0" fontId="71" fillId="36" borderId="17" xfId="229" applyFont="1" applyFill="1" applyBorder="1" applyAlignment="1">
      <alignment horizontal="left" vertical="top"/>
    </xf>
    <xf numFmtId="0" fontId="71" fillId="36" borderId="22" xfId="229" applyFont="1" applyFill="1" applyBorder="1" applyAlignment="1">
      <alignment horizontal="left" vertical="top"/>
    </xf>
    <xf numFmtId="0" fontId="74" fillId="36" borderId="23" xfId="229" applyFont="1" applyFill="1" applyBorder="1" applyAlignment="1">
      <alignment horizontal="center" vertical="center"/>
    </xf>
    <xf numFmtId="0" fontId="74" fillId="36" borderId="24" xfId="229" applyFont="1" applyFill="1" applyBorder="1" applyAlignment="1">
      <alignment horizontal="center" vertical="center"/>
    </xf>
    <xf numFmtId="0" fontId="49" fillId="36" borderId="18" xfId="229" applyFont="1" applyFill="1" applyBorder="1" applyAlignment="1">
      <alignment horizontal="center"/>
    </xf>
    <xf numFmtId="0" fontId="49" fillId="36" borderId="0" xfId="229" applyFont="1" applyFill="1" applyAlignment="1">
      <alignment horizontal="center"/>
    </xf>
    <xf numFmtId="0" fontId="48" fillId="37" borderId="10" xfId="229" applyFont="1" applyFill="1" applyBorder="1" applyAlignment="1" applyProtection="1">
      <alignment horizontal="right" vertical="center"/>
      <protection locked="0"/>
    </xf>
    <xf numFmtId="0" fontId="48" fillId="36" borderId="30" xfId="229" applyFont="1" applyFill="1" applyBorder="1" applyAlignment="1">
      <alignment horizontal="center"/>
    </xf>
    <xf numFmtId="0" fontId="48" fillId="36" borderId="18" xfId="229" applyFont="1" applyFill="1" applyBorder="1" applyAlignment="1">
      <alignment horizontal="center"/>
    </xf>
    <xf numFmtId="0" fontId="48" fillId="37" borderId="15" xfId="229" applyFont="1" applyFill="1" applyBorder="1" applyAlignment="1" applyProtection="1">
      <alignment horizontal="right" vertical="center"/>
      <protection locked="0"/>
    </xf>
    <xf numFmtId="0" fontId="48" fillId="37" borderId="32" xfId="229" applyFont="1" applyFill="1" applyBorder="1" applyAlignment="1" applyProtection="1">
      <alignment horizontal="right" vertical="center"/>
      <protection locked="0"/>
    </xf>
    <xf numFmtId="0" fontId="48" fillId="37" borderId="16" xfId="229" applyFont="1" applyFill="1" applyBorder="1" applyAlignment="1" applyProtection="1">
      <alignment horizontal="right" vertical="center"/>
      <protection locked="0"/>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7" borderId="15" xfId="229" quotePrefix="1" applyFont="1" applyFill="1" applyBorder="1" applyAlignment="1" applyProtection="1">
      <alignment horizontal="right" vertical="center"/>
      <protection locked="0"/>
    </xf>
    <xf numFmtId="49" fontId="8" fillId="37" borderId="32" xfId="226" applyNumberFormat="1" applyFont="1" applyFill="1" applyBorder="1" applyAlignment="1" applyProtection="1">
      <alignment horizontal="right" vertical="center"/>
      <protection locked="0"/>
    </xf>
    <xf numFmtId="49" fontId="48" fillId="37" borderId="32" xfId="225" applyNumberFormat="1" applyFont="1" applyFill="1" applyBorder="1" applyAlignment="1" applyProtection="1">
      <alignment horizontal="right" vertical="center"/>
      <protection locked="0"/>
    </xf>
    <xf numFmtId="49" fontId="48" fillId="37" borderId="16" xfId="225" applyNumberFormat="1" applyFont="1" applyFill="1" applyBorder="1" applyAlignment="1" applyProtection="1">
      <alignment horizontal="right" vertical="center"/>
      <protection locked="0"/>
    </xf>
    <xf numFmtId="0" fontId="71" fillId="36" borderId="30" xfId="226" applyFont="1" applyFill="1" applyBorder="1" applyAlignment="1">
      <alignment horizontal="left" vertical="center" wrapText="1"/>
    </xf>
    <xf numFmtId="0" fontId="71" fillId="36" borderId="0" xfId="226" applyFont="1" applyFill="1" applyAlignment="1">
      <alignment horizontal="left" vertical="center" wrapText="1"/>
    </xf>
    <xf numFmtId="0" fontId="8" fillId="37" borderId="10" xfId="226" applyFont="1" applyFill="1" applyBorder="1" applyAlignment="1" applyProtection="1">
      <alignment horizontal="right" vertical="center"/>
      <protection locked="0"/>
    </xf>
    <xf numFmtId="0" fontId="48" fillId="37" borderId="10" xfId="226" applyFont="1" applyFill="1" applyBorder="1" applyAlignment="1" applyProtection="1">
      <alignment horizontal="right" vertical="center"/>
      <protection locked="0"/>
    </xf>
    <xf numFmtId="0" fontId="8" fillId="37" borderId="32" xfId="226" applyFont="1" applyFill="1" applyBorder="1" applyAlignment="1" applyProtection="1">
      <alignment horizontal="right" vertical="center"/>
      <protection locked="0"/>
    </xf>
    <xf numFmtId="0" fontId="48" fillId="37" borderId="32" xfId="225" applyFont="1" applyFill="1" applyBorder="1" applyAlignment="1" applyProtection="1">
      <alignment horizontal="right" vertical="center"/>
      <protection locked="0"/>
    </xf>
    <xf numFmtId="0" fontId="48" fillId="37" borderId="16" xfId="225" applyFont="1" applyFill="1" applyBorder="1" applyAlignment="1" applyProtection="1">
      <alignment horizontal="right" vertical="center"/>
      <protection locked="0"/>
    </xf>
    <xf numFmtId="0" fontId="71" fillId="36" borderId="0" xfId="226" applyFont="1" applyFill="1" applyAlignment="1">
      <alignment horizontal="left" vertical="center"/>
    </xf>
    <xf numFmtId="0" fontId="75" fillId="40" borderId="0" xfId="0" applyFont="1" applyFill="1" applyAlignment="1">
      <alignment horizontal="center"/>
    </xf>
    <xf numFmtId="49" fontId="35" fillId="36" borderId="15" xfId="229" applyNumberFormat="1" applyFont="1" applyFill="1" applyBorder="1" applyAlignment="1">
      <alignment horizontal="center" vertical="center"/>
    </xf>
    <xf numFmtId="49" fontId="35" fillId="36" borderId="16" xfId="229" applyNumberFormat="1" applyFont="1" applyFill="1" applyBorder="1" applyAlignment="1">
      <alignment horizontal="center" vertical="center"/>
    </xf>
    <xf numFmtId="49" fontId="35" fillId="36" borderId="33" xfId="229" applyNumberFormat="1" applyFont="1" applyFill="1" applyBorder="1" applyAlignment="1">
      <alignment horizontal="center" vertical="center"/>
    </xf>
    <xf numFmtId="49" fontId="35" fillId="36" borderId="11" xfId="229" applyNumberFormat="1" applyFont="1" applyFill="1" applyBorder="1" applyAlignment="1">
      <alignment horizontal="center" vertical="center"/>
    </xf>
    <xf numFmtId="2" fontId="35" fillId="36" borderId="11" xfId="228" applyNumberFormat="1" applyFont="1" applyFill="1" applyBorder="1" applyAlignment="1">
      <alignment horizontal="center" vertical="center" wrapText="1"/>
    </xf>
    <xf numFmtId="2" fontId="35" fillId="36" borderId="13" xfId="228" applyNumberFormat="1" applyFont="1" applyFill="1" applyBorder="1" applyAlignment="1">
      <alignment horizontal="center" vertical="center" wrapText="1"/>
    </xf>
    <xf numFmtId="2" fontId="35" fillId="36" borderId="15" xfId="228" applyNumberFormat="1" applyFont="1" applyFill="1" applyBorder="1" applyAlignment="1">
      <alignment horizontal="center" vertical="center" wrapText="1"/>
    </xf>
    <xf numFmtId="2" fontId="35" fillId="36" borderId="32" xfId="228" applyNumberFormat="1" applyFont="1" applyFill="1" applyBorder="1" applyAlignment="1">
      <alignment horizontal="center" vertical="center" wrapText="1"/>
    </xf>
    <xf numFmtId="2" fontId="35" fillId="36" borderId="15" xfId="229" applyNumberFormat="1" applyFont="1" applyFill="1" applyBorder="1" applyAlignment="1">
      <alignment horizontal="center" vertical="center" wrapText="1"/>
    </xf>
    <xf numFmtId="2" fontId="35" fillId="36" borderId="32" xfId="229" applyNumberFormat="1" applyFont="1" applyFill="1" applyBorder="1" applyAlignment="1">
      <alignment horizontal="center" vertical="center" wrapText="1"/>
    </xf>
    <xf numFmtId="2" fontId="35" fillId="36" borderId="16" xfId="229" applyNumberFormat="1" applyFont="1" applyFill="1" applyBorder="1" applyAlignment="1">
      <alignment horizontal="center" vertical="center" wrapText="1"/>
    </xf>
    <xf numFmtId="167" fontId="35" fillId="36" borderId="15" xfId="228" quotePrefix="1" applyNumberFormat="1" applyFont="1" applyFill="1" applyBorder="1" applyAlignment="1">
      <alignment horizontal="left" vertical="center" wrapText="1"/>
    </xf>
    <xf numFmtId="167" fontId="35" fillId="36" borderId="16" xfId="228" quotePrefix="1" applyNumberFormat="1" applyFont="1" applyFill="1" applyBorder="1" applyAlignment="1">
      <alignment horizontal="left" vertical="center" wrapText="1"/>
    </xf>
    <xf numFmtId="0" fontId="8" fillId="40" borderId="0" xfId="0" applyFont="1" applyFill="1" applyAlignment="1">
      <alignment horizontal="left" vertical="top" wrapText="1"/>
    </xf>
    <xf numFmtId="49" fontId="12" fillId="36" borderId="15" xfId="228" applyNumberFormat="1" applyFont="1" applyFill="1" applyBorder="1" applyAlignment="1">
      <alignment horizontal="left" wrapText="1"/>
    </xf>
    <xf numFmtId="49" fontId="12" fillId="36"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6" borderId="10" xfId="229" applyNumberFormat="1" applyFont="1" applyFill="1" applyBorder="1" applyAlignment="1">
      <alignment horizontal="center" vertical="center" wrapText="1"/>
    </xf>
    <xf numFmtId="0" fontId="8" fillId="40" borderId="0" xfId="0" applyFont="1" applyFill="1" applyAlignment="1">
      <alignment horizontal="left" vertical="center" wrapText="1"/>
    </xf>
    <xf numFmtId="0" fontId="35" fillId="38" borderId="32" xfId="231" applyFont="1" applyFill="1" applyBorder="1" applyAlignment="1">
      <alignment horizontal="left"/>
    </xf>
    <xf numFmtId="0" fontId="35" fillId="38" borderId="16" xfId="231" applyFont="1" applyFill="1" applyBorder="1" applyAlignment="1">
      <alignment horizontal="left"/>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49" fontId="35" fillId="36" borderId="15" xfId="233" applyNumberFormat="1" applyFont="1" applyFill="1" applyBorder="1" applyAlignment="1">
      <alignment horizontal="center" vertical="center" wrapText="1"/>
    </xf>
    <xf numFmtId="49" fontId="35" fillId="36" borderId="16" xfId="233" applyNumberFormat="1" applyFont="1" applyFill="1" applyBorder="1" applyAlignment="1">
      <alignment horizontal="center" vertical="center" wrapText="1"/>
    </xf>
    <xf numFmtId="49" fontId="58" fillId="38" borderId="33" xfId="228" applyNumberFormat="1" applyFont="1" applyFill="1" applyBorder="1" applyAlignment="1">
      <alignment horizontal="left"/>
    </xf>
    <xf numFmtId="49" fontId="58" fillId="38" borderId="34" xfId="228" applyNumberFormat="1" applyFont="1" applyFill="1" applyBorder="1" applyAlignment="1">
      <alignment horizontal="left"/>
    </xf>
    <xf numFmtId="168" fontId="58" fillId="38" borderId="15" xfId="231" applyNumberFormat="1" applyFont="1" applyFill="1" applyBorder="1" applyAlignment="1">
      <alignment horizontal="left"/>
    </xf>
    <xf numFmtId="168" fontId="58" fillId="38" borderId="32" xfId="231" applyNumberFormat="1" applyFont="1" applyFill="1" applyBorder="1" applyAlignment="1">
      <alignment horizontal="left"/>
    </xf>
    <xf numFmtId="168" fontId="58" fillId="38" borderId="16" xfId="231" applyNumberFormat="1" applyFont="1" applyFill="1" applyBorder="1" applyAlignment="1">
      <alignment horizontal="left"/>
    </xf>
    <xf numFmtId="173" fontId="37" fillId="13" borderId="10" xfId="80" applyNumberFormat="1" applyFont="1" applyFill="1" applyBorder="1" applyAlignment="1" applyProtection="1">
      <alignment horizontal="center" vertical="center" wrapText="1"/>
    </xf>
    <xf numFmtId="49" fontId="60" fillId="36" borderId="14" xfId="229" applyNumberFormat="1" applyFont="1" applyFill="1" applyBorder="1" applyAlignment="1">
      <alignment horizontal="center" vertical="center"/>
    </xf>
    <xf numFmtId="49" fontId="60" fillId="36" borderId="12" xfId="229" applyNumberFormat="1" applyFont="1" applyFill="1" applyBorder="1" applyAlignment="1">
      <alignment horizontal="center" vertical="center"/>
    </xf>
    <xf numFmtId="49" fontId="35" fillId="36" borderId="14" xfId="229" applyNumberFormat="1" applyFont="1" applyFill="1" applyBorder="1" applyAlignment="1">
      <alignment horizontal="center" vertical="center" wrapText="1"/>
    </xf>
    <xf numFmtId="49" fontId="35" fillId="36" borderId="12" xfId="229" applyNumberFormat="1" applyFont="1" applyFill="1" applyBorder="1" applyAlignment="1">
      <alignment horizontal="center" vertical="center" wrapText="1"/>
    </xf>
    <xf numFmtId="2" fontId="35" fillId="36" borderId="14" xfId="229" applyNumberFormat="1" applyFont="1" applyFill="1" applyBorder="1" applyAlignment="1">
      <alignment horizontal="center" vertical="center" wrapText="1"/>
    </xf>
    <xf numFmtId="2" fontId="35" fillId="36" borderId="12" xfId="229" applyNumberFormat="1" applyFont="1" applyFill="1" applyBorder="1" applyAlignment="1">
      <alignment horizontal="center" vertical="center" wrapText="1"/>
    </xf>
    <xf numFmtId="49" fontId="35" fillId="36" borderId="33" xfId="229" applyNumberFormat="1" applyFont="1" applyFill="1" applyBorder="1" applyAlignment="1">
      <alignment horizontal="center" vertical="center" wrapText="1"/>
    </xf>
    <xf numFmtId="49" fontId="35" fillId="36" borderId="11" xfId="229" applyNumberFormat="1" applyFont="1" applyFill="1" applyBorder="1" applyAlignment="1">
      <alignment horizontal="center" vertical="center" wrapText="1"/>
    </xf>
    <xf numFmtId="49" fontId="76" fillId="36" borderId="35" xfId="229" applyNumberFormat="1" applyFont="1" applyFill="1" applyBorder="1" applyAlignment="1">
      <alignment horizontal="center" vertical="center" wrapText="1"/>
    </xf>
    <xf numFmtId="49" fontId="76" fillId="36" borderId="36" xfId="229" applyNumberFormat="1" applyFont="1" applyFill="1" applyBorder="1" applyAlignment="1">
      <alignment horizontal="center" vertical="center" wrapText="1"/>
    </xf>
    <xf numFmtId="49" fontId="35" fillId="36" borderId="19" xfId="229" applyNumberFormat="1" applyFont="1" applyFill="1" applyBorder="1" applyAlignment="1">
      <alignment horizontal="center" vertical="center" wrapText="1"/>
    </xf>
    <xf numFmtId="49" fontId="35" fillId="36" borderId="20" xfId="229" applyNumberFormat="1" applyFont="1" applyFill="1" applyBorder="1" applyAlignment="1">
      <alignment horizontal="center" vertical="center" wrapText="1"/>
    </xf>
    <xf numFmtId="49" fontId="35" fillId="36" borderId="21" xfId="229" applyNumberFormat="1" applyFont="1" applyFill="1" applyBorder="1" applyAlignment="1">
      <alignment horizontal="center" vertical="center" wrapText="1"/>
    </xf>
    <xf numFmtId="49" fontId="35" fillId="36" borderId="35" xfId="229" applyNumberFormat="1" applyFont="1" applyFill="1" applyBorder="1" applyAlignment="1">
      <alignment horizontal="center" vertical="center" wrapText="1"/>
    </xf>
    <xf numFmtId="49" fontId="35" fillId="36" borderId="37" xfId="229" applyNumberFormat="1" applyFont="1" applyFill="1" applyBorder="1" applyAlignment="1">
      <alignment horizontal="center" vertical="center" wrapText="1"/>
    </xf>
    <xf numFmtId="49" fontId="35" fillId="36" borderId="36" xfId="229" applyNumberFormat="1" applyFont="1" applyFill="1" applyBorder="1" applyAlignment="1">
      <alignment horizontal="center" vertical="center" wrapText="1"/>
    </xf>
    <xf numFmtId="49" fontId="12" fillId="36" borderId="38" xfId="229" applyNumberFormat="1" applyFont="1" applyFill="1" applyBorder="1" applyAlignment="1">
      <alignment horizontal="center" vertical="center" wrapText="1"/>
    </xf>
    <xf numFmtId="49" fontId="12" fillId="36" borderId="39" xfId="229" applyNumberFormat="1" applyFont="1" applyFill="1" applyBorder="1" applyAlignment="1">
      <alignment horizontal="center" vertical="center" wrapText="1"/>
    </xf>
    <xf numFmtId="49" fontId="12" fillId="36" borderId="14" xfId="229" applyNumberFormat="1" applyFont="1" applyFill="1" applyBorder="1" applyAlignment="1">
      <alignment horizontal="center" vertical="center" wrapText="1"/>
    </xf>
    <xf numFmtId="49" fontId="12" fillId="36" borderId="12" xfId="229" applyNumberFormat="1" applyFont="1" applyFill="1" applyBorder="1" applyAlignment="1">
      <alignment horizontal="center" vertical="center" wrapText="1"/>
    </xf>
    <xf numFmtId="49" fontId="12" fillId="36" borderId="40" xfId="229" applyNumberFormat="1" applyFont="1" applyFill="1" applyBorder="1" applyAlignment="1">
      <alignment horizontal="center" vertical="center" wrapText="1"/>
    </xf>
    <xf numFmtId="49" fontId="12" fillId="36" borderId="41" xfId="229" applyNumberFormat="1" applyFont="1" applyFill="1" applyBorder="1" applyAlignment="1">
      <alignment horizontal="center" vertical="center" wrapText="1"/>
    </xf>
  </cellXfs>
  <cellStyles count="278">
    <cellStyle name="_APL (B001)_Jan11_Rec 2" xfId="268" xr:uid="{53C6E070-02C8-41CD-B73E-D47FB0939B2E}"/>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3" xfId="262" xr:uid="{26A5C37A-3F28-4C12-96E6-28173ED4D24C}"/>
    <cellStyle name="Comma 14" xfId="272" xr:uid="{5CC7C961-5615-47E4-8369-CD78AB31F2BE}"/>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7CC6DFBA-A048-4C40-A354-21EE6F61078A}"/>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5" xr:uid="{A65181E6-59B6-4011-953B-C3EDE6D8542E}"/>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4" xr:uid="{414421D6-91E1-4567-B4D6-38C5CDBE63F5}"/>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42C54A8A-7566-4FCC-A2DB-0DEC0CAFA796}"/>
    <cellStyle name="Normal 2" xfId="215" xr:uid="{BCF64815-8991-4520-9077-B22C533E8BEF}"/>
    <cellStyle name="Normal 2 2" xfId="216" xr:uid="{719DBC7F-130B-4123-8107-776B1CFC2FE8}"/>
    <cellStyle name="Normal 2 3" xfId="269" xr:uid="{DD75DED6-55DD-4094-9AD5-2F45A54E8B6E}"/>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76" xr:uid="{EC169733-2148-4BEF-80BD-DC91CCD5E3F5}"/>
    <cellStyle name="Normal 3 3" xfId="259" xr:uid="{A28539B0-AA69-4C8D-B896-5970B9B76BC1}"/>
    <cellStyle name="Normal 3 3 2" xfId="270" xr:uid="{01746B10-6E5D-4B2D-9A3B-B02BA1C51523}"/>
    <cellStyle name="Normal 36" xfId="257" xr:uid="{49C3616A-50EC-4DA4-811F-789BF3528854}"/>
    <cellStyle name="Normal 4" xfId="221" xr:uid="{4BCED485-4A9D-4AC5-9829-2AB67EECA1AC}"/>
    <cellStyle name="Normal 42" xfId="273" xr:uid="{CB971267-697C-4762-8477-91F62B648103}"/>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71" xr:uid="{6925351E-5B53-45CA-81A5-4B0DB6189158}"/>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2 2 2" xfId="277" xr:uid="{DC962EA1-462A-4FE7-91EA-BB0407B5D9C1}"/>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81"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4997184.542847475</c:v>
                </c:pt>
                <c:pt idx="1">
                  <c:v>0</c:v>
                </c:pt>
                <c:pt idx="2">
                  <c:v>0</c:v>
                </c:pt>
                <c:pt idx="3">
                  <c:v>0</c:v>
                </c:pt>
                <c:pt idx="4">
                  <c:v>0</c:v>
                </c:pt>
                <c:pt idx="5">
                  <c:v>0</c:v>
                </c:pt>
                <c:pt idx="6">
                  <c:v>0</c:v>
                </c:pt>
                <c:pt idx="7">
                  <c:v>11378.469734357383</c:v>
                </c:pt>
                <c:pt idx="8">
                  <c:v>0</c:v>
                </c:pt>
                <c:pt idx="9">
                  <c:v>0</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2573175.4120748225</c:v>
                </c:pt>
                <c:pt idx="1">
                  <c:v>0</c:v>
                </c:pt>
                <c:pt idx="2">
                  <c:v>0</c:v>
                </c:pt>
                <c:pt idx="3">
                  <c:v>0</c:v>
                </c:pt>
                <c:pt idx="4">
                  <c:v>0</c:v>
                </c:pt>
                <c:pt idx="5">
                  <c:v>0</c:v>
                </c:pt>
                <c:pt idx="6">
                  <c:v>0</c:v>
                </c:pt>
                <c:pt idx="7">
                  <c:v>5859.0588953519873</c:v>
                </c:pt>
                <c:pt idx="8">
                  <c:v>0</c:v>
                </c:pt>
                <c:pt idx="9">
                  <c:v>0</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0.92500000000000004</c:v>
                </c:pt>
                <c:pt idx="1">
                  <c:v>1.7749999999999999</c:v>
                </c:pt>
                <c:pt idx="2">
                  <c:v>1.7749999999999999</c:v>
                </c:pt>
                <c:pt idx="3">
                  <c:v>1.7749999999999999</c:v>
                </c:pt>
                <c:pt idx="4">
                  <c:v>1.7749999999999999</c:v>
                </c:pt>
                <c:pt idx="5">
                  <c:v>1.7749999999999999</c:v>
                </c:pt>
                <c:pt idx="6">
                  <c:v>1.7749999999999999</c:v>
                </c:pt>
                <c:pt idx="7">
                  <c:v>1.7749999999999999</c:v>
                </c:pt>
                <c:pt idx="8">
                  <c:v>1.7749999999999999</c:v>
                </c:pt>
                <c:pt idx="9">
                  <c:v>1.7749999999999999</c:v>
                </c:pt>
                <c:pt idx="10">
                  <c:v>1.7749999999999999</c:v>
                </c:pt>
                <c:pt idx="11">
                  <c:v>1.7749999999999999</c:v>
                </c:pt>
                <c:pt idx="12">
                  <c:v>1.7749999999999999</c:v>
                </c:pt>
                <c:pt idx="13">
                  <c:v>1.7749999999999999</c:v>
                </c:pt>
                <c:pt idx="14">
                  <c:v>1.7749999999999999</c:v>
                </c:pt>
                <c:pt idx="15">
                  <c:v>1.7749999999999999</c:v>
                </c:pt>
                <c:pt idx="16">
                  <c:v>1.7749999999999999</c:v>
                </c:pt>
                <c:pt idx="17">
                  <c:v>1.7749999999999999</c:v>
                </c:pt>
                <c:pt idx="18">
                  <c:v>1.7749999999999999</c:v>
                </c:pt>
                <c:pt idx="19">
                  <c:v>1.7749999999999999</c:v>
                </c:pt>
                <c:pt idx="20">
                  <c:v>1.7749999999999999</c:v>
                </c:pt>
                <c:pt idx="21">
                  <c:v>1.7749999999999999</c:v>
                </c:pt>
                <c:pt idx="22">
                  <c:v>1.7749999999999999</c:v>
                </c:pt>
                <c:pt idx="23">
                  <c:v>1.7749999999999999</c:v>
                </c:pt>
                <c:pt idx="24">
                  <c:v>1.7749999999999999</c:v>
                </c:pt>
                <c:pt idx="25">
                  <c:v>1.7749999999999999</c:v>
                </c:pt>
                <c:pt idx="26">
                  <c:v>1.7749999999999999</c:v>
                </c:pt>
                <c:pt idx="27">
                  <c:v>1.7749999999999999</c:v>
                </c:pt>
                <c:pt idx="28">
                  <c:v>1.7749999999999999</c:v>
                </c:pt>
                <c:pt idx="29">
                  <c:v>1.7749999999999999</c:v>
                </c:pt>
                <c:pt idx="30">
                  <c:v>1.7749999999999999</c:v>
                </c:pt>
                <c:pt idx="31">
                  <c:v>1.7749999999999999</c:v>
                </c:pt>
                <c:pt idx="32">
                  <c:v>1.7749999999999999</c:v>
                </c:pt>
                <c:pt idx="33">
                  <c:v>1.7749999999999999</c:v>
                </c:pt>
                <c:pt idx="34">
                  <c:v>1.7749999999999999</c:v>
                </c:pt>
                <c:pt idx="35">
                  <c:v>1.7749999999999999</c:v>
                </c:pt>
                <c:pt idx="36">
                  <c:v>1.7749999999999999</c:v>
                </c:pt>
                <c:pt idx="37">
                  <c:v>1.7749999999999999</c:v>
                </c:pt>
                <c:pt idx="38">
                  <c:v>1.7749999999999999</c:v>
                </c:pt>
                <c:pt idx="39">
                  <c:v>1.7749999999999999</c:v>
                </c:pt>
                <c:pt idx="40">
                  <c:v>1.7749999999999999</c:v>
                </c:pt>
                <c:pt idx="41">
                  <c:v>1.7749999999999999</c:v>
                </c:pt>
                <c:pt idx="42">
                  <c:v>1.7749999999999999</c:v>
                </c:pt>
                <c:pt idx="43">
                  <c:v>1.7749999999999999</c:v>
                </c:pt>
                <c:pt idx="44">
                  <c:v>1.7749999999999999</c:v>
                </c:pt>
                <c:pt idx="45">
                  <c:v>1.7749999999999999</c:v>
                </c:pt>
                <c:pt idx="46">
                  <c:v>1.7749999999999999</c:v>
                </c:pt>
                <c:pt idx="47">
                  <c:v>1.7749999999999999</c:v>
                </c:pt>
                <c:pt idx="48">
                  <c:v>1.7749999999999999</c:v>
                </c:pt>
                <c:pt idx="49">
                  <c:v>1.7749999999999999</c:v>
                </c:pt>
                <c:pt idx="50">
                  <c:v>1.7749999999999999</c:v>
                </c:pt>
                <c:pt idx="51">
                  <c:v>1.7749999999999999</c:v>
                </c:pt>
                <c:pt idx="52">
                  <c:v>1.7749999999999999</c:v>
                </c:pt>
                <c:pt idx="53">
                  <c:v>1.7749999999999999</c:v>
                </c:pt>
                <c:pt idx="54">
                  <c:v>1.7749999999999999</c:v>
                </c:pt>
                <c:pt idx="55">
                  <c:v>1.7749999999999999</c:v>
                </c:pt>
                <c:pt idx="56">
                  <c:v>1.7749999999999999</c:v>
                </c:pt>
                <c:pt idx="57">
                  <c:v>1.7749999999999999</c:v>
                </c:pt>
                <c:pt idx="58">
                  <c:v>1.7749999999999999</c:v>
                </c:pt>
                <c:pt idx="59">
                  <c:v>1.7749999999999999</c:v>
                </c:pt>
                <c:pt idx="60">
                  <c:v>1.7749999999999999</c:v>
                </c:pt>
                <c:pt idx="61">
                  <c:v>1.7749999999999999</c:v>
                </c:pt>
                <c:pt idx="62">
                  <c:v>1.7749999999999999</c:v>
                </c:pt>
                <c:pt idx="63">
                  <c:v>1.7749999999999999</c:v>
                </c:pt>
                <c:pt idx="64">
                  <c:v>1.7749999999999999</c:v>
                </c:pt>
                <c:pt idx="65">
                  <c:v>1.7749999999999999</c:v>
                </c:pt>
                <c:pt idx="66">
                  <c:v>1.7749999999999999</c:v>
                </c:pt>
                <c:pt idx="67">
                  <c:v>1.7749999999999999</c:v>
                </c:pt>
                <c:pt idx="68">
                  <c:v>1.7749999999999999</c:v>
                </c:pt>
                <c:pt idx="69">
                  <c:v>1.7749999999999999</c:v>
                </c:pt>
                <c:pt idx="70">
                  <c:v>1.7749999999999999</c:v>
                </c:pt>
                <c:pt idx="71">
                  <c:v>1.7749999999999999</c:v>
                </c:pt>
                <c:pt idx="72">
                  <c:v>1.7749999999999999</c:v>
                </c:pt>
                <c:pt idx="73">
                  <c:v>1.7749999999999999</c:v>
                </c:pt>
                <c:pt idx="74">
                  <c:v>1.7749999999999999</c:v>
                </c:pt>
                <c:pt idx="75">
                  <c:v>1.7749999999999999</c:v>
                </c:pt>
                <c:pt idx="76">
                  <c:v>1.7749999999999999</c:v>
                </c:pt>
                <c:pt idx="77">
                  <c:v>1.7749999999999999</c:v>
                </c:pt>
                <c:pt idx="78">
                  <c:v>1.7749999999999999</c:v>
                </c:pt>
                <c:pt idx="79">
                  <c:v>1.7749999999999999</c:v>
                </c:pt>
                <c:pt idx="80">
                  <c:v>1.7749999999999999</c:v>
                </c:pt>
                <c:pt idx="81">
                  <c:v>1.7749999999999999</c:v>
                </c:pt>
                <c:pt idx="82">
                  <c:v>1.7749999999999999</c:v>
                </c:pt>
                <c:pt idx="83">
                  <c:v>1.7749999999999999</c:v>
                </c:pt>
                <c:pt idx="84">
                  <c:v>1.7749999999999999</c:v>
                </c:pt>
                <c:pt idx="85">
                  <c:v>1.7749999999999999</c:v>
                </c:pt>
                <c:pt idx="86">
                  <c:v>1.7749999999999999</c:v>
                </c:pt>
                <c:pt idx="87">
                  <c:v>1.7749999999999999</c:v>
                </c:pt>
                <c:pt idx="88">
                  <c:v>1.7749999999999999</c:v>
                </c:pt>
                <c:pt idx="89">
                  <c:v>1.7749999999999999</c:v>
                </c:pt>
                <c:pt idx="90">
                  <c:v>1.7749999999999999</c:v>
                </c:pt>
                <c:pt idx="91">
                  <c:v>1.7749999999999999</c:v>
                </c:pt>
                <c:pt idx="92">
                  <c:v>1.7749999999999999</c:v>
                </c:pt>
                <c:pt idx="93">
                  <c:v>1.7749999999999999</c:v>
                </c:pt>
                <c:pt idx="94">
                  <c:v>1.7749999999999999</c:v>
                </c:pt>
                <c:pt idx="95">
                  <c:v>1.7749999999999999</c:v>
                </c:pt>
                <c:pt idx="96">
                  <c:v>1.7749999999999999</c:v>
                </c:pt>
                <c:pt idx="97">
                  <c:v>1.7749999999999999</c:v>
                </c:pt>
                <c:pt idx="98">
                  <c:v>1.7749999999999999</c:v>
                </c:pt>
                <c:pt idx="99">
                  <c:v>1.7749999999999999</c:v>
                </c:pt>
                <c:pt idx="100">
                  <c:v>1.7749999999999999</c:v>
                </c:pt>
                <c:pt idx="101">
                  <c:v>1.7749999999999999</c:v>
                </c:pt>
                <c:pt idx="102">
                  <c:v>1.7749999999999999</c:v>
                </c:pt>
                <c:pt idx="103">
                  <c:v>1.7749999999999999</c:v>
                </c:pt>
                <c:pt idx="104">
                  <c:v>1.7749999999999999</c:v>
                </c:pt>
                <c:pt idx="105">
                  <c:v>1.7749999999999999</c:v>
                </c:pt>
                <c:pt idx="106">
                  <c:v>1.7749999999999999</c:v>
                </c:pt>
                <c:pt idx="107">
                  <c:v>1.7749999999999999</c:v>
                </c:pt>
                <c:pt idx="108">
                  <c:v>1.7749999999999999</c:v>
                </c:pt>
                <c:pt idx="109">
                  <c:v>1.7749999999999999</c:v>
                </c:pt>
                <c:pt idx="110">
                  <c:v>1.7749999999999999</c:v>
                </c:pt>
                <c:pt idx="111">
                  <c:v>1.7749999999999999</c:v>
                </c:pt>
                <c:pt idx="112">
                  <c:v>1.7749999999999999</c:v>
                </c:pt>
                <c:pt idx="113">
                  <c:v>1.7749999999999999</c:v>
                </c:pt>
                <c:pt idx="114">
                  <c:v>1.7749999999999999</c:v>
                </c:pt>
                <c:pt idx="115">
                  <c:v>1.7749999999999999</c:v>
                </c:pt>
                <c:pt idx="116">
                  <c:v>1.7749999999999999</c:v>
                </c:pt>
                <c:pt idx="117">
                  <c:v>1.7749999999999999</c:v>
                </c:pt>
                <c:pt idx="118">
                  <c:v>1.7749999999999999</c:v>
                </c:pt>
                <c:pt idx="119">
                  <c:v>1.7749999999999999</c:v>
                </c:pt>
                <c:pt idx="120">
                  <c:v>1.7749999999999999</c:v>
                </c:pt>
                <c:pt idx="121">
                  <c:v>1.7749999999999999</c:v>
                </c:pt>
                <c:pt idx="122">
                  <c:v>1.7749999999999999</c:v>
                </c:pt>
                <c:pt idx="123">
                  <c:v>1.7749999999999999</c:v>
                </c:pt>
                <c:pt idx="124">
                  <c:v>1.7749999999999999</c:v>
                </c:pt>
                <c:pt idx="125">
                  <c:v>1.7749999999999999</c:v>
                </c:pt>
                <c:pt idx="126">
                  <c:v>1.7749999999999999</c:v>
                </c:pt>
                <c:pt idx="127">
                  <c:v>1.7749999999999999</c:v>
                </c:pt>
                <c:pt idx="128">
                  <c:v>1.7749999999999999</c:v>
                </c:pt>
                <c:pt idx="129">
                  <c:v>1.7749999999999999</c:v>
                </c:pt>
                <c:pt idx="130">
                  <c:v>1.7749999999999999</c:v>
                </c:pt>
                <c:pt idx="131">
                  <c:v>1.7749999999999999</c:v>
                </c:pt>
                <c:pt idx="132">
                  <c:v>1.7749999999999999</c:v>
                </c:pt>
                <c:pt idx="133">
                  <c:v>1.7749999999999999</c:v>
                </c:pt>
                <c:pt idx="134">
                  <c:v>1.7749999999999999</c:v>
                </c:pt>
                <c:pt idx="135">
                  <c:v>1.7749999999999999</c:v>
                </c:pt>
                <c:pt idx="136">
                  <c:v>1.7749999999999999</c:v>
                </c:pt>
                <c:pt idx="137">
                  <c:v>1.7749999999999999</c:v>
                </c:pt>
                <c:pt idx="138">
                  <c:v>1.7749999999999999</c:v>
                </c:pt>
                <c:pt idx="139">
                  <c:v>1.7749999999999999</c:v>
                </c:pt>
                <c:pt idx="140">
                  <c:v>1.7749999999999999</c:v>
                </c:pt>
                <c:pt idx="141">
                  <c:v>1.7749999999999999</c:v>
                </c:pt>
                <c:pt idx="142">
                  <c:v>1.7749999999999999</c:v>
                </c:pt>
                <c:pt idx="143">
                  <c:v>1.7749999999999999</c:v>
                </c:pt>
                <c:pt idx="144">
                  <c:v>1.7749999999999999</c:v>
                </c:pt>
                <c:pt idx="145">
                  <c:v>1.7749999999999999</c:v>
                </c:pt>
                <c:pt idx="146">
                  <c:v>1.7749999999999999</c:v>
                </c:pt>
                <c:pt idx="147">
                  <c:v>1.7749999999999999</c:v>
                </c:pt>
                <c:pt idx="148">
                  <c:v>1.7749999999999999</c:v>
                </c:pt>
                <c:pt idx="149">
                  <c:v>1.7749999999999999</c:v>
                </c:pt>
                <c:pt idx="150">
                  <c:v>1.7749999999999999</c:v>
                </c:pt>
                <c:pt idx="151">
                  <c:v>1.7749999999999999</c:v>
                </c:pt>
                <c:pt idx="152">
                  <c:v>1.7749999999999999</c:v>
                </c:pt>
                <c:pt idx="153">
                  <c:v>1.7749999999999999</c:v>
                </c:pt>
                <c:pt idx="154">
                  <c:v>1.7749999999999999</c:v>
                </c:pt>
                <c:pt idx="155">
                  <c:v>1.7749999999999999</c:v>
                </c:pt>
                <c:pt idx="156">
                  <c:v>1.7749999999999999</c:v>
                </c:pt>
                <c:pt idx="157">
                  <c:v>1.7749999999999999</c:v>
                </c:pt>
                <c:pt idx="158">
                  <c:v>1.7749999999999999</c:v>
                </c:pt>
                <c:pt idx="159">
                  <c:v>1.7749999999999999</c:v>
                </c:pt>
                <c:pt idx="160">
                  <c:v>1.7749999999999999</c:v>
                </c:pt>
                <c:pt idx="161">
                  <c:v>1.7749999999999999</c:v>
                </c:pt>
                <c:pt idx="162">
                  <c:v>1.7749999999999999</c:v>
                </c:pt>
                <c:pt idx="163">
                  <c:v>1.7749999999999999</c:v>
                </c:pt>
                <c:pt idx="164">
                  <c:v>1.7749999999999999</c:v>
                </c:pt>
                <c:pt idx="165">
                  <c:v>1.7749999999999999</c:v>
                </c:pt>
                <c:pt idx="166">
                  <c:v>1.7749999999999999</c:v>
                </c:pt>
                <c:pt idx="167">
                  <c:v>1.7749999999999999</c:v>
                </c:pt>
                <c:pt idx="168">
                  <c:v>1.7749999999999999</c:v>
                </c:pt>
                <c:pt idx="169">
                  <c:v>1.7749999999999999</c:v>
                </c:pt>
                <c:pt idx="170">
                  <c:v>1.7749999999999999</c:v>
                </c:pt>
                <c:pt idx="171">
                  <c:v>1.7749999999999999</c:v>
                </c:pt>
                <c:pt idx="172">
                  <c:v>1.7749999999999999</c:v>
                </c:pt>
                <c:pt idx="173">
                  <c:v>1.7749999999999999</c:v>
                </c:pt>
                <c:pt idx="174">
                  <c:v>1.7749999999999999</c:v>
                </c:pt>
                <c:pt idx="175">
                  <c:v>1.7749999999999999</c:v>
                </c:pt>
                <c:pt idx="176">
                  <c:v>1.7749999999999999</c:v>
                </c:pt>
                <c:pt idx="177">
                  <c:v>1.7749999999999999</c:v>
                </c:pt>
                <c:pt idx="178">
                  <c:v>1.7749999999999999</c:v>
                </c:pt>
                <c:pt idx="179">
                  <c:v>1.7749999999999999</c:v>
                </c:pt>
                <c:pt idx="180">
                  <c:v>1.7749999999999999</c:v>
                </c:pt>
                <c:pt idx="181">
                  <c:v>1.7749999999999999</c:v>
                </c:pt>
                <c:pt idx="182">
                  <c:v>1.7749999999999999</c:v>
                </c:pt>
                <c:pt idx="183">
                  <c:v>1.7749999999999999</c:v>
                </c:pt>
                <c:pt idx="184">
                  <c:v>2.0960000000000001</c:v>
                </c:pt>
                <c:pt idx="185">
                  <c:v>2.0960000000000001</c:v>
                </c:pt>
                <c:pt idx="186">
                  <c:v>2.0960000000000001</c:v>
                </c:pt>
                <c:pt idx="187">
                  <c:v>2.0960000000000001</c:v>
                </c:pt>
                <c:pt idx="188">
                  <c:v>2.0960000000000001</c:v>
                </c:pt>
                <c:pt idx="189">
                  <c:v>2.0960000000000001</c:v>
                </c:pt>
                <c:pt idx="190">
                  <c:v>2.0960000000000001</c:v>
                </c:pt>
                <c:pt idx="191">
                  <c:v>2.0960000000000001</c:v>
                </c:pt>
                <c:pt idx="192">
                  <c:v>2.0960000000000001</c:v>
                </c:pt>
                <c:pt idx="193">
                  <c:v>2.0960000000000001</c:v>
                </c:pt>
                <c:pt idx="194">
                  <c:v>2.0960000000000001</c:v>
                </c:pt>
                <c:pt idx="195">
                  <c:v>2.0960000000000001</c:v>
                </c:pt>
                <c:pt idx="196">
                  <c:v>2.0960000000000001</c:v>
                </c:pt>
                <c:pt idx="197">
                  <c:v>2.0960000000000001</c:v>
                </c:pt>
                <c:pt idx="198">
                  <c:v>2.0960000000000001</c:v>
                </c:pt>
                <c:pt idx="199">
                  <c:v>2.0960000000000001</c:v>
                </c:pt>
                <c:pt idx="200">
                  <c:v>2.0960000000000001</c:v>
                </c:pt>
                <c:pt idx="201">
                  <c:v>2.0960000000000001</c:v>
                </c:pt>
                <c:pt idx="202">
                  <c:v>2.0960000000000001</c:v>
                </c:pt>
                <c:pt idx="203">
                  <c:v>2.0960000000000001</c:v>
                </c:pt>
                <c:pt idx="204">
                  <c:v>2.0960000000000001</c:v>
                </c:pt>
                <c:pt idx="205">
                  <c:v>2.0960000000000001</c:v>
                </c:pt>
                <c:pt idx="206">
                  <c:v>2.0960000000000001</c:v>
                </c:pt>
                <c:pt idx="207">
                  <c:v>2.0960000000000001</c:v>
                </c:pt>
                <c:pt idx="208">
                  <c:v>2.0960000000000001</c:v>
                </c:pt>
                <c:pt idx="209">
                  <c:v>2.0960000000000001</c:v>
                </c:pt>
                <c:pt idx="210">
                  <c:v>2.0960000000000001</c:v>
                </c:pt>
                <c:pt idx="211">
                  <c:v>2.0960000000000001</c:v>
                </c:pt>
                <c:pt idx="212">
                  <c:v>2.0960000000000001</c:v>
                </c:pt>
                <c:pt idx="213">
                  <c:v>2.0960000000000001</c:v>
                </c:pt>
                <c:pt idx="214">
                  <c:v>2.0960000000000001</c:v>
                </c:pt>
                <c:pt idx="215">
                  <c:v>2.0960000000000001</c:v>
                </c:pt>
                <c:pt idx="216">
                  <c:v>2.0960000000000001</c:v>
                </c:pt>
                <c:pt idx="217">
                  <c:v>2.0960000000000001</c:v>
                </c:pt>
                <c:pt idx="218">
                  <c:v>2.0960000000000001</c:v>
                </c:pt>
                <c:pt idx="219">
                  <c:v>2.0960000000000001</c:v>
                </c:pt>
                <c:pt idx="220">
                  <c:v>2.0960000000000001</c:v>
                </c:pt>
                <c:pt idx="221">
                  <c:v>2.0960000000000001</c:v>
                </c:pt>
                <c:pt idx="222">
                  <c:v>2.0960000000000001</c:v>
                </c:pt>
                <c:pt idx="223">
                  <c:v>2.0960000000000001</c:v>
                </c:pt>
                <c:pt idx="224">
                  <c:v>2.0960000000000001</c:v>
                </c:pt>
                <c:pt idx="225">
                  <c:v>2.0960000000000001</c:v>
                </c:pt>
                <c:pt idx="226">
                  <c:v>2.0960000000000001</c:v>
                </c:pt>
                <c:pt idx="227">
                  <c:v>2.0960000000000001</c:v>
                </c:pt>
                <c:pt idx="228">
                  <c:v>2.0960000000000001</c:v>
                </c:pt>
                <c:pt idx="229">
                  <c:v>2.0960000000000001</c:v>
                </c:pt>
                <c:pt idx="230">
                  <c:v>2.0960000000000001</c:v>
                </c:pt>
                <c:pt idx="231">
                  <c:v>2.0960000000000001</c:v>
                </c:pt>
                <c:pt idx="232">
                  <c:v>2.0960000000000001</c:v>
                </c:pt>
                <c:pt idx="233">
                  <c:v>2.0960000000000001</c:v>
                </c:pt>
                <c:pt idx="234">
                  <c:v>2.0960000000000001</c:v>
                </c:pt>
                <c:pt idx="235">
                  <c:v>2.0960000000000001</c:v>
                </c:pt>
                <c:pt idx="236">
                  <c:v>2.0960000000000001</c:v>
                </c:pt>
                <c:pt idx="237">
                  <c:v>2.0960000000000001</c:v>
                </c:pt>
                <c:pt idx="238">
                  <c:v>2.0960000000000001</c:v>
                </c:pt>
                <c:pt idx="239">
                  <c:v>2.0960000000000001</c:v>
                </c:pt>
                <c:pt idx="240">
                  <c:v>2.0960000000000001</c:v>
                </c:pt>
                <c:pt idx="241">
                  <c:v>2.0960000000000001</c:v>
                </c:pt>
                <c:pt idx="242">
                  <c:v>2.0960000000000001</c:v>
                </c:pt>
                <c:pt idx="243">
                  <c:v>2.0960000000000001</c:v>
                </c:pt>
                <c:pt idx="244">
                  <c:v>2.0960000000000001</c:v>
                </c:pt>
                <c:pt idx="245">
                  <c:v>2.0960000000000001</c:v>
                </c:pt>
                <c:pt idx="246">
                  <c:v>2.0960000000000001</c:v>
                </c:pt>
                <c:pt idx="247">
                  <c:v>2.0960000000000001</c:v>
                </c:pt>
                <c:pt idx="248">
                  <c:v>2.0960000000000001</c:v>
                </c:pt>
                <c:pt idx="249">
                  <c:v>2.0960000000000001</c:v>
                </c:pt>
                <c:pt idx="250">
                  <c:v>2.0960000000000001</c:v>
                </c:pt>
                <c:pt idx="251">
                  <c:v>2.0960000000000001</c:v>
                </c:pt>
                <c:pt idx="252">
                  <c:v>2.0960000000000001</c:v>
                </c:pt>
                <c:pt idx="253">
                  <c:v>2.0960000000000001</c:v>
                </c:pt>
                <c:pt idx="254">
                  <c:v>2.0960000000000001</c:v>
                </c:pt>
                <c:pt idx="255">
                  <c:v>2.0960000000000001</c:v>
                </c:pt>
                <c:pt idx="256">
                  <c:v>2.0960000000000001</c:v>
                </c:pt>
                <c:pt idx="257">
                  <c:v>2.0960000000000001</c:v>
                </c:pt>
                <c:pt idx="258">
                  <c:v>2.0960000000000001</c:v>
                </c:pt>
                <c:pt idx="259">
                  <c:v>2.0960000000000001</c:v>
                </c:pt>
                <c:pt idx="260">
                  <c:v>2.0960000000000001</c:v>
                </c:pt>
                <c:pt idx="261">
                  <c:v>2.0960000000000001</c:v>
                </c:pt>
                <c:pt idx="262">
                  <c:v>2.0960000000000001</c:v>
                </c:pt>
                <c:pt idx="263">
                  <c:v>2.0960000000000001</c:v>
                </c:pt>
                <c:pt idx="264">
                  <c:v>2.0960000000000001</c:v>
                </c:pt>
                <c:pt idx="265">
                  <c:v>2.0960000000000001</c:v>
                </c:pt>
                <c:pt idx="266">
                  <c:v>2.0960000000000001</c:v>
                </c:pt>
                <c:pt idx="267">
                  <c:v>2.0960000000000001</c:v>
                </c:pt>
                <c:pt idx="268">
                  <c:v>2.0960000000000001</c:v>
                </c:pt>
                <c:pt idx="269">
                  <c:v>2.0960000000000001</c:v>
                </c:pt>
                <c:pt idx="270">
                  <c:v>2.0960000000000001</c:v>
                </c:pt>
                <c:pt idx="271">
                  <c:v>2.0960000000000001</c:v>
                </c:pt>
                <c:pt idx="272">
                  <c:v>2.0960000000000001</c:v>
                </c:pt>
                <c:pt idx="273">
                  <c:v>2.0960000000000001</c:v>
                </c:pt>
                <c:pt idx="274">
                  <c:v>2.0960000000000001</c:v>
                </c:pt>
                <c:pt idx="275">
                  <c:v>2.0960000000000001</c:v>
                </c:pt>
                <c:pt idx="276">
                  <c:v>2.0960000000000001</c:v>
                </c:pt>
                <c:pt idx="277">
                  <c:v>2.0960000000000001</c:v>
                </c:pt>
                <c:pt idx="278">
                  <c:v>2.0960000000000001</c:v>
                </c:pt>
                <c:pt idx="279">
                  <c:v>2.0960000000000001</c:v>
                </c:pt>
                <c:pt idx="280">
                  <c:v>2.0960000000000001</c:v>
                </c:pt>
                <c:pt idx="281">
                  <c:v>2.0960000000000001</c:v>
                </c:pt>
                <c:pt idx="282">
                  <c:v>2.0960000000000001</c:v>
                </c:pt>
                <c:pt idx="283">
                  <c:v>2.0960000000000001</c:v>
                </c:pt>
                <c:pt idx="284">
                  <c:v>2.0960000000000001</c:v>
                </c:pt>
                <c:pt idx="285">
                  <c:v>2.0960000000000001</c:v>
                </c:pt>
                <c:pt idx="286">
                  <c:v>2.0960000000000001</c:v>
                </c:pt>
                <c:pt idx="287">
                  <c:v>2.0960000000000001</c:v>
                </c:pt>
                <c:pt idx="288">
                  <c:v>2.0960000000000001</c:v>
                </c:pt>
                <c:pt idx="289">
                  <c:v>2.0960000000000001</c:v>
                </c:pt>
                <c:pt idx="290">
                  <c:v>2.0960000000000001</c:v>
                </c:pt>
                <c:pt idx="291">
                  <c:v>2.0960000000000001</c:v>
                </c:pt>
                <c:pt idx="292">
                  <c:v>2.0960000000000001</c:v>
                </c:pt>
                <c:pt idx="293">
                  <c:v>2.0960000000000001</c:v>
                </c:pt>
                <c:pt idx="294">
                  <c:v>2.0960000000000001</c:v>
                </c:pt>
                <c:pt idx="295">
                  <c:v>2.0960000000000001</c:v>
                </c:pt>
                <c:pt idx="296">
                  <c:v>2.0960000000000001</c:v>
                </c:pt>
                <c:pt idx="297">
                  <c:v>2.0960000000000001</c:v>
                </c:pt>
                <c:pt idx="298">
                  <c:v>2.0960000000000001</c:v>
                </c:pt>
                <c:pt idx="299">
                  <c:v>2.0960000000000001</c:v>
                </c:pt>
                <c:pt idx="300">
                  <c:v>2.0960000000000001</c:v>
                </c:pt>
                <c:pt idx="301">
                  <c:v>2.0960000000000001</c:v>
                </c:pt>
                <c:pt idx="302">
                  <c:v>2.0960000000000001</c:v>
                </c:pt>
                <c:pt idx="303">
                  <c:v>2.0960000000000001</c:v>
                </c:pt>
                <c:pt idx="304">
                  <c:v>2.0960000000000001</c:v>
                </c:pt>
                <c:pt idx="305">
                  <c:v>2.0960000000000001</c:v>
                </c:pt>
                <c:pt idx="306">
                  <c:v>2.0960000000000001</c:v>
                </c:pt>
                <c:pt idx="307">
                  <c:v>2.0960000000000001</c:v>
                </c:pt>
                <c:pt idx="308">
                  <c:v>2.0960000000000001</c:v>
                </c:pt>
                <c:pt idx="309">
                  <c:v>2.0960000000000001</c:v>
                </c:pt>
                <c:pt idx="310">
                  <c:v>2.0960000000000001</c:v>
                </c:pt>
                <c:pt idx="311">
                  <c:v>2.0960000000000001</c:v>
                </c:pt>
                <c:pt idx="312">
                  <c:v>2.0960000000000001</c:v>
                </c:pt>
                <c:pt idx="313">
                  <c:v>2.0960000000000001</c:v>
                </c:pt>
                <c:pt idx="314">
                  <c:v>2.0960000000000001</c:v>
                </c:pt>
                <c:pt idx="315">
                  <c:v>2.0960000000000001</c:v>
                </c:pt>
                <c:pt idx="316">
                  <c:v>2.0960000000000001</c:v>
                </c:pt>
                <c:pt idx="317">
                  <c:v>2.0960000000000001</c:v>
                </c:pt>
                <c:pt idx="318">
                  <c:v>2.0960000000000001</c:v>
                </c:pt>
                <c:pt idx="319">
                  <c:v>2.0960000000000001</c:v>
                </c:pt>
                <c:pt idx="320">
                  <c:v>2.0960000000000001</c:v>
                </c:pt>
                <c:pt idx="321">
                  <c:v>2.0960000000000001</c:v>
                </c:pt>
                <c:pt idx="322">
                  <c:v>2.0960000000000001</c:v>
                </c:pt>
                <c:pt idx="323">
                  <c:v>2.0960000000000001</c:v>
                </c:pt>
                <c:pt idx="324">
                  <c:v>2.0960000000000001</c:v>
                </c:pt>
                <c:pt idx="325">
                  <c:v>2.0960000000000001</c:v>
                </c:pt>
                <c:pt idx="326">
                  <c:v>2.0960000000000001</c:v>
                </c:pt>
                <c:pt idx="327">
                  <c:v>2.0960000000000001</c:v>
                </c:pt>
                <c:pt idx="328">
                  <c:v>2.0960000000000001</c:v>
                </c:pt>
                <c:pt idx="329">
                  <c:v>2.0960000000000001</c:v>
                </c:pt>
                <c:pt idx="330">
                  <c:v>2.0960000000000001</c:v>
                </c:pt>
                <c:pt idx="331">
                  <c:v>2.0960000000000001</c:v>
                </c:pt>
                <c:pt idx="332">
                  <c:v>2.0960000000000001</c:v>
                </c:pt>
                <c:pt idx="333">
                  <c:v>2.0960000000000001</c:v>
                </c:pt>
                <c:pt idx="334">
                  <c:v>2.0960000000000001</c:v>
                </c:pt>
                <c:pt idx="335">
                  <c:v>2.0960000000000001</c:v>
                </c:pt>
                <c:pt idx="336">
                  <c:v>2.0960000000000001</c:v>
                </c:pt>
                <c:pt idx="337">
                  <c:v>2.0960000000000001</c:v>
                </c:pt>
                <c:pt idx="338">
                  <c:v>2.0960000000000001</c:v>
                </c:pt>
                <c:pt idx="339">
                  <c:v>2.0960000000000001</c:v>
                </c:pt>
                <c:pt idx="340">
                  <c:v>2.0960000000000001</c:v>
                </c:pt>
                <c:pt idx="341">
                  <c:v>2.0960000000000001</c:v>
                </c:pt>
                <c:pt idx="342">
                  <c:v>2.0960000000000001</c:v>
                </c:pt>
                <c:pt idx="343">
                  <c:v>2.0960000000000001</c:v>
                </c:pt>
                <c:pt idx="344">
                  <c:v>2.0960000000000001</c:v>
                </c:pt>
                <c:pt idx="345">
                  <c:v>2.0960000000000001</c:v>
                </c:pt>
                <c:pt idx="346">
                  <c:v>2.0960000000000001</c:v>
                </c:pt>
                <c:pt idx="347">
                  <c:v>2.0960000000000001</c:v>
                </c:pt>
                <c:pt idx="348">
                  <c:v>2.0960000000000001</c:v>
                </c:pt>
                <c:pt idx="349">
                  <c:v>2.0960000000000001</c:v>
                </c:pt>
                <c:pt idx="350">
                  <c:v>2.0960000000000001</c:v>
                </c:pt>
                <c:pt idx="351">
                  <c:v>2.0960000000000001</c:v>
                </c:pt>
                <c:pt idx="352">
                  <c:v>2.0960000000000001</c:v>
                </c:pt>
                <c:pt idx="353">
                  <c:v>2.0960000000000001</c:v>
                </c:pt>
                <c:pt idx="354">
                  <c:v>2.0960000000000001</c:v>
                </c:pt>
                <c:pt idx="355">
                  <c:v>2.0960000000000001</c:v>
                </c:pt>
                <c:pt idx="356">
                  <c:v>2.0960000000000001</c:v>
                </c:pt>
                <c:pt idx="357">
                  <c:v>2.0960000000000001</c:v>
                </c:pt>
                <c:pt idx="358">
                  <c:v>2.0960000000000001</c:v>
                </c:pt>
                <c:pt idx="359">
                  <c:v>2.0960000000000001</c:v>
                </c:pt>
                <c:pt idx="360">
                  <c:v>2.0960000000000001</c:v>
                </c:pt>
                <c:pt idx="361">
                  <c:v>2.0960000000000001</c:v>
                </c:pt>
                <c:pt idx="362">
                  <c:v>2.0960000000000001</c:v>
                </c:pt>
                <c:pt idx="363">
                  <c:v>2.0960000000000001</c:v>
                </c:pt>
                <c:pt idx="364">
                  <c:v>2.0960000000000001</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5.2119999999999997</c:v>
                </c:pt>
                <c:pt idx="1">
                  <c:v>5.1550000000000002</c:v>
                </c:pt>
                <c:pt idx="2">
                  <c:v>5.7050000000000001</c:v>
                </c:pt>
                <c:pt idx="3">
                  <c:v>4.41</c:v>
                </c:pt>
                <c:pt idx="4">
                  <c:v>5.2889999999999997</c:v>
                </c:pt>
                <c:pt idx="5">
                  <c:v>5.3639999999999999</c:v>
                </c:pt>
                <c:pt idx="6">
                  <c:v>3.41</c:v>
                </c:pt>
                <c:pt idx="7">
                  <c:v>2.8039999999999998</c:v>
                </c:pt>
                <c:pt idx="8">
                  <c:v>4.6879999999999997</c:v>
                </c:pt>
                <c:pt idx="9">
                  <c:v>6.3140000000000001</c:v>
                </c:pt>
                <c:pt idx="10">
                  <c:v>6.0549999999999997</c:v>
                </c:pt>
                <c:pt idx="11">
                  <c:v>5.702</c:v>
                </c:pt>
                <c:pt idx="12">
                  <c:v>5.4269999999999996</c:v>
                </c:pt>
                <c:pt idx="13">
                  <c:v>3.65</c:v>
                </c:pt>
                <c:pt idx="14">
                  <c:v>4.258</c:v>
                </c:pt>
                <c:pt idx="15">
                  <c:v>5.38</c:v>
                </c:pt>
                <c:pt idx="16">
                  <c:v>5.9119999999999999</c:v>
                </c:pt>
                <c:pt idx="17">
                  <c:v>6.2439999999999998</c:v>
                </c:pt>
                <c:pt idx="18">
                  <c:v>5.78</c:v>
                </c:pt>
                <c:pt idx="19">
                  <c:v>4.3860000000000001</c:v>
                </c:pt>
                <c:pt idx="20">
                  <c:v>3.8069999999999999</c:v>
                </c:pt>
                <c:pt idx="21">
                  <c:v>5.2770000000000001</c:v>
                </c:pt>
                <c:pt idx="22">
                  <c:v>5.1539999999999999</c:v>
                </c:pt>
                <c:pt idx="23">
                  <c:v>5.8730000000000002</c:v>
                </c:pt>
                <c:pt idx="24">
                  <c:v>5.9539999999999997</c:v>
                </c:pt>
                <c:pt idx="25">
                  <c:v>5.8849999999999998</c:v>
                </c:pt>
                <c:pt idx="26">
                  <c:v>4.5129999999999999</c:v>
                </c:pt>
                <c:pt idx="27">
                  <c:v>4.2320000000000002</c:v>
                </c:pt>
                <c:pt idx="28">
                  <c:v>5.9569999999999999</c:v>
                </c:pt>
                <c:pt idx="29">
                  <c:v>5.141</c:v>
                </c:pt>
                <c:pt idx="30">
                  <c:v>5.4020000000000001</c:v>
                </c:pt>
                <c:pt idx="31">
                  <c:v>5.5919999999999996</c:v>
                </c:pt>
                <c:pt idx="32">
                  <c:v>6.2809999999999997</c:v>
                </c:pt>
                <c:pt idx="33">
                  <c:v>5.681</c:v>
                </c:pt>
                <c:pt idx="34">
                  <c:v>4.4370000000000003</c:v>
                </c:pt>
                <c:pt idx="35">
                  <c:v>5.194</c:v>
                </c:pt>
                <c:pt idx="36">
                  <c:v>6.056</c:v>
                </c:pt>
                <c:pt idx="37">
                  <c:v>5.8339999999999996</c:v>
                </c:pt>
                <c:pt idx="38">
                  <c:v>5.4059999999999997</c:v>
                </c:pt>
                <c:pt idx="39">
                  <c:v>4.5949999999999998</c:v>
                </c:pt>
                <c:pt idx="40">
                  <c:v>4.4969999999999999</c:v>
                </c:pt>
                <c:pt idx="41">
                  <c:v>3.83</c:v>
                </c:pt>
                <c:pt idx="42">
                  <c:v>4.26</c:v>
                </c:pt>
                <c:pt idx="43">
                  <c:v>5.5510000000000002</c:v>
                </c:pt>
                <c:pt idx="44">
                  <c:v>5.2</c:v>
                </c:pt>
                <c:pt idx="45">
                  <c:v>5.4509999999999996</c:v>
                </c:pt>
                <c:pt idx="46">
                  <c:v>4.8860000000000001</c:v>
                </c:pt>
                <c:pt idx="47">
                  <c:v>3.7559999999999998</c:v>
                </c:pt>
                <c:pt idx="48">
                  <c:v>2.367</c:v>
                </c:pt>
                <c:pt idx="49">
                  <c:v>2.9649999999999999</c:v>
                </c:pt>
                <c:pt idx="50">
                  <c:v>4.9649999999999999</c:v>
                </c:pt>
                <c:pt idx="51">
                  <c:v>4.915</c:v>
                </c:pt>
                <c:pt idx="52">
                  <c:v>4.5</c:v>
                </c:pt>
                <c:pt idx="53">
                  <c:v>4.6859999999999999</c:v>
                </c:pt>
                <c:pt idx="54">
                  <c:v>4.5860000000000003</c:v>
                </c:pt>
                <c:pt idx="55">
                  <c:v>3.03</c:v>
                </c:pt>
                <c:pt idx="56">
                  <c:v>2.794</c:v>
                </c:pt>
                <c:pt idx="57">
                  <c:v>4.7450000000000001</c:v>
                </c:pt>
                <c:pt idx="58">
                  <c:v>5.5759999999999996</c:v>
                </c:pt>
                <c:pt idx="59">
                  <c:v>5.34</c:v>
                </c:pt>
                <c:pt idx="60">
                  <c:v>5.1219999999999999</c:v>
                </c:pt>
                <c:pt idx="61">
                  <c:v>2.9580000000000002</c:v>
                </c:pt>
                <c:pt idx="62">
                  <c:v>1.8</c:v>
                </c:pt>
                <c:pt idx="63">
                  <c:v>2.9079999999999999</c:v>
                </c:pt>
                <c:pt idx="64">
                  <c:v>4.8730000000000002</c:v>
                </c:pt>
                <c:pt idx="65">
                  <c:v>5.4550000000000001</c:v>
                </c:pt>
                <c:pt idx="66">
                  <c:v>4.4980000000000002</c:v>
                </c:pt>
                <c:pt idx="67">
                  <c:v>4.1340000000000003</c:v>
                </c:pt>
                <c:pt idx="68">
                  <c:v>3.343</c:v>
                </c:pt>
                <c:pt idx="69">
                  <c:v>2.1339999999999999</c:v>
                </c:pt>
                <c:pt idx="70">
                  <c:v>4.01</c:v>
                </c:pt>
                <c:pt idx="71">
                  <c:v>4.6630000000000003</c:v>
                </c:pt>
                <c:pt idx="72">
                  <c:v>4.8339999999999996</c:v>
                </c:pt>
                <c:pt idx="73">
                  <c:v>3.9369999999999998</c:v>
                </c:pt>
                <c:pt idx="74">
                  <c:v>4.3789999999999996</c:v>
                </c:pt>
                <c:pt idx="75">
                  <c:v>4.9000000000000004</c:v>
                </c:pt>
                <c:pt idx="76">
                  <c:v>2.6539999999999999</c:v>
                </c:pt>
                <c:pt idx="77">
                  <c:v>3.69</c:v>
                </c:pt>
                <c:pt idx="78">
                  <c:v>5.0010000000000003</c:v>
                </c:pt>
                <c:pt idx="79">
                  <c:v>6.0970000000000004</c:v>
                </c:pt>
                <c:pt idx="80">
                  <c:v>5.5410000000000004</c:v>
                </c:pt>
                <c:pt idx="81">
                  <c:v>4.95</c:v>
                </c:pt>
                <c:pt idx="82">
                  <c:v>3.645</c:v>
                </c:pt>
                <c:pt idx="83">
                  <c:v>4.4640000000000004</c:v>
                </c:pt>
                <c:pt idx="84">
                  <c:v>3.9729999999999999</c:v>
                </c:pt>
                <c:pt idx="85">
                  <c:v>4.4560000000000004</c:v>
                </c:pt>
                <c:pt idx="86">
                  <c:v>3.6539999999999999</c:v>
                </c:pt>
                <c:pt idx="87">
                  <c:v>3.0840000000000001</c:v>
                </c:pt>
                <c:pt idx="88">
                  <c:v>4.2969999999999997</c:v>
                </c:pt>
                <c:pt idx="89">
                  <c:v>3.734</c:v>
                </c:pt>
                <c:pt idx="90">
                  <c:v>2.0230000000000001</c:v>
                </c:pt>
                <c:pt idx="91">
                  <c:v>6.15</c:v>
                </c:pt>
                <c:pt idx="92">
                  <c:v>3.8879999999999999</c:v>
                </c:pt>
                <c:pt idx="93">
                  <c:v>3.3610000000000002</c:v>
                </c:pt>
                <c:pt idx="94">
                  <c:v>2.7639999999999998</c:v>
                </c:pt>
                <c:pt idx="95">
                  <c:v>4.0780000000000003</c:v>
                </c:pt>
                <c:pt idx="96">
                  <c:v>3.8140000000000001</c:v>
                </c:pt>
                <c:pt idx="97">
                  <c:v>2.694</c:v>
                </c:pt>
                <c:pt idx="98">
                  <c:v>1.1919999999999999</c:v>
                </c:pt>
                <c:pt idx="99">
                  <c:v>2.1640000000000001</c:v>
                </c:pt>
                <c:pt idx="100">
                  <c:v>2.391</c:v>
                </c:pt>
                <c:pt idx="101">
                  <c:v>3.1259999999999999</c:v>
                </c:pt>
                <c:pt idx="102">
                  <c:v>3.6509999999999998</c:v>
                </c:pt>
                <c:pt idx="103">
                  <c:v>3.0449999999999999</c:v>
                </c:pt>
                <c:pt idx="104">
                  <c:v>3.379</c:v>
                </c:pt>
                <c:pt idx="105">
                  <c:v>2.7170000000000001</c:v>
                </c:pt>
                <c:pt idx="106">
                  <c:v>2.5630000000000002</c:v>
                </c:pt>
                <c:pt idx="107">
                  <c:v>3.923</c:v>
                </c:pt>
                <c:pt idx="108">
                  <c:v>4.04</c:v>
                </c:pt>
                <c:pt idx="109">
                  <c:v>3.2629999999999999</c:v>
                </c:pt>
                <c:pt idx="110">
                  <c:v>2.2850000000000001</c:v>
                </c:pt>
                <c:pt idx="111">
                  <c:v>1.7030000000000001</c:v>
                </c:pt>
                <c:pt idx="112">
                  <c:v>3.3519999999999999</c:v>
                </c:pt>
                <c:pt idx="113">
                  <c:v>4.1379999999999999</c:v>
                </c:pt>
                <c:pt idx="114">
                  <c:v>3.5379999999999998</c:v>
                </c:pt>
                <c:pt idx="115">
                  <c:v>3.18</c:v>
                </c:pt>
                <c:pt idx="116">
                  <c:v>3.52</c:v>
                </c:pt>
                <c:pt idx="117">
                  <c:v>3.9220000000000002</c:v>
                </c:pt>
                <c:pt idx="118">
                  <c:v>2.9580000000000002</c:v>
                </c:pt>
                <c:pt idx="119">
                  <c:v>3.0609999999999999</c:v>
                </c:pt>
                <c:pt idx="120">
                  <c:v>4.0510000000000002</c:v>
                </c:pt>
                <c:pt idx="121">
                  <c:v>3.7559999999999998</c:v>
                </c:pt>
                <c:pt idx="122">
                  <c:v>3.2629999999999999</c:v>
                </c:pt>
                <c:pt idx="123">
                  <c:v>3.03</c:v>
                </c:pt>
                <c:pt idx="124">
                  <c:v>3.01</c:v>
                </c:pt>
                <c:pt idx="125">
                  <c:v>3.8879999999999999</c:v>
                </c:pt>
                <c:pt idx="126">
                  <c:v>3.0760000000000001</c:v>
                </c:pt>
                <c:pt idx="127">
                  <c:v>2.9009999999999998</c:v>
                </c:pt>
                <c:pt idx="128">
                  <c:v>4.0830000000000002</c:v>
                </c:pt>
                <c:pt idx="129">
                  <c:v>4.2190000000000003</c:v>
                </c:pt>
                <c:pt idx="130">
                  <c:v>2.3650000000000002</c:v>
                </c:pt>
                <c:pt idx="131">
                  <c:v>1.6950000000000001</c:v>
                </c:pt>
                <c:pt idx="132">
                  <c:v>3.6760000000000002</c:v>
                </c:pt>
                <c:pt idx="133">
                  <c:v>3.9980000000000002</c:v>
                </c:pt>
                <c:pt idx="134">
                  <c:v>3.7360000000000002</c:v>
                </c:pt>
                <c:pt idx="135">
                  <c:v>2.4529999999999998</c:v>
                </c:pt>
                <c:pt idx="136">
                  <c:v>1.9279999999999999</c:v>
                </c:pt>
                <c:pt idx="137">
                  <c:v>2.6480000000000001</c:v>
                </c:pt>
                <c:pt idx="138">
                  <c:v>4.0220000000000002</c:v>
                </c:pt>
                <c:pt idx="139">
                  <c:v>3.375</c:v>
                </c:pt>
                <c:pt idx="140">
                  <c:v>3.121</c:v>
                </c:pt>
                <c:pt idx="141">
                  <c:v>2.5990000000000002</c:v>
                </c:pt>
                <c:pt idx="142">
                  <c:v>3.073</c:v>
                </c:pt>
                <c:pt idx="143">
                  <c:v>3.524</c:v>
                </c:pt>
                <c:pt idx="144">
                  <c:v>3.1869999999999998</c:v>
                </c:pt>
                <c:pt idx="145">
                  <c:v>3.3980000000000001</c:v>
                </c:pt>
                <c:pt idx="146">
                  <c:v>3.6190000000000002</c:v>
                </c:pt>
                <c:pt idx="147">
                  <c:v>4.0449999999999999</c:v>
                </c:pt>
                <c:pt idx="148">
                  <c:v>1.875</c:v>
                </c:pt>
                <c:pt idx="149">
                  <c:v>3.234</c:v>
                </c:pt>
                <c:pt idx="150">
                  <c:v>2.0710000000000002</c:v>
                </c:pt>
                <c:pt idx="151">
                  <c:v>2.5110000000000001</c:v>
                </c:pt>
                <c:pt idx="152">
                  <c:v>2.4279999999999999</c:v>
                </c:pt>
                <c:pt idx="153">
                  <c:v>2.7069999999999999</c:v>
                </c:pt>
                <c:pt idx="154">
                  <c:v>3.2280000000000002</c:v>
                </c:pt>
                <c:pt idx="155">
                  <c:v>2.766</c:v>
                </c:pt>
                <c:pt idx="156">
                  <c:v>2.3180000000000001</c:v>
                </c:pt>
                <c:pt idx="157">
                  <c:v>2.8460000000000001</c:v>
                </c:pt>
                <c:pt idx="158">
                  <c:v>2.9889999999999999</c:v>
                </c:pt>
                <c:pt idx="159">
                  <c:v>2.6280000000000001</c:v>
                </c:pt>
                <c:pt idx="160">
                  <c:v>1.6879999999999999</c:v>
                </c:pt>
                <c:pt idx="161">
                  <c:v>2.819</c:v>
                </c:pt>
                <c:pt idx="162">
                  <c:v>3.0230000000000001</c:v>
                </c:pt>
                <c:pt idx="163">
                  <c:v>3.5310000000000001</c:v>
                </c:pt>
                <c:pt idx="164">
                  <c:v>3.262</c:v>
                </c:pt>
                <c:pt idx="165">
                  <c:v>2.7589999999999999</c:v>
                </c:pt>
                <c:pt idx="166">
                  <c:v>2.9649999999999999</c:v>
                </c:pt>
                <c:pt idx="167">
                  <c:v>2.3889999999999998</c:v>
                </c:pt>
                <c:pt idx="168">
                  <c:v>1.7889999999999999</c:v>
                </c:pt>
                <c:pt idx="169">
                  <c:v>2.4369999999999998</c:v>
                </c:pt>
                <c:pt idx="170">
                  <c:v>3.1440000000000001</c:v>
                </c:pt>
                <c:pt idx="171">
                  <c:v>3.0259999999999998</c:v>
                </c:pt>
                <c:pt idx="172">
                  <c:v>3.0459999999999998</c:v>
                </c:pt>
                <c:pt idx="173">
                  <c:v>2.6389999999999998</c:v>
                </c:pt>
                <c:pt idx="174">
                  <c:v>2.0299999999999998</c:v>
                </c:pt>
                <c:pt idx="175">
                  <c:v>1.161</c:v>
                </c:pt>
                <c:pt idx="176">
                  <c:v>1.653</c:v>
                </c:pt>
                <c:pt idx="177">
                  <c:v>1.9670000000000001</c:v>
                </c:pt>
                <c:pt idx="178">
                  <c:v>1.85</c:v>
                </c:pt>
                <c:pt idx="179">
                  <c:v>1.093</c:v>
                </c:pt>
                <c:pt idx="180">
                  <c:v>1.9059999999999999</c:v>
                </c:pt>
                <c:pt idx="181">
                  <c:v>1.246</c:v>
                </c:pt>
                <c:pt idx="182">
                  <c:v>1.798</c:v>
                </c:pt>
                <c:pt idx="183">
                  <c:v>1.9730000000000001</c:v>
                </c:pt>
                <c:pt idx="184">
                  <c:v>1.44</c:v>
                </c:pt>
                <c:pt idx="185">
                  <c:v>1.62</c:v>
                </c:pt>
                <c:pt idx="186">
                  <c:v>2.024</c:v>
                </c:pt>
                <c:pt idx="187">
                  <c:v>0.82399999999999995</c:v>
                </c:pt>
                <c:pt idx="188">
                  <c:v>0.82799999999999996</c:v>
                </c:pt>
                <c:pt idx="189">
                  <c:v>2.5619999999999998</c:v>
                </c:pt>
                <c:pt idx="190">
                  <c:v>3.0510000000000002</c:v>
                </c:pt>
                <c:pt idx="191">
                  <c:v>3.0840000000000001</c:v>
                </c:pt>
                <c:pt idx="192">
                  <c:v>3.4580000000000002</c:v>
                </c:pt>
                <c:pt idx="193">
                  <c:v>3.4020000000000001</c:v>
                </c:pt>
                <c:pt idx="194">
                  <c:v>3.28</c:v>
                </c:pt>
                <c:pt idx="195">
                  <c:v>1.272</c:v>
                </c:pt>
                <c:pt idx="196">
                  <c:v>1.911</c:v>
                </c:pt>
                <c:pt idx="197">
                  <c:v>2.927</c:v>
                </c:pt>
                <c:pt idx="198">
                  <c:v>3.1309999999999998</c:v>
                </c:pt>
                <c:pt idx="199">
                  <c:v>3.5880000000000001</c:v>
                </c:pt>
                <c:pt idx="200">
                  <c:v>3.5609999999999999</c:v>
                </c:pt>
                <c:pt idx="201">
                  <c:v>2.8090000000000002</c:v>
                </c:pt>
                <c:pt idx="202">
                  <c:v>1.996</c:v>
                </c:pt>
                <c:pt idx="203">
                  <c:v>2.4350000000000001</c:v>
                </c:pt>
                <c:pt idx="204">
                  <c:v>3.0459999999999998</c:v>
                </c:pt>
                <c:pt idx="205">
                  <c:v>3.6419999999999999</c:v>
                </c:pt>
                <c:pt idx="206">
                  <c:v>3.6890000000000001</c:v>
                </c:pt>
                <c:pt idx="207">
                  <c:v>3.4249999999999998</c:v>
                </c:pt>
                <c:pt idx="208">
                  <c:v>2.363</c:v>
                </c:pt>
                <c:pt idx="209">
                  <c:v>1.0860000000000001</c:v>
                </c:pt>
                <c:pt idx="210">
                  <c:v>1.698</c:v>
                </c:pt>
                <c:pt idx="211">
                  <c:v>3.2549999999999999</c:v>
                </c:pt>
                <c:pt idx="212">
                  <c:v>2.8820000000000001</c:v>
                </c:pt>
                <c:pt idx="213">
                  <c:v>2.9630000000000001</c:v>
                </c:pt>
                <c:pt idx="214">
                  <c:v>2.677</c:v>
                </c:pt>
                <c:pt idx="215">
                  <c:v>2.0579999999999998</c:v>
                </c:pt>
                <c:pt idx="216">
                  <c:v>1.8120000000000001</c:v>
                </c:pt>
                <c:pt idx="217">
                  <c:v>2.714</c:v>
                </c:pt>
                <c:pt idx="218">
                  <c:v>3.4119999999999999</c:v>
                </c:pt>
                <c:pt idx="219">
                  <c:v>4.274</c:v>
                </c:pt>
                <c:pt idx="220">
                  <c:v>3.4990000000000001</c:v>
                </c:pt>
                <c:pt idx="221">
                  <c:v>1.726</c:v>
                </c:pt>
                <c:pt idx="222">
                  <c:v>1.0920000000000001</c:v>
                </c:pt>
                <c:pt idx="223">
                  <c:v>1.6479999999999999</c:v>
                </c:pt>
                <c:pt idx="224">
                  <c:v>2.927</c:v>
                </c:pt>
                <c:pt idx="225">
                  <c:v>3.4489999999999998</c:v>
                </c:pt>
                <c:pt idx="226">
                  <c:v>3.64</c:v>
                </c:pt>
                <c:pt idx="227">
                  <c:v>3.3519999999999999</c:v>
                </c:pt>
                <c:pt idx="228">
                  <c:v>3.2749999999999999</c:v>
                </c:pt>
                <c:pt idx="229">
                  <c:v>1.694</c:v>
                </c:pt>
                <c:pt idx="230">
                  <c:v>1.552</c:v>
                </c:pt>
                <c:pt idx="231">
                  <c:v>3.3149999999999999</c:v>
                </c:pt>
                <c:pt idx="232">
                  <c:v>3.907</c:v>
                </c:pt>
                <c:pt idx="233">
                  <c:v>3.3889999999999998</c:v>
                </c:pt>
                <c:pt idx="234">
                  <c:v>3.306</c:v>
                </c:pt>
                <c:pt idx="235">
                  <c:v>3.5779999999999998</c:v>
                </c:pt>
                <c:pt idx="236">
                  <c:v>2.456</c:v>
                </c:pt>
                <c:pt idx="237">
                  <c:v>1.6220000000000001</c:v>
                </c:pt>
                <c:pt idx="238">
                  <c:v>2.5920000000000001</c:v>
                </c:pt>
                <c:pt idx="239">
                  <c:v>2.89</c:v>
                </c:pt>
                <c:pt idx="240">
                  <c:v>3.6970000000000001</c:v>
                </c:pt>
                <c:pt idx="241">
                  <c:v>2.5390000000000001</c:v>
                </c:pt>
                <c:pt idx="242">
                  <c:v>2.9529999999999998</c:v>
                </c:pt>
                <c:pt idx="243">
                  <c:v>2.4580000000000002</c:v>
                </c:pt>
                <c:pt idx="244">
                  <c:v>1.708</c:v>
                </c:pt>
                <c:pt idx="245">
                  <c:v>3.0590000000000002</c:v>
                </c:pt>
                <c:pt idx="246">
                  <c:v>4.2130000000000001</c:v>
                </c:pt>
                <c:pt idx="247">
                  <c:v>3.89</c:v>
                </c:pt>
                <c:pt idx="248">
                  <c:v>3.484</c:v>
                </c:pt>
                <c:pt idx="249">
                  <c:v>2.4089999999999998</c:v>
                </c:pt>
                <c:pt idx="250">
                  <c:v>1.827</c:v>
                </c:pt>
                <c:pt idx="251">
                  <c:v>2.387</c:v>
                </c:pt>
                <c:pt idx="252">
                  <c:v>2.4689999999999999</c:v>
                </c:pt>
                <c:pt idx="253">
                  <c:v>2.4119999999999999</c:v>
                </c:pt>
                <c:pt idx="254">
                  <c:v>2.964</c:v>
                </c:pt>
                <c:pt idx="255">
                  <c:v>3.794</c:v>
                </c:pt>
                <c:pt idx="256">
                  <c:v>3.637</c:v>
                </c:pt>
                <c:pt idx="257">
                  <c:v>3.7170000000000001</c:v>
                </c:pt>
                <c:pt idx="258">
                  <c:v>1.768</c:v>
                </c:pt>
                <c:pt idx="259">
                  <c:v>1.6559999999999999</c:v>
                </c:pt>
                <c:pt idx="260">
                  <c:v>2.7010000000000001</c:v>
                </c:pt>
                <c:pt idx="261">
                  <c:v>4.2759999999999998</c:v>
                </c:pt>
                <c:pt idx="262">
                  <c:v>3.8130000000000002</c:v>
                </c:pt>
                <c:pt idx="263">
                  <c:v>2.778</c:v>
                </c:pt>
                <c:pt idx="264">
                  <c:v>3.2810000000000001</c:v>
                </c:pt>
                <c:pt idx="265">
                  <c:v>2.6640000000000001</c:v>
                </c:pt>
                <c:pt idx="266">
                  <c:v>3.1160000000000001</c:v>
                </c:pt>
                <c:pt idx="267">
                  <c:v>3.0739999999999998</c:v>
                </c:pt>
                <c:pt idx="268">
                  <c:v>2.8839999999999999</c:v>
                </c:pt>
                <c:pt idx="269">
                  <c:v>2.5499999999999998</c:v>
                </c:pt>
                <c:pt idx="270">
                  <c:v>3</c:v>
                </c:pt>
                <c:pt idx="271">
                  <c:v>2.9590000000000001</c:v>
                </c:pt>
                <c:pt idx="272">
                  <c:v>2.8969999999999998</c:v>
                </c:pt>
                <c:pt idx="273">
                  <c:v>2.2389999999999999</c:v>
                </c:pt>
                <c:pt idx="274">
                  <c:v>2.9580000000000002</c:v>
                </c:pt>
                <c:pt idx="275">
                  <c:v>3.6230000000000002</c:v>
                </c:pt>
                <c:pt idx="276">
                  <c:v>3.8650000000000002</c:v>
                </c:pt>
                <c:pt idx="277">
                  <c:v>4.431</c:v>
                </c:pt>
                <c:pt idx="278">
                  <c:v>3.9209999999999998</c:v>
                </c:pt>
                <c:pt idx="279">
                  <c:v>2.1720000000000002</c:v>
                </c:pt>
                <c:pt idx="280">
                  <c:v>2.6349999999999998</c:v>
                </c:pt>
                <c:pt idx="281">
                  <c:v>4.1760000000000002</c:v>
                </c:pt>
                <c:pt idx="282">
                  <c:v>3.5470000000000002</c:v>
                </c:pt>
                <c:pt idx="283">
                  <c:v>3.867</c:v>
                </c:pt>
                <c:pt idx="284">
                  <c:v>3.4049999999999998</c:v>
                </c:pt>
                <c:pt idx="285">
                  <c:v>2.9950000000000001</c:v>
                </c:pt>
                <c:pt idx="286">
                  <c:v>3.3820000000000001</c:v>
                </c:pt>
                <c:pt idx="287">
                  <c:v>3.0270000000000001</c:v>
                </c:pt>
                <c:pt idx="288">
                  <c:v>4.1539999999999999</c:v>
                </c:pt>
                <c:pt idx="289">
                  <c:v>4.383</c:v>
                </c:pt>
                <c:pt idx="290">
                  <c:v>4.0039999999999996</c:v>
                </c:pt>
                <c:pt idx="291">
                  <c:v>3.444</c:v>
                </c:pt>
                <c:pt idx="292">
                  <c:v>1.589</c:v>
                </c:pt>
                <c:pt idx="293">
                  <c:v>1.0289999999999999</c:v>
                </c:pt>
                <c:pt idx="294">
                  <c:v>1.649</c:v>
                </c:pt>
                <c:pt idx="295">
                  <c:v>3.2130000000000001</c:v>
                </c:pt>
                <c:pt idx="296">
                  <c:v>3.9870000000000001</c:v>
                </c:pt>
                <c:pt idx="297">
                  <c:v>3.8119999999999998</c:v>
                </c:pt>
                <c:pt idx="298">
                  <c:v>1.909</c:v>
                </c:pt>
                <c:pt idx="299">
                  <c:v>0.89600000000000002</c:v>
                </c:pt>
                <c:pt idx="300">
                  <c:v>1.4890000000000001</c:v>
                </c:pt>
                <c:pt idx="301">
                  <c:v>3.375</c:v>
                </c:pt>
                <c:pt idx="302">
                  <c:v>3.7519999999999998</c:v>
                </c:pt>
                <c:pt idx="303">
                  <c:v>3.6520000000000001</c:v>
                </c:pt>
                <c:pt idx="304">
                  <c:v>4.2069999999999999</c:v>
                </c:pt>
                <c:pt idx="305">
                  <c:v>4.726</c:v>
                </c:pt>
                <c:pt idx="306">
                  <c:v>4.0650000000000004</c:v>
                </c:pt>
                <c:pt idx="307">
                  <c:v>3.9140000000000001</c:v>
                </c:pt>
                <c:pt idx="308">
                  <c:v>3.8380000000000001</c:v>
                </c:pt>
                <c:pt idx="309">
                  <c:v>4.024</c:v>
                </c:pt>
                <c:pt idx="310">
                  <c:v>4.702</c:v>
                </c:pt>
                <c:pt idx="311">
                  <c:v>3.8380000000000001</c:v>
                </c:pt>
                <c:pt idx="312">
                  <c:v>4.2380000000000004</c:v>
                </c:pt>
                <c:pt idx="313">
                  <c:v>4.3730000000000002</c:v>
                </c:pt>
                <c:pt idx="314">
                  <c:v>3.637</c:v>
                </c:pt>
                <c:pt idx="315">
                  <c:v>2.1680000000000001</c:v>
                </c:pt>
                <c:pt idx="316">
                  <c:v>2.2599999999999998</c:v>
                </c:pt>
                <c:pt idx="317">
                  <c:v>4.7510000000000003</c:v>
                </c:pt>
                <c:pt idx="318">
                  <c:v>3.7440000000000002</c:v>
                </c:pt>
                <c:pt idx="319">
                  <c:v>4.1210000000000004</c:v>
                </c:pt>
                <c:pt idx="320">
                  <c:v>3.335</c:v>
                </c:pt>
                <c:pt idx="321">
                  <c:v>5.343</c:v>
                </c:pt>
                <c:pt idx="322">
                  <c:v>6.0010000000000003</c:v>
                </c:pt>
                <c:pt idx="323">
                  <c:v>5.5069999999999997</c:v>
                </c:pt>
                <c:pt idx="324">
                  <c:v>5.327</c:v>
                </c:pt>
                <c:pt idx="325">
                  <c:v>4.7549999999999999</c:v>
                </c:pt>
                <c:pt idx="326">
                  <c:v>4.5670000000000002</c:v>
                </c:pt>
                <c:pt idx="327">
                  <c:v>3.4710000000000001</c:v>
                </c:pt>
                <c:pt idx="328">
                  <c:v>2.8119999999999998</c:v>
                </c:pt>
                <c:pt idx="329">
                  <c:v>4.266</c:v>
                </c:pt>
                <c:pt idx="330">
                  <c:v>5.0620000000000003</c:v>
                </c:pt>
                <c:pt idx="331">
                  <c:v>5.0650000000000004</c:v>
                </c:pt>
                <c:pt idx="332">
                  <c:v>4.6180000000000003</c:v>
                </c:pt>
                <c:pt idx="333">
                  <c:v>3.5419999999999998</c:v>
                </c:pt>
                <c:pt idx="334">
                  <c:v>3.681</c:v>
                </c:pt>
                <c:pt idx="335">
                  <c:v>5.1909999999999998</c:v>
                </c:pt>
                <c:pt idx="336">
                  <c:v>4.9359999999999999</c:v>
                </c:pt>
                <c:pt idx="337">
                  <c:v>5.2240000000000002</c:v>
                </c:pt>
                <c:pt idx="338">
                  <c:v>4.8840000000000003</c:v>
                </c:pt>
                <c:pt idx="339">
                  <c:v>5.585</c:v>
                </c:pt>
                <c:pt idx="340">
                  <c:v>4.7560000000000002</c:v>
                </c:pt>
                <c:pt idx="341">
                  <c:v>3.8279999999999998</c:v>
                </c:pt>
                <c:pt idx="342">
                  <c:v>3.407</c:v>
                </c:pt>
                <c:pt idx="343">
                  <c:v>4.9939999999999998</c:v>
                </c:pt>
                <c:pt idx="344">
                  <c:v>6.8070000000000004</c:v>
                </c:pt>
                <c:pt idx="345">
                  <c:v>6.7960000000000003</c:v>
                </c:pt>
                <c:pt idx="346">
                  <c:v>5.5060000000000002</c:v>
                </c:pt>
                <c:pt idx="347">
                  <c:v>4.8739999999999997</c:v>
                </c:pt>
                <c:pt idx="348">
                  <c:v>4.258</c:v>
                </c:pt>
                <c:pt idx="349">
                  <c:v>4.4960000000000004</c:v>
                </c:pt>
                <c:pt idx="350">
                  <c:v>5.42</c:v>
                </c:pt>
                <c:pt idx="351">
                  <c:v>5.6390000000000002</c:v>
                </c:pt>
                <c:pt idx="352">
                  <c:v>4.7729999999999997</c:v>
                </c:pt>
                <c:pt idx="353">
                  <c:v>6.367</c:v>
                </c:pt>
                <c:pt idx="354">
                  <c:v>5.9119999999999999</c:v>
                </c:pt>
                <c:pt idx="355">
                  <c:v>4.8029999999999999</c:v>
                </c:pt>
                <c:pt idx="356">
                  <c:v>4.6500000000000004</c:v>
                </c:pt>
                <c:pt idx="357">
                  <c:v>5.7759999999999998</c:v>
                </c:pt>
                <c:pt idx="358">
                  <c:v>5.31</c:v>
                </c:pt>
                <c:pt idx="359">
                  <c:v>4.9690000000000003</c:v>
                </c:pt>
                <c:pt idx="360">
                  <c:v>6.0369999999999999</c:v>
                </c:pt>
                <c:pt idx="361">
                  <c:v>5.97</c:v>
                </c:pt>
                <c:pt idx="362">
                  <c:v>3.02</c:v>
                </c:pt>
                <c:pt idx="363">
                  <c:v>4.4329999999999998</c:v>
                </c:pt>
                <c:pt idx="364">
                  <c:v>4.5730000000000004</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13</c:v>
                </c:pt>
                <c:pt idx="1">
                  <c:v>13</c:v>
                </c:pt>
                <c:pt idx="2">
                  <c:v>13</c:v>
                </c:pt>
                <c:pt idx="3">
                  <c:v>13</c:v>
                </c:pt>
                <c:pt idx="4">
                  <c:v>13</c:v>
                </c:pt>
                <c:pt idx="5">
                  <c:v>13</c:v>
                </c:pt>
                <c:pt idx="6">
                  <c:v>13</c:v>
                </c:pt>
                <c:pt idx="7">
                  <c:v>13</c:v>
                </c:pt>
                <c:pt idx="8">
                  <c:v>13</c:v>
                </c:pt>
                <c:pt idx="9">
                  <c:v>13</c:v>
                </c:pt>
                <c:pt idx="10">
                  <c:v>13</c:v>
                </c:pt>
                <c:pt idx="11">
                  <c:v>13</c:v>
                </c:pt>
                <c:pt idx="12">
                  <c:v>13</c:v>
                </c:pt>
                <c:pt idx="13">
                  <c:v>13</c:v>
                </c:pt>
                <c:pt idx="14">
                  <c:v>13</c:v>
                </c:pt>
                <c:pt idx="15">
                  <c:v>13</c:v>
                </c:pt>
                <c:pt idx="16">
                  <c:v>13</c:v>
                </c:pt>
                <c:pt idx="17">
                  <c:v>13</c:v>
                </c:pt>
                <c:pt idx="18">
                  <c:v>13</c:v>
                </c:pt>
                <c:pt idx="19">
                  <c:v>13</c:v>
                </c:pt>
                <c:pt idx="20">
                  <c:v>13</c:v>
                </c:pt>
                <c:pt idx="21">
                  <c:v>13</c:v>
                </c:pt>
                <c:pt idx="22">
                  <c:v>13</c:v>
                </c:pt>
                <c:pt idx="23">
                  <c:v>13</c:v>
                </c:pt>
                <c:pt idx="24">
                  <c:v>13</c:v>
                </c:pt>
                <c:pt idx="25">
                  <c:v>13</c:v>
                </c:pt>
                <c:pt idx="26">
                  <c:v>13</c:v>
                </c:pt>
                <c:pt idx="27">
                  <c:v>13</c:v>
                </c:pt>
                <c:pt idx="28">
                  <c:v>13</c:v>
                </c:pt>
                <c:pt idx="29">
                  <c:v>13</c:v>
                </c:pt>
                <c:pt idx="30">
                  <c:v>13</c:v>
                </c:pt>
                <c:pt idx="31">
                  <c:v>13</c:v>
                </c:pt>
                <c:pt idx="32">
                  <c:v>13</c:v>
                </c:pt>
                <c:pt idx="33">
                  <c:v>13</c:v>
                </c:pt>
                <c:pt idx="34">
                  <c:v>13</c:v>
                </c:pt>
                <c:pt idx="35">
                  <c:v>13</c:v>
                </c:pt>
                <c:pt idx="36">
                  <c:v>13</c:v>
                </c:pt>
                <c:pt idx="37">
                  <c:v>13</c:v>
                </c:pt>
                <c:pt idx="38">
                  <c:v>13</c:v>
                </c:pt>
                <c:pt idx="39">
                  <c:v>13</c:v>
                </c:pt>
                <c:pt idx="40">
                  <c:v>13</c:v>
                </c:pt>
                <c:pt idx="41">
                  <c:v>13</c:v>
                </c:pt>
                <c:pt idx="42">
                  <c:v>13</c:v>
                </c:pt>
                <c:pt idx="43">
                  <c:v>13</c:v>
                </c:pt>
                <c:pt idx="44">
                  <c:v>13</c:v>
                </c:pt>
                <c:pt idx="45">
                  <c:v>13</c:v>
                </c:pt>
                <c:pt idx="46">
                  <c:v>13</c:v>
                </c:pt>
                <c:pt idx="47">
                  <c:v>13</c:v>
                </c:pt>
                <c:pt idx="48">
                  <c:v>13</c:v>
                </c:pt>
                <c:pt idx="49">
                  <c:v>13</c:v>
                </c:pt>
                <c:pt idx="50">
                  <c:v>13</c:v>
                </c:pt>
                <c:pt idx="51">
                  <c:v>13</c:v>
                </c:pt>
                <c:pt idx="52">
                  <c:v>13</c:v>
                </c:pt>
                <c:pt idx="53">
                  <c:v>13</c:v>
                </c:pt>
                <c:pt idx="54">
                  <c:v>13</c:v>
                </c:pt>
                <c:pt idx="55">
                  <c:v>13</c:v>
                </c:pt>
                <c:pt idx="56">
                  <c:v>13</c:v>
                </c:pt>
                <c:pt idx="57">
                  <c:v>13</c:v>
                </c:pt>
                <c:pt idx="58">
                  <c:v>13</c:v>
                </c:pt>
                <c:pt idx="59">
                  <c:v>13</c:v>
                </c:pt>
                <c:pt idx="60">
                  <c:v>13</c:v>
                </c:pt>
                <c:pt idx="61">
                  <c:v>13</c:v>
                </c:pt>
                <c:pt idx="62">
                  <c:v>13</c:v>
                </c:pt>
                <c:pt idx="63">
                  <c:v>13</c:v>
                </c:pt>
                <c:pt idx="64">
                  <c:v>13</c:v>
                </c:pt>
                <c:pt idx="65">
                  <c:v>13</c:v>
                </c:pt>
                <c:pt idx="66">
                  <c:v>13</c:v>
                </c:pt>
                <c:pt idx="67">
                  <c:v>13</c:v>
                </c:pt>
                <c:pt idx="68">
                  <c:v>13</c:v>
                </c:pt>
                <c:pt idx="69">
                  <c:v>13</c:v>
                </c:pt>
                <c:pt idx="70">
                  <c:v>13</c:v>
                </c:pt>
                <c:pt idx="71">
                  <c:v>13</c:v>
                </c:pt>
                <c:pt idx="72">
                  <c:v>13</c:v>
                </c:pt>
                <c:pt idx="73">
                  <c:v>13</c:v>
                </c:pt>
                <c:pt idx="74">
                  <c:v>13</c:v>
                </c:pt>
                <c:pt idx="75">
                  <c:v>13</c:v>
                </c:pt>
                <c:pt idx="76">
                  <c:v>13</c:v>
                </c:pt>
                <c:pt idx="77">
                  <c:v>13</c:v>
                </c:pt>
                <c:pt idx="78">
                  <c:v>13</c:v>
                </c:pt>
                <c:pt idx="79">
                  <c:v>13</c:v>
                </c:pt>
                <c:pt idx="80">
                  <c:v>13</c:v>
                </c:pt>
                <c:pt idx="81">
                  <c:v>13</c:v>
                </c:pt>
                <c:pt idx="82">
                  <c:v>13</c:v>
                </c:pt>
                <c:pt idx="83">
                  <c:v>13</c:v>
                </c:pt>
                <c:pt idx="84">
                  <c:v>13</c:v>
                </c:pt>
                <c:pt idx="85">
                  <c:v>13</c:v>
                </c:pt>
                <c:pt idx="86">
                  <c:v>13</c:v>
                </c:pt>
                <c:pt idx="87">
                  <c:v>13</c:v>
                </c:pt>
                <c:pt idx="88">
                  <c:v>13</c:v>
                </c:pt>
                <c:pt idx="89">
                  <c:v>13</c:v>
                </c:pt>
                <c:pt idx="90">
                  <c:v>13</c:v>
                </c:pt>
                <c:pt idx="91">
                  <c:v>13</c:v>
                </c:pt>
                <c:pt idx="92">
                  <c:v>13</c:v>
                </c:pt>
                <c:pt idx="93">
                  <c:v>13</c:v>
                </c:pt>
                <c:pt idx="94">
                  <c:v>13</c:v>
                </c:pt>
                <c:pt idx="95">
                  <c:v>13</c:v>
                </c:pt>
                <c:pt idx="96">
                  <c:v>13</c:v>
                </c:pt>
                <c:pt idx="97">
                  <c:v>13</c:v>
                </c:pt>
                <c:pt idx="98">
                  <c:v>13</c:v>
                </c:pt>
                <c:pt idx="99">
                  <c:v>13</c:v>
                </c:pt>
                <c:pt idx="100">
                  <c:v>13</c:v>
                </c:pt>
                <c:pt idx="101">
                  <c:v>13</c:v>
                </c:pt>
                <c:pt idx="102">
                  <c:v>13</c:v>
                </c:pt>
                <c:pt idx="103">
                  <c:v>13</c:v>
                </c:pt>
                <c:pt idx="104">
                  <c:v>13</c:v>
                </c:pt>
                <c:pt idx="105">
                  <c:v>13</c:v>
                </c:pt>
                <c:pt idx="106">
                  <c:v>13</c:v>
                </c:pt>
                <c:pt idx="107">
                  <c:v>13</c:v>
                </c:pt>
                <c:pt idx="108">
                  <c:v>13</c:v>
                </c:pt>
                <c:pt idx="109">
                  <c:v>13</c:v>
                </c:pt>
                <c:pt idx="110">
                  <c:v>13</c:v>
                </c:pt>
                <c:pt idx="111">
                  <c:v>13</c:v>
                </c:pt>
                <c:pt idx="112">
                  <c:v>13</c:v>
                </c:pt>
                <c:pt idx="113">
                  <c:v>13</c:v>
                </c:pt>
                <c:pt idx="114">
                  <c:v>13</c:v>
                </c:pt>
                <c:pt idx="115">
                  <c:v>13</c:v>
                </c:pt>
                <c:pt idx="116">
                  <c:v>13</c:v>
                </c:pt>
                <c:pt idx="117">
                  <c:v>13</c:v>
                </c:pt>
                <c:pt idx="118">
                  <c:v>13</c:v>
                </c:pt>
                <c:pt idx="119">
                  <c:v>13</c:v>
                </c:pt>
                <c:pt idx="120">
                  <c:v>13</c:v>
                </c:pt>
                <c:pt idx="121">
                  <c:v>13</c:v>
                </c:pt>
                <c:pt idx="122">
                  <c:v>13</c:v>
                </c:pt>
                <c:pt idx="123">
                  <c:v>13</c:v>
                </c:pt>
                <c:pt idx="124">
                  <c:v>13</c:v>
                </c:pt>
                <c:pt idx="125">
                  <c:v>13</c:v>
                </c:pt>
                <c:pt idx="126">
                  <c:v>13</c:v>
                </c:pt>
                <c:pt idx="127">
                  <c:v>13</c:v>
                </c:pt>
                <c:pt idx="128">
                  <c:v>13</c:v>
                </c:pt>
                <c:pt idx="129">
                  <c:v>13</c:v>
                </c:pt>
                <c:pt idx="130">
                  <c:v>13</c:v>
                </c:pt>
                <c:pt idx="131">
                  <c:v>13</c:v>
                </c:pt>
                <c:pt idx="132">
                  <c:v>13</c:v>
                </c:pt>
                <c:pt idx="133">
                  <c:v>13</c:v>
                </c:pt>
                <c:pt idx="134">
                  <c:v>13</c:v>
                </c:pt>
                <c:pt idx="135">
                  <c:v>13</c:v>
                </c:pt>
                <c:pt idx="136">
                  <c:v>13</c:v>
                </c:pt>
                <c:pt idx="137">
                  <c:v>13</c:v>
                </c:pt>
                <c:pt idx="138">
                  <c:v>13</c:v>
                </c:pt>
                <c:pt idx="139">
                  <c:v>13</c:v>
                </c:pt>
                <c:pt idx="140">
                  <c:v>13</c:v>
                </c:pt>
                <c:pt idx="141">
                  <c:v>13</c:v>
                </c:pt>
                <c:pt idx="142">
                  <c:v>13</c:v>
                </c:pt>
                <c:pt idx="143">
                  <c:v>13</c:v>
                </c:pt>
                <c:pt idx="144">
                  <c:v>13</c:v>
                </c:pt>
                <c:pt idx="145">
                  <c:v>13</c:v>
                </c:pt>
                <c:pt idx="146">
                  <c:v>13</c:v>
                </c:pt>
                <c:pt idx="147">
                  <c:v>13</c:v>
                </c:pt>
                <c:pt idx="148">
                  <c:v>13</c:v>
                </c:pt>
                <c:pt idx="149">
                  <c:v>13</c:v>
                </c:pt>
                <c:pt idx="150">
                  <c:v>13</c:v>
                </c:pt>
                <c:pt idx="151">
                  <c:v>13</c:v>
                </c:pt>
                <c:pt idx="152">
                  <c:v>13</c:v>
                </c:pt>
                <c:pt idx="153">
                  <c:v>13</c:v>
                </c:pt>
                <c:pt idx="154">
                  <c:v>13</c:v>
                </c:pt>
                <c:pt idx="155">
                  <c:v>13</c:v>
                </c:pt>
                <c:pt idx="156">
                  <c:v>13</c:v>
                </c:pt>
                <c:pt idx="157">
                  <c:v>13</c:v>
                </c:pt>
                <c:pt idx="158">
                  <c:v>13</c:v>
                </c:pt>
                <c:pt idx="159">
                  <c:v>13</c:v>
                </c:pt>
                <c:pt idx="160">
                  <c:v>13</c:v>
                </c:pt>
                <c:pt idx="161">
                  <c:v>13</c:v>
                </c:pt>
                <c:pt idx="162">
                  <c:v>13</c:v>
                </c:pt>
                <c:pt idx="163">
                  <c:v>13</c:v>
                </c:pt>
                <c:pt idx="164">
                  <c:v>13</c:v>
                </c:pt>
                <c:pt idx="165">
                  <c:v>13</c:v>
                </c:pt>
                <c:pt idx="166">
                  <c:v>13</c:v>
                </c:pt>
                <c:pt idx="167">
                  <c:v>13</c:v>
                </c:pt>
                <c:pt idx="168">
                  <c:v>13</c:v>
                </c:pt>
                <c:pt idx="169">
                  <c:v>13</c:v>
                </c:pt>
                <c:pt idx="170">
                  <c:v>13</c:v>
                </c:pt>
                <c:pt idx="171">
                  <c:v>13</c:v>
                </c:pt>
                <c:pt idx="172">
                  <c:v>13</c:v>
                </c:pt>
                <c:pt idx="173">
                  <c:v>13</c:v>
                </c:pt>
                <c:pt idx="174">
                  <c:v>13</c:v>
                </c:pt>
                <c:pt idx="175">
                  <c:v>13</c:v>
                </c:pt>
                <c:pt idx="176">
                  <c:v>13</c:v>
                </c:pt>
                <c:pt idx="177">
                  <c:v>13</c:v>
                </c:pt>
                <c:pt idx="178">
                  <c:v>13</c:v>
                </c:pt>
                <c:pt idx="179">
                  <c:v>13</c:v>
                </c:pt>
                <c:pt idx="180">
                  <c:v>13</c:v>
                </c:pt>
                <c:pt idx="181">
                  <c:v>13</c:v>
                </c:pt>
                <c:pt idx="182">
                  <c:v>13</c:v>
                </c:pt>
                <c:pt idx="183">
                  <c:v>13</c:v>
                </c:pt>
                <c:pt idx="184">
                  <c:v>13</c:v>
                </c:pt>
                <c:pt idx="185">
                  <c:v>13</c:v>
                </c:pt>
                <c:pt idx="186">
                  <c:v>13</c:v>
                </c:pt>
                <c:pt idx="187">
                  <c:v>13</c:v>
                </c:pt>
                <c:pt idx="188">
                  <c:v>13</c:v>
                </c:pt>
                <c:pt idx="189">
                  <c:v>13</c:v>
                </c:pt>
                <c:pt idx="190">
                  <c:v>13</c:v>
                </c:pt>
                <c:pt idx="191">
                  <c:v>13</c:v>
                </c:pt>
                <c:pt idx="192">
                  <c:v>13</c:v>
                </c:pt>
                <c:pt idx="193">
                  <c:v>13</c:v>
                </c:pt>
                <c:pt idx="194">
                  <c:v>13</c:v>
                </c:pt>
                <c:pt idx="195">
                  <c:v>13</c:v>
                </c:pt>
                <c:pt idx="196">
                  <c:v>13</c:v>
                </c:pt>
                <c:pt idx="197">
                  <c:v>13</c:v>
                </c:pt>
                <c:pt idx="198">
                  <c:v>13</c:v>
                </c:pt>
                <c:pt idx="199">
                  <c:v>13</c:v>
                </c:pt>
                <c:pt idx="200">
                  <c:v>13</c:v>
                </c:pt>
                <c:pt idx="201">
                  <c:v>13</c:v>
                </c:pt>
                <c:pt idx="202">
                  <c:v>13</c:v>
                </c:pt>
                <c:pt idx="203">
                  <c:v>13</c:v>
                </c:pt>
                <c:pt idx="204">
                  <c:v>13</c:v>
                </c:pt>
                <c:pt idx="205">
                  <c:v>13</c:v>
                </c:pt>
                <c:pt idx="206">
                  <c:v>13</c:v>
                </c:pt>
                <c:pt idx="207">
                  <c:v>13</c:v>
                </c:pt>
                <c:pt idx="208">
                  <c:v>13</c:v>
                </c:pt>
                <c:pt idx="209">
                  <c:v>13</c:v>
                </c:pt>
                <c:pt idx="210">
                  <c:v>13</c:v>
                </c:pt>
                <c:pt idx="211">
                  <c:v>13</c:v>
                </c:pt>
                <c:pt idx="212">
                  <c:v>13</c:v>
                </c:pt>
                <c:pt idx="213">
                  <c:v>13</c:v>
                </c:pt>
                <c:pt idx="214">
                  <c:v>13</c:v>
                </c:pt>
                <c:pt idx="215">
                  <c:v>13</c:v>
                </c:pt>
                <c:pt idx="216">
                  <c:v>13</c:v>
                </c:pt>
                <c:pt idx="217">
                  <c:v>13</c:v>
                </c:pt>
                <c:pt idx="218">
                  <c:v>13</c:v>
                </c:pt>
                <c:pt idx="219">
                  <c:v>13</c:v>
                </c:pt>
                <c:pt idx="220">
                  <c:v>13</c:v>
                </c:pt>
                <c:pt idx="221">
                  <c:v>13</c:v>
                </c:pt>
                <c:pt idx="222">
                  <c:v>13</c:v>
                </c:pt>
                <c:pt idx="223">
                  <c:v>13</c:v>
                </c:pt>
                <c:pt idx="224">
                  <c:v>13</c:v>
                </c:pt>
                <c:pt idx="225">
                  <c:v>13</c:v>
                </c:pt>
                <c:pt idx="226">
                  <c:v>13</c:v>
                </c:pt>
                <c:pt idx="227">
                  <c:v>13</c:v>
                </c:pt>
                <c:pt idx="228">
                  <c:v>13</c:v>
                </c:pt>
                <c:pt idx="229">
                  <c:v>13</c:v>
                </c:pt>
                <c:pt idx="230">
                  <c:v>13</c:v>
                </c:pt>
                <c:pt idx="231">
                  <c:v>13</c:v>
                </c:pt>
                <c:pt idx="232">
                  <c:v>13</c:v>
                </c:pt>
                <c:pt idx="233">
                  <c:v>13</c:v>
                </c:pt>
                <c:pt idx="234">
                  <c:v>13</c:v>
                </c:pt>
                <c:pt idx="235">
                  <c:v>13</c:v>
                </c:pt>
                <c:pt idx="236">
                  <c:v>13</c:v>
                </c:pt>
                <c:pt idx="237">
                  <c:v>13</c:v>
                </c:pt>
                <c:pt idx="238">
                  <c:v>13</c:v>
                </c:pt>
                <c:pt idx="239">
                  <c:v>13</c:v>
                </c:pt>
                <c:pt idx="240">
                  <c:v>13</c:v>
                </c:pt>
                <c:pt idx="241">
                  <c:v>13</c:v>
                </c:pt>
                <c:pt idx="242">
                  <c:v>13</c:v>
                </c:pt>
                <c:pt idx="243">
                  <c:v>13</c:v>
                </c:pt>
                <c:pt idx="244">
                  <c:v>13</c:v>
                </c:pt>
                <c:pt idx="245">
                  <c:v>13</c:v>
                </c:pt>
                <c:pt idx="246">
                  <c:v>13</c:v>
                </c:pt>
                <c:pt idx="247">
                  <c:v>13</c:v>
                </c:pt>
                <c:pt idx="248">
                  <c:v>13</c:v>
                </c:pt>
                <c:pt idx="249">
                  <c:v>13</c:v>
                </c:pt>
                <c:pt idx="250">
                  <c:v>13</c:v>
                </c:pt>
                <c:pt idx="251">
                  <c:v>13</c:v>
                </c:pt>
                <c:pt idx="252">
                  <c:v>13</c:v>
                </c:pt>
                <c:pt idx="253">
                  <c:v>13</c:v>
                </c:pt>
                <c:pt idx="254">
                  <c:v>13</c:v>
                </c:pt>
                <c:pt idx="255">
                  <c:v>13</c:v>
                </c:pt>
                <c:pt idx="256">
                  <c:v>13</c:v>
                </c:pt>
                <c:pt idx="257">
                  <c:v>13</c:v>
                </c:pt>
                <c:pt idx="258">
                  <c:v>13</c:v>
                </c:pt>
                <c:pt idx="259">
                  <c:v>13</c:v>
                </c:pt>
                <c:pt idx="260">
                  <c:v>13</c:v>
                </c:pt>
                <c:pt idx="261">
                  <c:v>13</c:v>
                </c:pt>
                <c:pt idx="262">
                  <c:v>13</c:v>
                </c:pt>
                <c:pt idx="263">
                  <c:v>13</c:v>
                </c:pt>
                <c:pt idx="264">
                  <c:v>13</c:v>
                </c:pt>
                <c:pt idx="265">
                  <c:v>13</c:v>
                </c:pt>
                <c:pt idx="266">
                  <c:v>13</c:v>
                </c:pt>
                <c:pt idx="267">
                  <c:v>13</c:v>
                </c:pt>
                <c:pt idx="268">
                  <c:v>13</c:v>
                </c:pt>
                <c:pt idx="269">
                  <c:v>13</c:v>
                </c:pt>
                <c:pt idx="270">
                  <c:v>13</c:v>
                </c:pt>
                <c:pt idx="271">
                  <c:v>13</c:v>
                </c:pt>
                <c:pt idx="272">
                  <c:v>13</c:v>
                </c:pt>
                <c:pt idx="273">
                  <c:v>13</c:v>
                </c:pt>
                <c:pt idx="274">
                  <c:v>13</c:v>
                </c:pt>
                <c:pt idx="275">
                  <c:v>13</c:v>
                </c:pt>
                <c:pt idx="276">
                  <c:v>13</c:v>
                </c:pt>
                <c:pt idx="277">
                  <c:v>13</c:v>
                </c:pt>
                <c:pt idx="278">
                  <c:v>13</c:v>
                </c:pt>
                <c:pt idx="279">
                  <c:v>13</c:v>
                </c:pt>
                <c:pt idx="280">
                  <c:v>13</c:v>
                </c:pt>
                <c:pt idx="281">
                  <c:v>13</c:v>
                </c:pt>
                <c:pt idx="282">
                  <c:v>13</c:v>
                </c:pt>
                <c:pt idx="283">
                  <c:v>13</c:v>
                </c:pt>
                <c:pt idx="284">
                  <c:v>13</c:v>
                </c:pt>
                <c:pt idx="285">
                  <c:v>13</c:v>
                </c:pt>
                <c:pt idx="286">
                  <c:v>13</c:v>
                </c:pt>
                <c:pt idx="287">
                  <c:v>13</c:v>
                </c:pt>
                <c:pt idx="288">
                  <c:v>13</c:v>
                </c:pt>
                <c:pt idx="289">
                  <c:v>13</c:v>
                </c:pt>
                <c:pt idx="290">
                  <c:v>13</c:v>
                </c:pt>
                <c:pt idx="291">
                  <c:v>13</c:v>
                </c:pt>
                <c:pt idx="292">
                  <c:v>13</c:v>
                </c:pt>
                <c:pt idx="293">
                  <c:v>13</c:v>
                </c:pt>
                <c:pt idx="294">
                  <c:v>13</c:v>
                </c:pt>
                <c:pt idx="295">
                  <c:v>13</c:v>
                </c:pt>
                <c:pt idx="296">
                  <c:v>13</c:v>
                </c:pt>
                <c:pt idx="297">
                  <c:v>13</c:v>
                </c:pt>
                <c:pt idx="298">
                  <c:v>13</c:v>
                </c:pt>
                <c:pt idx="299">
                  <c:v>13</c:v>
                </c:pt>
                <c:pt idx="300">
                  <c:v>13</c:v>
                </c:pt>
                <c:pt idx="301">
                  <c:v>13</c:v>
                </c:pt>
                <c:pt idx="302">
                  <c:v>13</c:v>
                </c:pt>
                <c:pt idx="303">
                  <c:v>13</c:v>
                </c:pt>
                <c:pt idx="304">
                  <c:v>13</c:v>
                </c:pt>
                <c:pt idx="305">
                  <c:v>13</c:v>
                </c:pt>
                <c:pt idx="306">
                  <c:v>13</c:v>
                </c:pt>
                <c:pt idx="307">
                  <c:v>13</c:v>
                </c:pt>
                <c:pt idx="308">
                  <c:v>13</c:v>
                </c:pt>
                <c:pt idx="309">
                  <c:v>13</c:v>
                </c:pt>
                <c:pt idx="310">
                  <c:v>13</c:v>
                </c:pt>
                <c:pt idx="311">
                  <c:v>13</c:v>
                </c:pt>
                <c:pt idx="312">
                  <c:v>13</c:v>
                </c:pt>
                <c:pt idx="313">
                  <c:v>13</c:v>
                </c:pt>
                <c:pt idx="314">
                  <c:v>13</c:v>
                </c:pt>
                <c:pt idx="315">
                  <c:v>13</c:v>
                </c:pt>
                <c:pt idx="316">
                  <c:v>13</c:v>
                </c:pt>
                <c:pt idx="317">
                  <c:v>13</c:v>
                </c:pt>
                <c:pt idx="318">
                  <c:v>13</c:v>
                </c:pt>
                <c:pt idx="319">
                  <c:v>13</c:v>
                </c:pt>
                <c:pt idx="320">
                  <c:v>13</c:v>
                </c:pt>
                <c:pt idx="321">
                  <c:v>13</c:v>
                </c:pt>
                <c:pt idx="322">
                  <c:v>13</c:v>
                </c:pt>
                <c:pt idx="323">
                  <c:v>13</c:v>
                </c:pt>
                <c:pt idx="324">
                  <c:v>13</c:v>
                </c:pt>
                <c:pt idx="325">
                  <c:v>13</c:v>
                </c:pt>
                <c:pt idx="326">
                  <c:v>13</c:v>
                </c:pt>
                <c:pt idx="327">
                  <c:v>13</c:v>
                </c:pt>
                <c:pt idx="328">
                  <c:v>13</c:v>
                </c:pt>
                <c:pt idx="329">
                  <c:v>13</c:v>
                </c:pt>
                <c:pt idx="330">
                  <c:v>13</c:v>
                </c:pt>
                <c:pt idx="331">
                  <c:v>13</c:v>
                </c:pt>
                <c:pt idx="332">
                  <c:v>13</c:v>
                </c:pt>
                <c:pt idx="333">
                  <c:v>13</c:v>
                </c:pt>
                <c:pt idx="334">
                  <c:v>13</c:v>
                </c:pt>
                <c:pt idx="335">
                  <c:v>13</c:v>
                </c:pt>
                <c:pt idx="336">
                  <c:v>13</c:v>
                </c:pt>
                <c:pt idx="337">
                  <c:v>13</c:v>
                </c:pt>
                <c:pt idx="338">
                  <c:v>13</c:v>
                </c:pt>
                <c:pt idx="339">
                  <c:v>13</c:v>
                </c:pt>
                <c:pt idx="340">
                  <c:v>13</c:v>
                </c:pt>
                <c:pt idx="341">
                  <c:v>13</c:v>
                </c:pt>
                <c:pt idx="342">
                  <c:v>13</c:v>
                </c:pt>
                <c:pt idx="343">
                  <c:v>13</c:v>
                </c:pt>
                <c:pt idx="344">
                  <c:v>13</c:v>
                </c:pt>
                <c:pt idx="345">
                  <c:v>13</c:v>
                </c:pt>
                <c:pt idx="346">
                  <c:v>13</c:v>
                </c:pt>
                <c:pt idx="347">
                  <c:v>13</c:v>
                </c:pt>
                <c:pt idx="348">
                  <c:v>13</c:v>
                </c:pt>
                <c:pt idx="349">
                  <c:v>13</c:v>
                </c:pt>
                <c:pt idx="350">
                  <c:v>13</c:v>
                </c:pt>
                <c:pt idx="351">
                  <c:v>13</c:v>
                </c:pt>
                <c:pt idx="352">
                  <c:v>13</c:v>
                </c:pt>
                <c:pt idx="353">
                  <c:v>13</c:v>
                </c:pt>
                <c:pt idx="354">
                  <c:v>13</c:v>
                </c:pt>
                <c:pt idx="355">
                  <c:v>13</c:v>
                </c:pt>
                <c:pt idx="356">
                  <c:v>13</c:v>
                </c:pt>
                <c:pt idx="357">
                  <c:v>13</c:v>
                </c:pt>
                <c:pt idx="358">
                  <c:v>13</c:v>
                </c:pt>
                <c:pt idx="359">
                  <c:v>13</c:v>
                </c:pt>
                <c:pt idx="360">
                  <c:v>13</c:v>
                </c:pt>
                <c:pt idx="361">
                  <c:v>13</c:v>
                </c:pt>
                <c:pt idx="362">
                  <c:v>13</c:v>
                </c:pt>
                <c:pt idx="363">
                  <c:v>13</c:v>
                </c:pt>
                <c:pt idx="364">
                  <c:v>13</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1.2058301253218155</c:v>
                </c:pt>
                <c:pt idx="1">
                  <c:v>1.9731396905918577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1.6861276960806053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1.7765352832209715</c:v>
                </c:pt>
                <c:pt idx="1">
                  <c:v>1.7765352832209715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2.9823654085427869</c:v>
                </c:pt>
                <c:pt idx="1">
                  <c:v>5.4358026698934339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273050</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102870</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84455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95250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739775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88265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87630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86360</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67340</xdr:colOff>
      <xdr:row>64</xdr:row>
      <xdr:rowOff>76800</xdr:rowOff>
    </xdr:to>
    <xdr:pic>
      <xdr:nvPicPr>
        <xdr:cNvPr id="2" name="Picture 1">
          <a:extLst>
            <a:ext uri="{FF2B5EF4-FFF2-40B4-BE49-F238E27FC236}">
              <a16:creationId xmlns:a16="http://schemas.microsoft.com/office/drawing/2014/main" id="{FB0A8913-498B-CA6B-7433-F71C34695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104775</xdr:colOff>
      <xdr:row>0</xdr:row>
      <xdr:rowOff>0</xdr:rowOff>
    </xdr:from>
    <xdr:to>
      <xdr:col>24</xdr:col>
      <xdr:colOff>172115</xdr:colOff>
      <xdr:row>64</xdr:row>
      <xdr:rowOff>76800</xdr:rowOff>
    </xdr:to>
    <xdr:pic>
      <xdr:nvPicPr>
        <xdr:cNvPr id="3" name="Picture 2">
          <a:extLst>
            <a:ext uri="{FF2B5EF4-FFF2-40B4-BE49-F238E27FC236}">
              <a16:creationId xmlns:a16="http://schemas.microsoft.com/office/drawing/2014/main" id="{26CC420D-DA04-CA1D-8289-D5EA2EDFDA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99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333375</xdr:colOff>
      <xdr:row>0</xdr:row>
      <xdr:rowOff>0</xdr:rowOff>
    </xdr:from>
    <xdr:to>
      <xdr:col>36</xdr:col>
      <xdr:colOff>400715</xdr:colOff>
      <xdr:row>64</xdr:row>
      <xdr:rowOff>76800</xdr:rowOff>
    </xdr:to>
    <xdr:pic>
      <xdr:nvPicPr>
        <xdr:cNvPr id="4" name="Picture 3">
          <a:extLst>
            <a:ext uri="{FF2B5EF4-FFF2-40B4-BE49-F238E27FC236}">
              <a16:creationId xmlns:a16="http://schemas.microsoft.com/office/drawing/2014/main" id="{15BFC20A-09E7-5DD0-769D-7EF8A68EC5F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637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100965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67340</xdr:colOff>
      <xdr:row>64</xdr:row>
      <xdr:rowOff>76800</xdr:rowOff>
    </xdr:to>
    <xdr:pic>
      <xdr:nvPicPr>
        <xdr:cNvPr id="2" name="Picture 1">
          <a:extLst>
            <a:ext uri="{FF2B5EF4-FFF2-40B4-BE49-F238E27FC236}">
              <a16:creationId xmlns:a16="http://schemas.microsoft.com/office/drawing/2014/main" id="{075919B3-F0EC-167A-8C09-BB9518139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180975</xdr:colOff>
      <xdr:row>0</xdr:row>
      <xdr:rowOff>0</xdr:rowOff>
    </xdr:from>
    <xdr:to>
      <xdr:col>24</xdr:col>
      <xdr:colOff>248315</xdr:colOff>
      <xdr:row>64</xdr:row>
      <xdr:rowOff>76800</xdr:rowOff>
    </xdr:to>
    <xdr:pic>
      <xdr:nvPicPr>
        <xdr:cNvPr id="3" name="Picture 2">
          <a:extLst>
            <a:ext uri="{FF2B5EF4-FFF2-40B4-BE49-F238E27FC236}">
              <a16:creationId xmlns:a16="http://schemas.microsoft.com/office/drawing/2014/main" id="{9552CB7B-2A40-C941-D37A-F69D21BD0E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61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17145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100246</xdr:colOff>
      <xdr:row>64</xdr:row>
      <xdr:rowOff>76800</xdr:rowOff>
    </xdr:to>
    <xdr:pic>
      <xdr:nvPicPr>
        <xdr:cNvPr id="2" name="Picture 1">
          <a:extLst>
            <a:ext uri="{FF2B5EF4-FFF2-40B4-BE49-F238E27FC236}">
              <a16:creationId xmlns:a16="http://schemas.microsoft.com/office/drawing/2014/main" id="{0DF00CB0-8D10-CC22-E381-29330001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15446"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247650</xdr:colOff>
      <xdr:row>0</xdr:row>
      <xdr:rowOff>0</xdr:rowOff>
    </xdr:from>
    <xdr:to>
      <xdr:col>24</xdr:col>
      <xdr:colOff>314990</xdr:colOff>
      <xdr:row>64</xdr:row>
      <xdr:rowOff>76800</xdr:rowOff>
    </xdr:to>
    <xdr:pic>
      <xdr:nvPicPr>
        <xdr:cNvPr id="3" name="Picture 2">
          <a:extLst>
            <a:ext uri="{FF2B5EF4-FFF2-40B4-BE49-F238E27FC236}">
              <a16:creationId xmlns:a16="http://schemas.microsoft.com/office/drawing/2014/main" id="{27477BFC-35B7-E01A-B52C-362049DFE1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285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466725</xdr:colOff>
      <xdr:row>0</xdr:row>
      <xdr:rowOff>0</xdr:rowOff>
    </xdr:from>
    <xdr:to>
      <xdr:col>36</xdr:col>
      <xdr:colOff>534065</xdr:colOff>
      <xdr:row>64</xdr:row>
      <xdr:rowOff>76800</xdr:rowOff>
    </xdr:to>
    <xdr:pic>
      <xdr:nvPicPr>
        <xdr:cNvPr id="4" name="Picture 3">
          <a:extLst>
            <a:ext uri="{FF2B5EF4-FFF2-40B4-BE49-F238E27FC236}">
              <a16:creationId xmlns:a16="http://schemas.microsoft.com/office/drawing/2014/main" id="{67091BD7-0FBB-66CC-2880-D18959D1B04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0971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23812</xdr:colOff>
      <xdr:row>17</xdr:row>
      <xdr:rowOff>119063</xdr:rowOff>
    </xdr:from>
    <xdr:to>
      <xdr:col>8</xdr:col>
      <xdr:colOff>966008</xdr:colOff>
      <xdr:row>72</xdr:row>
      <xdr:rowOff>149695</xdr:rowOff>
    </xdr:to>
    <xdr:pic>
      <xdr:nvPicPr>
        <xdr:cNvPr id="2" name="Picture 1">
          <a:extLst>
            <a:ext uri="{FF2B5EF4-FFF2-40B4-BE49-F238E27FC236}">
              <a16:creationId xmlns:a16="http://schemas.microsoft.com/office/drawing/2014/main" id="{7A80C8E3-9549-6486-53C4-18FD616056E3}"/>
            </a:ext>
          </a:extLst>
        </xdr:cNvPr>
        <xdr:cNvPicPr>
          <a:picLocks noChangeAspect="1"/>
        </xdr:cNvPicPr>
      </xdr:nvPicPr>
      <xdr:blipFill>
        <a:blip xmlns:r="http://schemas.openxmlformats.org/officeDocument/2006/relationships" r:embed="rId1"/>
        <a:stretch>
          <a:fillRect/>
        </a:stretch>
      </xdr:blipFill>
      <xdr:spPr>
        <a:xfrm>
          <a:off x="23812" y="2452688"/>
          <a:ext cx="6204759" cy="91984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EB146-E594-482E-8BFF-8A06E97B3822}" name="APA_FIN___Journal_Line_Transaction_Details" displayName="APA_FIN___Journal_Line_Transaction_Details" ref="A13:AS268">
  <tableColumns count="45">
    <tableColumn id="1" xr3:uid="{1AAEED2A-DFEE-4103-B12B-8A64F19E48AA}" name="Journal"/>
    <tableColumn id="2" xr3:uid="{EEF153F2-6028-43E5-92AC-BD7231544CE4}" name="Journal Number"/>
    <tableColumn id="3" xr3:uid="{F8FFB7B1-E277-402C-AAEE-FF781ECF9108}" name="Company"/>
    <tableColumn id="4" xr3:uid="{2DD143EA-F302-4B8E-AA24-4B27B20A904C}" name="Intercompany Initiating Company"/>
    <tableColumn id="5" xr3:uid="{E334D806-668B-4119-8D04-5F20116241E1}" name="Status"/>
    <tableColumn id="6" xr3:uid="{9BB996BB-DC40-42E3-93FD-6BBC2E635A57}" name="Journal Accounting period"/>
    <tableColumn id="7" xr3:uid="{C453974C-F38D-472B-B8ED-95CC1F1A5494}" name="Accounting Date"/>
    <tableColumn id="8" xr3:uid="{B9A0C5C3-9DCB-43BD-93BB-7067937050A4}" name="Source"/>
    <tableColumn id="9" xr3:uid="{687CA525-4C21-4B23-BD21-868F06AE0DDE}" name="Accrual Journal"/>
    <tableColumn id="10" xr3:uid="{6ED3272B-FE5B-40D7-94FF-5D6749938666}" name="Ledger"/>
    <tableColumn id="11" xr3:uid="{0F590751-79DE-4B55-BEAE-77EC607813A4}" name="Ledger Summary Level 08"/>
    <tableColumn id="12" xr3:uid="{09EB7D12-2CA0-49EF-B223-77B68FEC9067}" name="Ledger Account"/>
    <tableColumn id="13" xr3:uid="{E8A4AA5A-0211-44C3-8883-E45C42E44E21}" name="Included By Cash Flow Ledger Account Summary"/>
    <tableColumn id="14" xr3:uid="{EEBCAA1F-16F4-46F6-8297-B2834D98AF67}" name="Transaction Debit Amount"/>
    <tableColumn id="15" xr3:uid="{59FA3E29-3A45-48B5-B2F6-389BF63DF709}" name="Transaction Credit Amount"/>
    <tableColumn id="16" xr3:uid="{3708E96F-2C52-46FF-A34F-13153F4E5E86}" name="Transaction Currency"/>
    <tableColumn id="17" xr3:uid="{E1F55254-DEA2-4AAE-B2FB-0A78EF6401D0}" name="Ledger Debit Amount"/>
    <tableColumn id="18" xr3:uid="{619A084F-5E2F-4F11-A58F-8C3ECDAC47BB}" name="Ledger Credit Amount"/>
    <tableColumn id="19" xr3:uid="{29D6F1BA-AF6E-4325-91AC-D1365403F6AC}" name="Ledger/Budget Debit minus Credit"/>
    <tableColumn id="20" xr3:uid="{ABFF1F60-1941-4024-8E24-0DE06324E0DA}" name="Ledger Currency"/>
    <tableColumn id="21" xr3:uid="{972B7C4C-7C17-41FE-B435-C6AF6518449C}" name="Line Memo"/>
    <tableColumn id="22" xr3:uid="{4C3E4FE3-F141-47EA-A16D-07567AF58231}" name="External Reference ID"/>
    <tableColumn id="23" xr3:uid="{D7635686-FA7F-4B48-87FE-F70CBDC660C5}" name="Match ID"/>
    <tableColumn id="24" xr3:uid="{7ECDAD7C-2BFC-40ED-9977-85560208C68D}" name="APA Asset"/>
    <tableColumn id="25" xr3:uid="{72FB3572-C08D-4E97-AD8D-121E4E81DF23}" name="Book Code"/>
    <tableColumn id="26" xr3:uid="{4B4233FA-08B3-4581-981B-20DA0D170D46}" name="Intercompany Affiliate"/>
    <tableColumn id="27" xr3:uid="{2EE0A219-9064-4250-97BC-563B649894CB}" name="Cost Center"/>
    <tableColumn id="28" xr3:uid="{C289D497-95ED-4C33-955A-53389F735EE2}" name="Activity"/>
    <tableColumn id="29" xr3:uid="{29E73102-1204-4EC8-A235-018D5DADAC19}" name="Project"/>
    <tableColumn id="30" xr3:uid="{92493E60-567E-4C56-9C38-72E5FB10C86B}" name="Project Task"/>
    <tableColumn id="31" xr3:uid="{A86CFFFD-AD99-4841-A0C3-0F9B0D7B11DD}" name="Project Plan Phase"/>
    <tableColumn id="32" xr3:uid="{C38B8AE2-D69E-4BF2-98EA-FAACC63B4214}" name="Project Plan Task"/>
    <tableColumn id="33" xr3:uid="{C6298E34-EA9F-416E-892D-C17E20CFCF76}" name="Project Role"/>
    <tableColumn id="34" xr3:uid="{9032533E-C57B-4F80-B619-6D45C7CB7DE2}" name="Customer"/>
    <tableColumn id="35" xr3:uid="{09DB02A3-1F87-42B6-8D62-426F8D9F8C87}" name="Operational Transaction"/>
    <tableColumn id="36" xr3:uid="{57C42701-1E6D-48CB-ADF4-C700F588954D}" name="Purchase Order Line"/>
    <tableColumn id="37" xr3:uid="{AA3A79B7-3C0D-470F-B510-2D3939DBD0D6}" name="Revenue Category"/>
    <tableColumn id="38" xr3:uid="{064DD6E8-37BF-4F17-B21C-5E21387203E8}" name="Part 10 Classification"/>
    <tableColumn id="39" xr3:uid="{F826BDE5-2B09-49E0-9B3D-281A6CB9E2B7}" name="Sales Item"/>
    <tableColumn id="40" xr3:uid="{AFAE9ED3-05F4-4FBB-8C80-021D315BFA73}" name="Supplier"/>
    <tableColumn id="41" xr3:uid="{1AD4443A-0652-43F5-8776-C075A8B7FB9F}" name="Spend Category"/>
    <tableColumn id="42" xr3:uid="{1DB06CF3-DDEE-4ECD-B2B7-E8D54174C27F}" name="Expense Report"/>
    <tableColumn id="43" xr3:uid="{38DD55DE-27A4-4301-80C3-999C583A3DD1}" name="Regulatory Status"/>
    <tableColumn id="44" xr3:uid="{07C70798-8425-4239-B9AD-598DA884C1D5}" name="Created by"/>
    <tableColumn id="45" xr3:uid="{EE67F7FC-8B31-45D0-A8B0-949883983349}" name="Created Momen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3" Type="http://schemas.openxmlformats.org/officeDocument/2006/relationships/hyperlink" Target="..\..\..\..\Reg%20Shared%20Corp%20Asset\FY22\Leased%20Assets%20FY22\Shared%20AASB%2016%20Leased%20Assets%20FY22.xlsx" TargetMode="External"/><Relationship Id="rId2" Type="http://schemas.openxmlformats.org/officeDocument/2006/relationships/hyperlink" Target="..\..\..\..\Reg%20Shared%20Corp%20Asset\FY21\Leased%20Assets%20FY21\Shared%20AASB%2016%20Leased%20Assets%20FY21%20incl%20all%20Saas%20Cost%20in%20FY21%20Part%2023%20and%20Part7.xlsx" TargetMode="External"/><Relationship Id="rId1" Type="http://schemas.openxmlformats.org/officeDocument/2006/relationships/hyperlink" Target="..\..\..\FY2020\3.%20Non%20Scheme%20Financial%20Reporting%20Template\7.%20PPS\pps-2020-part-23-financial-reporting%20(support%20file).xls" TargetMode="External"/><Relationship Id="rId6" Type="http://schemas.openxmlformats.org/officeDocument/2006/relationships/hyperlink" Target="https://connectonline.asic.gov.au/RegistrySearch/faces/landing/panelSearch.jspx?searchTab=search&amp;searchText=apt+pipelines+%28nsw%29+pty+ltd&amp;searchType=OrgAndBusNm" TargetMode="External"/><Relationship Id="rId5" Type="http://schemas.openxmlformats.org/officeDocument/2006/relationships/hyperlink" Target="../../../../Reg%20Shared%20Corp%20Asset/FY24/Leased%20Assets%20FY24/Shared%20AASB%2016%20Leased%20Assets%20FY24.xlsx" TargetMode="External"/><Relationship Id="rId4" Type="http://schemas.openxmlformats.org/officeDocument/2006/relationships/hyperlink" Target="..\..\..\..\Reg%20Shared%20Corp%20Asset\FY23\Leased%20Assets%20FY23\Shared%20AASB%2016%20Leased%20Assets%20FY23.xlsx"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pane="bottomLeft"/>
    </sheetView>
  </sheetViews>
  <sheetFormatPr defaultColWidth="9.140625" defaultRowHeight="12.75" x14ac:dyDescent="0.2"/>
  <cols>
    <col min="1" max="1" width="41" style="231" customWidth="1"/>
    <col min="2" max="2" width="23.5703125" style="231" customWidth="1"/>
    <col min="3" max="6" width="20.85546875" style="231" customWidth="1"/>
    <col min="7" max="8" width="11.140625" style="231" customWidth="1"/>
    <col min="9" max="11" width="20.85546875" style="231" customWidth="1"/>
    <col min="12" max="13" width="9.140625" style="231"/>
    <col min="14" max="14" width="27.140625" style="231" customWidth="1"/>
    <col min="15" max="16384" width="9.140625" style="231"/>
  </cols>
  <sheetData>
    <row r="1" spans="1:11" ht="66" customHeight="1" x14ac:dyDescent="0.2"/>
    <row r="2" spans="1:11" ht="20.25" customHeight="1" x14ac:dyDescent="0.2">
      <c r="A2" s="232" t="s">
        <v>0</v>
      </c>
      <c r="B2" s="232"/>
      <c r="C2" s="232"/>
      <c r="D2" s="232"/>
      <c r="E2" s="232"/>
      <c r="F2" s="232"/>
      <c r="G2" s="232"/>
      <c r="H2" s="232"/>
      <c r="I2" s="232"/>
      <c r="J2" s="232"/>
      <c r="K2" s="232"/>
    </row>
    <row r="3" spans="1:11" ht="20.25" x14ac:dyDescent="0.2">
      <c r="A3" s="232" t="s">
        <v>1</v>
      </c>
      <c r="B3" s="232"/>
      <c r="C3" s="232"/>
      <c r="D3" s="232"/>
      <c r="E3" s="232"/>
      <c r="F3" s="232"/>
      <c r="G3" s="232"/>
      <c r="H3" s="232"/>
      <c r="I3" s="232"/>
      <c r="J3" s="232"/>
      <c r="K3" s="232"/>
    </row>
    <row r="4" spans="1:11" x14ac:dyDescent="0.2">
      <c r="A4" s="233"/>
      <c r="B4" s="233"/>
      <c r="C4" s="233"/>
      <c r="D4" s="233"/>
      <c r="E4" s="233"/>
      <c r="F4" s="233"/>
      <c r="G4" s="233"/>
      <c r="H4" s="233"/>
      <c r="I4" s="233"/>
      <c r="J4" s="233"/>
      <c r="K4" s="233"/>
    </row>
    <row r="5" spans="1:11" s="237" customFormat="1" ht="15.75" x14ac:dyDescent="0.2">
      <c r="A5" s="234" t="s">
        <v>2</v>
      </c>
      <c r="B5" s="235"/>
      <c r="C5" s="235"/>
      <c r="D5" s="235"/>
      <c r="E5" s="235"/>
      <c r="F5" s="235"/>
      <c r="G5" s="235"/>
      <c r="H5" s="235"/>
      <c r="I5" s="235"/>
      <c r="J5" s="236"/>
      <c r="K5" s="236"/>
    </row>
    <row r="6" spans="1:11" s="237" customFormat="1" ht="15.75" x14ac:dyDescent="0.2">
      <c r="A6" s="234" t="s">
        <v>3</v>
      </c>
      <c r="B6" s="235"/>
      <c r="C6" s="235"/>
      <c r="D6" s="235"/>
      <c r="E6" s="235"/>
      <c r="F6" s="235"/>
      <c r="G6" s="235"/>
      <c r="H6" s="235"/>
      <c r="I6" s="235"/>
      <c r="J6" s="236"/>
      <c r="K6" s="236"/>
    </row>
    <row r="7" spans="1:11" ht="15.75" thickBot="1" x14ac:dyDescent="0.25">
      <c r="A7" s="311"/>
      <c r="B7" s="311"/>
      <c r="C7" s="311"/>
      <c r="D7" s="311"/>
      <c r="E7" s="311"/>
      <c r="F7" s="311"/>
      <c r="G7" s="311"/>
      <c r="H7" s="311"/>
      <c r="I7" s="311"/>
      <c r="J7" s="233"/>
      <c r="K7" s="233"/>
    </row>
    <row r="8" spans="1:11" ht="12.75" customHeight="1" x14ac:dyDescent="0.2">
      <c r="A8" s="433" t="s">
        <v>4</v>
      </c>
      <c r="B8" s="434"/>
      <c r="C8" s="434"/>
      <c r="D8" s="434"/>
      <c r="E8" s="434"/>
      <c r="F8" s="434"/>
      <c r="G8" s="434"/>
      <c r="H8" s="434"/>
      <c r="I8" s="435"/>
      <c r="J8" s="233"/>
      <c r="K8" s="233"/>
    </row>
    <row r="9" spans="1:11" ht="15.75" x14ac:dyDescent="0.2">
      <c r="A9" s="238" t="s">
        <v>5</v>
      </c>
      <c r="B9" s="239"/>
      <c r="C9" s="239"/>
      <c r="D9" s="240"/>
      <c r="E9" s="240"/>
      <c r="F9" s="240"/>
      <c r="G9" s="240"/>
      <c r="H9" s="240"/>
      <c r="I9" s="241"/>
      <c r="J9" s="233"/>
      <c r="K9" s="233"/>
    </row>
    <row r="10" spans="1:11" ht="15.75" x14ac:dyDescent="0.2">
      <c r="A10" s="439" t="s">
        <v>6</v>
      </c>
      <c r="B10" s="440"/>
      <c r="C10" s="440"/>
      <c r="D10" s="440"/>
      <c r="E10" s="440"/>
      <c r="F10" s="440"/>
      <c r="G10" s="440"/>
      <c r="H10" s="440"/>
      <c r="I10" s="441"/>
      <c r="J10" s="233"/>
      <c r="K10" s="233"/>
    </row>
    <row r="11" spans="1:11" ht="16.5" thickBot="1" x14ac:dyDescent="0.25">
      <c r="A11" s="436" t="s">
        <v>7</v>
      </c>
      <c r="B11" s="437"/>
      <c r="C11" s="437"/>
      <c r="D11" s="437"/>
      <c r="E11" s="437"/>
      <c r="F11" s="437"/>
      <c r="G11" s="437"/>
      <c r="H11" s="437"/>
      <c r="I11" s="438"/>
      <c r="J11" s="233"/>
      <c r="K11" s="233"/>
    </row>
    <row r="12" spans="1:11" ht="15" x14ac:dyDescent="0.2">
      <c r="A12" s="442"/>
      <c r="B12" s="443"/>
      <c r="C12" s="443"/>
      <c r="D12" s="443"/>
      <c r="E12" s="443"/>
      <c r="F12" s="443"/>
      <c r="G12" s="443"/>
      <c r="H12" s="443"/>
      <c r="I12" s="443"/>
      <c r="J12" s="233"/>
      <c r="K12" s="233"/>
    </row>
    <row r="13" spans="1:11" ht="15.75" x14ac:dyDescent="0.2">
      <c r="A13" s="242" t="s">
        <v>8</v>
      </c>
      <c r="B13" s="311"/>
      <c r="C13" s="311"/>
      <c r="D13" s="311"/>
      <c r="E13" s="311"/>
      <c r="F13" s="311"/>
      <c r="G13" s="311"/>
      <c r="H13" s="311"/>
      <c r="I13" s="311"/>
      <c r="J13" s="233"/>
      <c r="K13" s="233"/>
    </row>
    <row r="14" spans="1:11" ht="15.75" x14ac:dyDescent="0.2">
      <c r="A14" s="243" t="s">
        <v>9</v>
      </c>
      <c r="B14" s="311"/>
      <c r="C14" s="311"/>
      <c r="D14" s="311"/>
      <c r="E14" s="311"/>
      <c r="F14" s="311"/>
      <c r="G14" s="311"/>
      <c r="H14" s="311"/>
      <c r="I14" s="311"/>
      <c r="J14" s="233"/>
      <c r="K14" s="233"/>
    </row>
    <row r="15" spans="1:11" x14ac:dyDescent="0.2">
      <c r="A15" s="233"/>
      <c r="B15" s="233"/>
      <c r="C15" s="233"/>
      <c r="D15" s="233"/>
      <c r="E15" s="233"/>
      <c r="F15" s="233"/>
      <c r="G15" s="233"/>
      <c r="H15" s="233"/>
      <c r="I15" s="233"/>
      <c r="J15" s="233"/>
      <c r="K15" s="233"/>
    </row>
    <row r="16" spans="1:11" x14ac:dyDescent="0.2">
      <c r="A16" s="233"/>
      <c r="B16" s="233"/>
      <c r="C16" s="233"/>
      <c r="D16" s="233"/>
      <c r="E16" s="233"/>
      <c r="F16" s="233"/>
      <c r="G16" s="233"/>
      <c r="H16" s="233"/>
      <c r="I16" s="233"/>
      <c r="J16" s="233"/>
      <c r="K16" s="233"/>
    </row>
    <row r="17" spans="1:11" ht="15.75" x14ac:dyDescent="0.2">
      <c r="A17" s="430" t="s">
        <v>10</v>
      </c>
      <c r="B17" s="431"/>
      <c r="C17" s="449" t="s">
        <v>859</v>
      </c>
      <c r="D17" s="450"/>
      <c r="E17" s="450"/>
      <c r="F17" s="311"/>
      <c r="G17" s="311"/>
      <c r="H17" s="311"/>
      <c r="I17" s="311"/>
      <c r="J17" s="311"/>
      <c r="K17" s="311"/>
    </row>
    <row r="18" spans="1:11" ht="15.75" x14ac:dyDescent="0.2">
      <c r="A18" s="243"/>
      <c r="B18" s="243"/>
      <c r="C18" s="244"/>
      <c r="D18" s="244"/>
      <c r="E18" s="244"/>
      <c r="F18" s="311"/>
      <c r="G18" s="311"/>
      <c r="H18" s="311"/>
      <c r="I18" s="311"/>
      <c r="J18" s="311"/>
      <c r="K18" s="311"/>
    </row>
    <row r="19" spans="1:11" ht="18" customHeight="1" x14ac:dyDescent="0.2">
      <c r="A19" s="430" t="s">
        <v>11</v>
      </c>
      <c r="B19" s="431"/>
      <c r="C19" s="482" t="s">
        <v>860</v>
      </c>
      <c r="D19" s="483"/>
      <c r="E19" s="483"/>
      <c r="F19" s="311"/>
      <c r="G19" s="311"/>
      <c r="H19" s="311"/>
      <c r="I19" s="311"/>
      <c r="J19" s="311"/>
      <c r="K19" s="311"/>
    </row>
    <row r="20" spans="1:11" ht="15.75" x14ac:dyDescent="0.2">
      <c r="A20" s="243"/>
      <c r="B20" s="243"/>
      <c r="C20" s="444"/>
      <c r="D20" s="445"/>
      <c r="E20" s="445"/>
      <c r="F20" s="311"/>
      <c r="G20" s="311"/>
      <c r="H20" s="311"/>
      <c r="I20" s="311"/>
      <c r="J20" s="311"/>
      <c r="K20" s="311"/>
    </row>
    <row r="21" spans="1:11" ht="15.75" x14ac:dyDescent="0.2">
      <c r="A21" s="430" t="s">
        <v>12</v>
      </c>
      <c r="B21" s="432"/>
      <c r="C21" s="446" t="s">
        <v>862</v>
      </c>
      <c r="D21" s="447"/>
      <c r="E21" s="448"/>
      <c r="F21" s="311"/>
      <c r="G21" s="311"/>
      <c r="H21" s="311"/>
      <c r="I21" s="311"/>
      <c r="J21" s="311"/>
      <c r="K21" s="311"/>
    </row>
    <row r="22" spans="1:11" ht="15" x14ac:dyDescent="0.2">
      <c r="A22" s="311"/>
      <c r="B22" s="311"/>
      <c r="C22" s="244"/>
      <c r="D22" s="244"/>
      <c r="E22" s="244"/>
      <c r="F22" s="311"/>
      <c r="G22" s="311"/>
      <c r="H22" s="311"/>
      <c r="I22" s="311"/>
      <c r="J22" s="311"/>
      <c r="K22" s="311"/>
    </row>
    <row r="23" spans="1:11" ht="18" customHeight="1" x14ac:dyDescent="0.2">
      <c r="A23" s="430" t="s">
        <v>13</v>
      </c>
      <c r="B23" s="432"/>
      <c r="C23" s="484" t="s">
        <v>734</v>
      </c>
      <c r="D23" s="485"/>
      <c r="E23" s="486"/>
      <c r="F23" s="311"/>
      <c r="G23" s="311"/>
      <c r="H23" s="311"/>
      <c r="I23" s="311"/>
      <c r="J23" s="311"/>
      <c r="K23" s="311"/>
    </row>
    <row r="24" spans="1:11" ht="15" x14ac:dyDescent="0.2">
      <c r="A24" s="311"/>
      <c r="B24" s="311"/>
      <c r="C24" s="244"/>
      <c r="D24" s="244"/>
      <c r="E24" s="244"/>
      <c r="F24" s="311"/>
      <c r="G24" s="311"/>
      <c r="H24" s="311"/>
      <c r="I24" s="311"/>
      <c r="J24" s="311"/>
      <c r="K24" s="311"/>
    </row>
    <row r="25" spans="1:11" ht="15.75" x14ac:dyDescent="0.2">
      <c r="A25" s="430" t="s">
        <v>14</v>
      </c>
      <c r="B25" s="432"/>
      <c r="C25" s="451">
        <v>45474</v>
      </c>
      <c r="D25" s="452"/>
      <c r="E25" s="453"/>
      <c r="F25" s="311"/>
      <c r="G25" s="311"/>
      <c r="H25" s="311"/>
      <c r="I25" s="311"/>
      <c r="J25" s="311"/>
      <c r="K25" s="311"/>
    </row>
    <row r="26" spans="1:11" ht="15" x14ac:dyDescent="0.2">
      <c r="A26" s="311"/>
      <c r="B26" s="311"/>
      <c r="C26" s="244"/>
      <c r="D26" s="244"/>
      <c r="E26" s="244"/>
      <c r="F26" s="311"/>
      <c r="G26" s="311"/>
      <c r="H26" s="311"/>
      <c r="I26" s="311"/>
      <c r="J26" s="311"/>
      <c r="K26" s="311"/>
    </row>
    <row r="27" spans="1:11" ht="15.75" x14ac:dyDescent="0.2">
      <c r="A27" s="430" t="s">
        <v>15</v>
      </c>
      <c r="B27" s="432"/>
      <c r="C27" s="451">
        <v>45838</v>
      </c>
      <c r="D27" s="452"/>
      <c r="E27" s="453"/>
      <c r="F27" s="311"/>
      <c r="G27" s="311"/>
      <c r="H27" s="311"/>
      <c r="I27" s="311"/>
      <c r="J27" s="311"/>
      <c r="K27" s="311"/>
    </row>
    <row r="28" spans="1:11" ht="15" x14ac:dyDescent="0.2">
      <c r="A28" s="311"/>
      <c r="B28" s="311"/>
      <c r="C28" s="244"/>
      <c r="D28" s="244"/>
      <c r="E28" s="244"/>
      <c r="F28" s="311"/>
      <c r="G28" s="311"/>
      <c r="H28" s="311"/>
      <c r="I28" s="311"/>
      <c r="J28" s="311"/>
      <c r="K28" s="311"/>
    </row>
    <row r="29" spans="1:11" ht="15.75" x14ac:dyDescent="0.2">
      <c r="A29" s="487" t="s">
        <v>16</v>
      </c>
      <c r="B29" s="487"/>
      <c r="C29" s="451">
        <v>46013</v>
      </c>
      <c r="D29" s="452"/>
      <c r="E29" s="453"/>
      <c r="F29" s="311"/>
      <c r="G29" s="311"/>
      <c r="H29" s="311"/>
      <c r="I29" s="311"/>
      <c r="J29" s="311"/>
      <c r="K29" s="311"/>
    </row>
    <row r="30" spans="1:11" ht="15" x14ac:dyDescent="0.2">
      <c r="A30" s="311"/>
      <c r="B30" s="311"/>
      <c r="C30" s="244"/>
      <c r="D30" s="244"/>
      <c r="E30" s="244"/>
      <c r="F30" s="311"/>
      <c r="G30" s="311"/>
      <c r="H30" s="311"/>
      <c r="I30" s="311"/>
      <c r="J30" s="311"/>
      <c r="K30" s="311"/>
    </row>
    <row r="31" spans="1:11" ht="15.75" x14ac:dyDescent="0.2">
      <c r="A31" s="487" t="s">
        <v>17</v>
      </c>
      <c r="B31" s="487"/>
      <c r="C31" s="451">
        <v>45838</v>
      </c>
      <c r="D31" s="452"/>
      <c r="E31" s="453"/>
      <c r="F31" s="311"/>
      <c r="G31" s="311"/>
      <c r="H31" s="311"/>
      <c r="I31" s="311"/>
      <c r="J31" s="311"/>
      <c r="K31" s="311"/>
    </row>
    <row r="32" spans="1:11" ht="15" x14ac:dyDescent="0.2">
      <c r="A32" s="311"/>
      <c r="B32" s="311"/>
      <c r="C32" s="244"/>
      <c r="D32" s="244"/>
      <c r="E32" s="244"/>
      <c r="F32" s="311"/>
      <c r="G32" s="311"/>
      <c r="H32" s="311"/>
      <c r="I32" s="311"/>
      <c r="J32" s="311"/>
      <c r="K32" s="311"/>
    </row>
    <row r="33" spans="1:11" ht="60" customHeight="1" x14ac:dyDescent="0.2">
      <c r="A33" s="481" t="s">
        <v>18</v>
      </c>
      <c r="B33" s="481"/>
      <c r="C33" s="477" t="s">
        <v>735</v>
      </c>
      <c r="D33" s="478"/>
      <c r="E33" s="479"/>
      <c r="F33" s="480" t="s">
        <v>19</v>
      </c>
      <c r="G33" s="481"/>
      <c r="H33" s="481"/>
      <c r="I33" s="477" t="s">
        <v>731</v>
      </c>
      <c r="J33" s="478"/>
      <c r="K33" s="479"/>
    </row>
    <row r="34" spans="1:11" ht="15.75" thickBot="1" x14ac:dyDescent="0.25">
      <c r="A34" s="245"/>
      <c r="B34" s="245"/>
      <c r="C34" s="245"/>
      <c r="D34" s="245"/>
      <c r="E34" s="245"/>
      <c r="F34" s="245"/>
      <c r="G34" s="245"/>
      <c r="H34" s="245"/>
      <c r="I34" s="245"/>
      <c r="J34" s="245"/>
      <c r="K34" s="245"/>
    </row>
    <row r="35" spans="1:11" ht="15" x14ac:dyDescent="0.2">
      <c r="A35" s="456"/>
      <c r="B35" s="457"/>
      <c r="C35" s="457"/>
      <c r="D35" s="457"/>
      <c r="E35" s="457"/>
      <c r="F35" s="457"/>
      <c r="G35" s="457"/>
      <c r="H35" s="458"/>
      <c r="I35" s="245"/>
      <c r="J35" s="245"/>
      <c r="K35" s="245"/>
    </row>
    <row r="36" spans="1:11" ht="15" x14ac:dyDescent="0.2">
      <c r="A36" s="462" t="s">
        <v>20</v>
      </c>
      <c r="B36" s="454" t="s">
        <v>21</v>
      </c>
      <c r="C36" s="455"/>
      <c r="D36" s="471" t="s">
        <v>1164</v>
      </c>
      <c r="E36" s="472"/>
      <c r="F36" s="472"/>
      <c r="G36" s="473"/>
      <c r="H36" s="466"/>
      <c r="I36" s="245"/>
      <c r="J36" s="245"/>
      <c r="K36" s="245"/>
    </row>
    <row r="37" spans="1:11" ht="15" x14ac:dyDescent="0.2">
      <c r="A37" s="462"/>
      <c r="B37" s="454" t="s">
        <v>22</v>
      </c>
      <c r="C37" s="455"/>
      <c r="D37" s="471" t="s">
        <v>736</v>
      </c>
      <c r="E37" s="472"/>
      <c r="F37" s="472"/>
      <c r="G37" s="473"/>
      <c r="H37" s="466"/>
      <c r="I37" s="245"/>
      <c r="J37" s="245"/>
      <c r="K37" s="245"/>
    </row>
    <row r="38" spans="1:11" ht="15" x14ac:dyDescent="0.2">
      <c r="A38" s="462"/>
      <c r="B38" s="246"/>
      <c r="C38" s="312" t="s">
        <v>23</v>
      </c>
      <c r="D38" s="169" t="s">
        <v>737</v>
      </c>
      <c r="E38" s="312" t="s">
        <v>24</v>
      </c>
      <c r="F38" s="169">
        <v>2000</v>
      </c>
      <c r="G38" s="247"/>
      <c r="H38" s="466"/>
      <c r="I38" s="245"/>
      <c r="J38" s="245"/>
      <c r="K38" s="245"/>
    </row>
    <row r="39" spans="1:11" ht="15" x14ac:dyDescent="0.2">
      <c r="A39" s="462"/>
      <c r="B39" s="467"/>
      <c r="C39" s="467"/>
      <c r="D39" s="467"/>
      <c r="E39" s="467"/>
      <c r="F39" s="467"/>
      <c r="G39" s="467"/>
      <c r="H39" s="466"/>
      <c r="I39" s="245"/>
      <c r="J39" s="245"/>
      <c r="K39" s="245"/>
    </row>
    <row r="40" spans="1:11" ht="15" x14ac:dyDescent="0.2">
      <c r="A40" s="462" t="s">
        <v>25</v>
      </c>
      <c r="B40" s="454" t="s">
        <v>21</v>
      </c>
      <c r="C40" s="455"/>
      <c r="D40" s="468" t="s">
        <v>738</v>
      </c>
      <c r="E40" s="468"/>
      <c r="F40" s="468"/>
      <c r="G40" s="468"/>
      <c r="H40" s="466"/>
      <c r="I40" s="245"/>
      <c r="J40" s="245"/>
      <c r="K40" s="245"/>
    </row>
    <row r="41" spans="1:11" ht="15" x14ac:dyDescent="0.2">
      <c r="A41" s="462"/>
      <c r="B41" s="454" t="s">
        <v>22</v>
      </c>
      <c r="C41" s="455"/>
      <c r="D41" s="468" t="s">
        <v>739</v>
      </c>
      <c r="E41" s="468"/>
      <c r="F41" s="468"/>
      <c r="G41" s="468"/>
      <c r="H41" s="466"/>
      <c r="I41" s="245"/>
      <c r="J41" s="245"/>
      <c r="K41" s="245"/>
    </row>
    <row r="42" spans="1:11" ht="15" x14ac:dyDescent="0.2">
      <c r="A42" s="462"/>
      <c r="B42" s="246"/>
      <c r="C42" s="312" t="s">
        <v>23</v>
      </c>
      <c r="D42" s="169" t="s">
        <v>737</v>
      </c>
      <c r="E42" s="312" t="s">
        <v>24</v>
      </c>
      <c r="F42" s="169">
        <v>1225</v>
      </c>
      <c r="G42" s="247"/>
      <c r="H42" s="466"/>
      <c r="I42" s="245"/>
      <c r="J42" s="245"/>
      <c r="K42" s="245"/>
    </row>
    <row r="43" spans="1:11" ht="15.75" thickBot="1" x14ac:dyDescent="0.25">
      <c r="A43" s="463"/>
      <c r="B43" s="464"/>
      <c r="C43" s="464"/>
      <c r="D43" s="464"/>
      <c r="E43" s="464"/>
      <c r="F43" s="464"/>
      <c r="G43" s="464"/>
      <c r="H43" s="465"/>
      <c r="I43" s="245"/>
      <c r="J43" s="245"/>
      <c r="K43" s="245"/>
    </row>
    <row r="44" spans="1:11" ht="15" x14ac:dyDescent="0.2">
      <c r="A44" s="456"/>
      <c r="B44" s="457"/>
      <c r="C44" s="457"/>
      <c r="D44" s="457"/>
      <c r="E44" s="457"/>
      <c r="F44" s="457"/>
      <c r="G44" s="457"/>
      <c r="H44" s="458"/>
      <c r="I44" s="245"/>
      <c r="J44" s="245"/>
      <c r="K44" s="245"/>
    </row>
    <row r="45" spans="1:11" ht="15.75" x14ac:dyDescent="0.25">
      <c r="A45" s="248" t="s">
        <v>26</v>
      </c>
      <c r="B45" s="471" t="s">
        <v>740</v>
      </c>
      <c r="C45" s="472"/>
      <c r="D45" s="474"/>
      <c r="E45" s="474"/>
      <c r="F45" s="475"/>
      <c r="G45" s="469"/>
      <c r="H45" s="470"/>
      <c r="I45" s="245"/>
      <c r="J45" s="245"/>
      <c r="K45" s="245"/>
    </row>
    <row r="46" spans="1:11" ht="15.75" x14ac:dyDescent="0.25">
      <c r="A46" s="248" t="s">
        <v>27</v>
      </c>
      <c r="B46" s="476" t="s">
        <v>741</v>
      </c>
      <c r="C46" s="472"/>
      <c r="D46" s="472"/>
      <c r="E46" s="472"/>
      <c r="F46" s="473"/>
      <c r="G46" s="469"/>
      <c r="H46" s="470"/>
      <c r="I46" s="245"/>
      <c r="J46" s="245"/>
      <c r="K46" s="245"/>
    </row>
    <row r="47" spans="1:11" ht="15.75" x14ac:dyDescent="0.25">
      <c r="A47" s="248" t="s">
        <v>28</v>
      </c>
      <c r="B47" s="471" t="s">
        <v>742</v>
      </c>
      <c r="C47" s="472"/>
      <c r="D47" s="472"/>
      <c r="E47" s="472"/>
      <c r="F47" s="473"/>
      <c r="G47" s="469"/>
      <c r="H47" s="470"/>
      <c r="I47" s="245"/>
      <c r="J47" s="245"/>
      <c r="K47" s="245"/>
    </row>
    <row r="48" spans="1:11" ht="15.75" thickBot="1" x14ac:dyDescent="0.25">
      <c r="A48" s="459"/>
      <c r="B48" s="460"/>
      <c r="C48" s="460"/>
      <c r="D48" s="460"/>
      <c r="E48" s="460"/>
      <c r="F48" s="460"/>
      <c r="G48" s="460"/>
      <c r="H48" s="461"/>
      <c r="I48" s="245"/>
      <c r="J48" s="245"/>
      <c r="K48" s="245"/>
    </row>
    <row r="49" spans="1:11" ht="15" x14ac:dyDescent="0.2">
      <c r="A49" s="245"/>
      <c r="B49" s="245"/>
      <c r="C49" s="245"/>
      <c r="D49" s="245"/>
      <c r="E49" s="245"/>
      <c r="F49" s="245"/>
      <c r="G49" s="245"/>
      <c r="H49" s="245"/>
      <c r="I49" s="245"/>
      <c r="J49" s="245"/>
      <c r="K49" s="245"/>
    </row>
    <row r="50" spans="1:11" ht="15" x14ac:dyDescent="0.2">
      <c r="A50" s="245"/>
      <c r="B50" s="245"/>
      <c r="C50" s="245"/>
      <c r="D50" s="245"/>
      <c r="E50" s="245"/>
      <c r="F50" s="245"/>
      <c r="G50" s="245"/>
      <c r="H50" s="245"/>
      <c r="I50" s="245"/>
      <c r="J50" s="245"/>
      <c r="K50" s="245"/>
    </row>
    <row r="51" spans="1:11" ht="15" x14ac:dyDescent="0.2">
      <c r="A51" s="245"/>
      <c r="B51" s="245"/>
      <c r="C51" s="245"/>
      <c r="D51" s="245"/>
      <c r="E51" s="245"/>
      <c r="F51" s="245"/>
      <c r="G51" s="245"/>
      <c r="H51" s="245"/>
      <c r="I51" s="245"/>
      <c r="J51" s="245"/>
      <c r="K51" s="245"/>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1"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85" zoomScaleNormal="85" workbookViewId="0"/>
  </sheetViews>
  <sheetFormatPr defaultColWidth="9.140625" defaultRowHeight="23.25" x14ac:dyDescent="0.35"/>
  <cols>
    <col min="1" max="1" width="6.140625" style="1" customWidth="1"/>
    <col min="2" max="2" width="10.85546875" style="1" customWidth="1"/>
    <col min="3" max="3" width="26.85546875" style="1" customWidth="1"/>
    <col min="4" max="4" width="135.85546875" style="1" customWidth="1"/>
    <col min="5" max="5" width="61.42578125" style="1" customWidth="1"/>
    <col min="6" max="6" width="27.85546875" style="1" customWidth="1"/>
    <col min="7" max="7" width="19.42578125" style="1" bestFit="1" customWidth="1"/>
    <col min="8" max="8" width="8.85546875" style="1" customWidth="1"/>
    <col min="9" max="16384" width="9.140625" style="1"/>
  </cols>
  <sheetData>
    <row r="1" spans="1:8" ht="26.25" x14ac:dyDescent="0.35">
      <c r="A1" s="1" t="s">
        <v>29</v>
      </c>
      <c r="C1" s="107" t="s">
        <v>1</v>
      </c>
      <c r="D1" s="107"/>
      <c r="E1" s="107"/>
      <c r="F1" s="107"/>
      <c r="G1" s="3"/>
      <c r="H1" s="3"/>
    </row>
    <row r="2" spans="1:8" ht="20.25" customHeight="1" x14ac:dyDescent="0.35">
      <c r="B2" s="3"/>
      <c r="C2" s="107" t="str">
        <f>IF(Tradingname=0," ",Tradingname)</f>
        <v>APT PIPELINES (NSW) PTY LIMITED</v>
      </c>
      <c r="D2" s="107"/>
      <c r="E2" s="107"/>
      <c r="F2" s="107"/>
      <c r="G2" s="3"/>
    </row>
    <row r="3" spans="1:8" ht="33.75" customHeight="1" x14ac:dyDescent="0.4">
      <c r="B3" s="3"/>
      <c r="C3" s="107" t="s">
        <v>30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88" t="s">
        <v>31</v>
      </c>
      <c r="E7" s="488"/>
      <c r="F7" s="158"/>
    </row>
    <row r="8" spans="1:8" s="3" customFormat="1" ht="25.5" x14ac:dyDescent="0.35">
      <c r="C8" s="157"/>
      <c r="D8" s="159"/>
      <c r="E8" s="159"/>
      <c r="F8" s="158"/>
    </row>
    <row r="9" spans="1:8" s="3" customFormat="1" ht="26.25" x14ac:dyDescent="0.4">
      <c r="C9" s="157"/>
      <c r="D9" s="164" t="s">
        <v>32</v>
      </c>
      <c r="E9" s="168" t="s">
        <v>33</v>
      </c>
      <c r="F9" s="158"/>
    </row>
    <row r="10" spans="1:8" s="3" customFormat="1" ht="26.25" x14ac:dyDescent="0.4">
      <c r="C10" s="157"/>
      <c r="D10" s="164"/>
      <c r="E10" s="168" t="s">
        <v>34</v>
      </c>
      <c r="F10" s="158"/>
    </row>
    <row r="11" spans="1:8" s="3" customFormat="1" ht="26.25" x14ac:dyDescent="0.4">
      <c r="C11" s="157"/>
      <c r="D11" s="164"/>
      <c r="E11" s="168" t="s">
        <v>35</v>
      </c>
      <c r="F11" s="158"/>
    </row>
    <row r="12" spans="1:8" s="3" customFormat="1" ht="25.5" x14ac:dyDescent="0.35">
      <c r="C12" s="157"/>
      <c r="D12" s="159"/>
      <c r="E12" s="159"/>
      <c r="F12" s="158"/>
    </row>
    <row r="13" spans="1:8" s="3" customFormat="1" ht="26.25" x14ac:dyDescent="0.4">
      <c r="C13" s="157"/>
      <c r="D13" s="164" t="s">
        <v>36</v>
      </c>
      <c r="E13" s="165"/>
      <c r="F13" s="158"/>
    </row>
    <row r="14" spans="1:8" s="3" customFormat="1" ht="25.5" x14ac:dyDescent="0.35">
      <c r="C14" s="157"/>
      <c r="D14" s="103"/>
      <c r="E14" s="104"/>
      <c r="F14" s="158"/>
    </row>
    <row r="15" spans="1:8" s="3" customFormat="1" ht="26.25" x14ac:dyDescent="0.4">
      <c r="C15" s="157"/>
      <c r="D15" s="164" t="s">
        <v>37</v>
      </c>
      <c r="E15" s="167" t="s">
        <v>38</v>
      </c>
      <c r="F15" s="158"/>
    </row>
    <row r="16" spans="1:8" s="3" customFormat="1" ht="26.25" x14ac:dyDescent="0.4">
      <c r="C16" s="157"/>
      <c r="D16" s="164"/>
      <c r="E16" s="167" t="s">
        <v>39</v>
      </c>
      <c r="F16" s="158"/>
    </row>
    <row r="17" spans="3:6" s="3" customFormat="1" ht="26.25" x14ac:dyDescent="0.4">
      <c r="C17" s="157"/>
      <c r="D17" s="164"/>
      <c r="E17" s="167" t="s">
        <v>40</v>
      </c>
      <c r="F17" s="158"/>
    </row>
    <row r="18" spans="3:6" s="3" customFormat="1" ht="26.25" x14ac:dyDescent="0.4">
      <c r="C18" s="157"/>
      <c r="D18" s="164"/>
      <c r="E18" s="167" t="s">
        <v>41</v>
      </c>
      <c r="F18" s="158"/>
    </row>
    <row r="19" spans="3:6" s="3" customFormat="1" ht="26.25" x14ac:dyDescent="0.4">
      <c r="C19" s="157"/>
      <c r="D19" s="164"/>
      <c r="E19" s="167" t="s">
        <v>42</v>
      </c>
      <c r="F19" s="158"/>
    </row>
    <row r="20" spans="3:6" s="3" customFormat="1" ht="25.5" customHeight="1" x14ac:dyDescent="0.35">
      <c r="C20" s="105"/>
      <c r="D20" s="103"/>
      <c r="E20" s="104"/>
      <c r="F20" s="106"/>
    </row>
    <row r="21" spans="3:6" s="3" customFormat="1" ht="25.5" customHeight="1" x14ac:dyDescent="0.4">
      <c r="C21" s="157"/>
      <c r="D21" s="164" t="s">
        <v>43</v>
      </c>
      <c r="E21" s="167" t="s">
        <v>44</v>
      </c>
      <c r="F21" s="158"/>
    </row>
    <row r="22" spans="3:6" s="3" customFormat="1" ht="25.5" customHeight="1" x14ac:dyDescent="0.4">
      <c r="C22" s="157"/>
      <c r="D22" s="164" t="s">
        <v>45</v>
      </c>
      <c r="E22" s="167" t="s">
        <v>46</v>
      </c>
      <c r="F22" s="158"/>
    </row>
    <row r="23" spans="3:6" s="3" customFormat="1" ht="25.5" customHeight="1" x14ac:dyDescent="0.4">
      <c r="C23" s="157"/>
      <c r="D23" s="164"/>
      <c r="E23" s="167" t="s">
        <v>47</v>
      </c>
      <c r="F23" s="158"/>
    </row>
    <row r="24" spans="3:6" s="3" customFormat="1" ht="25.5" customHeight="1" x14ac:dyDescent="0.4">
      <c r="C24" s="157"/>
      <c r="D24" s="164"/>
      <c r="E24" s="167" t="s">
        <v>48</v>
      </c>
      <c r="F24" s="158"/>
    </row>
    <row r="25" spans="3:6" s="3" customFormat="1" ht="25.5" x14ac:dyDescent="0.35">
      <c r="C25" s="105"/>
      <c r="D25" s="103"/>
      <c r="E25" s="104"/>
      <c r="F25" s="106"/>
    </row>
    <row r="26" spans="3:6" s="3" customFormat="1" ht="26.25" x14ac:dyDescent="0.4">
      <c r="C26" s="157"/>
      <c r="D26" s="164" t="s">
        <v>49</v>
      </c>
      <c r="E26" s="167" t="s">
        <v>50</v>
      </c>
      <c r="F26" s="158"/>
    </row>
    <row r="27" spans="3:6" s="3" customFormat="1" ht="25.5" x14ac:dyDescent="0.35">
      <c r="C27" s="105"/>
      <c r="D27" s="103"/>
      <c r="E27" s="104"/>
      <c r="F27" s="106"/>
    </row>
    <row r="28" spans="3:6" s="3" customFormat="1" ht="26.25" x14ac:dyDescent="0.4">
      <c r="C28" s="105"/>
      <c r="D28" s="164" t="s">
        <v>51</v>
      </c>
      <c r="E28" s="166"/>
      <c r="F28" s="106"/>
    </row>
    <row r="29" spans="3:6" s="3" customFormat="1" ht="25.5" x14ac:dyDescent="0.35">
      <c r="C29" s="105"/>
      <c r="D29" s="103"/>
      <c r="E29" s="104"/>
      <c r="F29" s="106"/>
    </row>
    <row r="30" spans="3:6" s="3" customFormat="1" ht="26.25" x14ac:dyDescent="0.4">
      <c r="C30" s="157"/>
      <c r="D30" s="164" t="s">
        <v>52</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9.140625" customWidth="1"/>
    <col min="3" max="3" width="38.85546875" customWidth="1"/>
    <col min="4" max="4" width="40.140625" customWidth="1"/>
    <col min="5" max="5" width="55" customWidth="1"/>
    <col min="6" max="6" width="39.85546875" customWidth="1"/>
    <col min="7" max="7" width="38.42578125" customWidth="1"/>
    <col min="8" max="8" width="37.140625" customWidth="1"/>
  </cols>
  <sheetData>
    <row r="1" spans="1:7" ht="20.25" x14ac:dyDescent="0.2">
      <c r="A1" s="4"/>
      <c r="B1" s="146" t="s">
        <v>53</v>
      </c>
      <c r="C1" s="146"/>
    </row>
    <row r="2" spans="1:7" ht="20.25" customHeight="1" x14ac:dyDescent="0.2">
      <c r="A2" s="4"/>
      <c r="B2" s="146" t="str">
        <f>IF(Tradingname=0," ",Tradingname)</f>
        <v>APT PIPELINES (NSW) PTY LIMITED</v>
      </c>
      <c r="C2" s="146"/>
    </row>
    <row r="3" spans="1:7" ht="20.25" x14ac:dyDescent="0.3">
      <c r="B3" s="146" t="s">
        <v>30</v>
      </c>
      <c r="C3" s="110">
        <f>IF(Yearending=0, "01/01/2000", Yearending)</f>
        <v>45838</v>
      </c>
    </row>
    <row r="4" spans="1:7" ht="20.25" x14ac:dyDescent="0.2">
      <c r="B4" s="102" t="s">
        <v>33</v>
      </c>
      <c r="C4" s="102"/>
      <c r="F4" s="15"/>
      <c r="G4" s="15"/>
    </row>
    <row r="5" spans="1:7" x14ac:dyDescent="0.2">
      <c r="C5" s="15"/>
    </row>
    <row r="6" spans="1:7" ht="15.75" x14ac:dyDescent="0.25">
      <c r="B6" s="117" t="s">
        <v>54</v>
      </c>
      <c r="C6" s="116"/>
    </row>
    <row r="9" spans="1:7" x14ac:dyDescent="0.2">
      <c r="B9" s="32" t="s">
        <v>55</v>
      </c>
      <c r="C9" s="32" t="s">
        <v>56</v>
      </c>
    </row>
    <row r="10" spans="1:7" x14ac:dyDescent="0.2">
      <c r="B10" s="130" t="s">
        <v>57</v>
      </c>
      <c r="C10" s="132">
        <f>'2.1 Profit &amp; Loss by component'!$F$18</f>
        <v>5008563.0125818327</v>
      </c>
    </row>
    <row r="11" spans="1:7" x14ac:dyDescent="0.2">
      <c r="B11" s="130" t="s">
        <v>58</v>
      </c>
      <c r="C11" s="132">
        <f>'2.1 Profit &amp; Loss by component'!$F$21</f>
        <v>0</v>
      </c>
    </row>
    <row r="12" spans="1:7" x14ac:dyDescent="0.2">
      <c r="B12" s="131" t="s">
        <v>59</v>
      </c>
      <c r="C12" s="132">
        <f>'2.1 Profit &amp; Loss by component'!$F$22</f>
        <v>5008563.0125818327</v>
      </c>
    </row>
    <row r="13" spans="1:7" x14ac:dyDescent="0.2">
      <c r="B13" s="30" t="s">
        <v>60</v>
      </c>
      <c r="C13" s="132">
        <f>'2.1 Profit &amp; Loss by component'!$F$32</f>
        <v>1892453.34</v>
      </c>
    </row>
    <row r="14" spans="1:7" x14ac:dyDescent="0.2">
      <c r="B14" s="31" t="s">
        <v>61</v>
      </c>
      <c r="C14" s="132">
        <f>'2.1 Profit &amp; Loss by component'!$F$43</f>
        <v>686581.13097017456</v>
      </c>
    </row>
    <row r="15" spans="1:7" x14ac:dyDescent="0.2">
      <c r="B15" s="131" t="s">
        <v>62</v>
      </c>
      <c r="C15" s="132">
        <f>'2.1 Profit &amp; Loss by component'!$F$44</f>
        <v>2579034.4709701748</v>
      </c>
    </row>
    <row r="16" spans="1:7" x14ac:dyDescent="0.2">
      <c r="B16" s="131" t="s">
        <v>63</v>
      </c>
      <c r="C16" s="132">
        <f>'2.1 Profit &amp; Loss by component'!$F$45</f>
        <v>2429528.5416116579</v>
      </c>
    </row>
    <row r="17" spans="2:5" x14ac:dyDescent="0.2">
      <c r="B17" s="17"/>
      <c r="C17" s="17"/>
      <c r="D17" s="17"/>
      <c r="E17" s="17"/>
    </row>
    <row r="19" spans="2:5" x14ac:dyDescent="0.2">
      <c r="B19" s="32" t="s">
        <v>64</v>
      </c>
      <c r="C19" s="32" t="s">
        <v>65</v>
      </c>
    </row>
    <row r="20" spans="2:5" ht="15.75" x14ac:dyDescent="0.2">
      <c r="B20" s="93" t="s">
        <v>66</v>
      </c>
      <c r="C20" s="18">
        <f>'3.1 Depreciated Book Value'!$D$125</f>
        <v>27517933.804833617</v>
      </c>
    </row>
    <row r="21" spans="2:5" ht="15.75" x14ac:dyDescent="0.2">
      <c r="B21" s="93" t="s">
        <v>67</v>
      </c>
      <c r="C21" s="94">
        <f>IFERROR(C16/C20,0)</f>
        <v>8.8288915833677276E-2</v>
      </c>
    </row>
    <row r="22" spans="2:5" x14ac:dyDescent="0.2">
      <c r="B22" s="32" t="s">
        <v>68</v>
      </c>
      <c r="C22" s="32" t="s">
        <v>65</v>
      </c>
    </row>
    <row r="23" spans="2:5" ht="15.75" x14ac:dyDescent="0.2">
      <c r="B23" s="93" t="s">
        <v>66</v>
      </c>
      <c r="C23" s="18">
        <f>'3.2 Regulatory Asset Base'!$H$95</f>
        <v>0</v>
      </c>
    </row>
    <row r="24" spans="2:5" ht="15.75" x14ac:dyDescent="0.2">
      <c r="B24" s="93" t="s">
        <v>67</v>
      </c>
      <c r="C24" s="94">
        <f>IFERROR(C16/C23,0)</f>
        <v>0</v>
      </c>
    </row>
    <row r="25" spans="2:5" x14ac:dyDescent="0.2">
      <c r="B25" s="32" t="s">
        <v>69</v>
      </c>
      <c r="C25" s="32" t="s">
        <v>65</v>
      </c>
    </row>
    <row r="26" spans="2:5" ht="15.75" x14ac:dyDescent="0.2">
      <c r="B26" s="93" t="s">
        <v>70</v>
      </c>
      <c r="C26" s="132">
        <f>'4. Recovered Capital'!$E$29</f>
        <v>0</v>
      </c>
    </row>
    <row r="27" spans="2:5" ht="15.75" x14ac:dyDescent="0.2">
      <c r="B27" s="93" t="s">
        <v>67</v>
      </c>
      <c r="C27" s="94">
        <f>IFERROR(C16/INDEX('4. Recovered Capital'!$F$12:$BH$39,27,MATCH(VALUE(RIGHT(TEXT(C3,"dd/mm/yyyy"),4)),'4. Recovered Capital'!$F$12:$BH$12,0)),0)</f>
        <v>0</v>
      </c>
    </row>
    <row r="41" ht="27" customHeight="1" x14ac:dyDescent="0.2"/>
    <row r="48" ht="32.1" customHeight="1" x14ac:dyDescent="0.2"/>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85" zoomScaleNormal="85"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6" customWidth="1"/>
    <col min="2" max="2" width="21" style="216" customWidth="1"/>
    <col min="3" max="5" width="42.140625" style="216" customWidth="1"/>
    <col min="6" max="6" width="34.85546875" style="216" customWidth="1"/>
    <col min="7" max="7" width="44" style="216" customWidth="1"/>
    <col min="8" max="8" width="9.140625" style="216"/>
    <col min="9" max="9" width="70.85546875" style="216" customWidth="1"/>
    <col min="10" max="10" width="108.85546875" style="216" bestFit="1" customWidth="1"/>
    <col min="11" max="16384" width="9.140625" style="216"/>
  </cols>
  <sheetData>
    <row r="1" spans="2:5" ht="20.25" customHeight="1" x14ac:dyDescent="0.3">
      <c r="B1" s="146" t="s">
        <v>53</v>
      </c>
      <c r="C1" s="146"/>
      <c r="D1" s="215"/>
      <c r="E1" s="215"/>
    </row>
    <row r="2" spans="2:5" ht="20.25" x14ac:dyDescent="0.3">
      <c r="B2" s="146" t="str">
        <f>IF(Tradingname=0," ",Tradingname)</f>
        <v>APT PIPELINES (NSW) PTY LIMITED</v>
      </c>
      <c r="C2" s="146"/>
      <c r="D2" s="217"/>
    </row>
    <row r="3" spans="2:5" ht="23.1" customHeight="1" x14ac:dyDescent="0.3">
      <c r="B3" s="146" t="s">
        <v>30</v>
      </c>
      <c r="C3" s="110">
        <f>IF(Yearending=0, "01/01/2000", Yearending)</f>
        <v>45838</v>
      </c>
    </row>
    <row r="4" spans="2:5" ht="20.25" x14ac:dyDescent="0.2">
      <c r="B4" s="102" t="s">
        <v>34</v>
      </c>
      <c r="C4" s="102"/>
    </row>
    <row r="7" spans="2:5" ht="15.75" x14ac:dyDescent="0.25">
      <c r="B7" s="218" t="s">
        <v>71</v>
      </c>
    </row>
    <row r="59" spans="2:5" ht="15.75" x14ac:dyDescent="0.25">
      <c r="B59" s="218" t="s">
        <v>72</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85546875" customWidth="1"/>
    <col min="7" max="7" width="38.42578125" customWidth="1"/>
    <col min="8" max="8" width="37.140625" customWidth="1"/>
  </cols>
  <sheetData>
    <row r="1" spans="1:7" ht="20.25" x14ac:dyDescent="0.2">
      <c r="A1" s="4"/>
      <c r="B1" s="146" t="s">
        <v>53</v>
      </c>
      <c r="C1" s="146"/>
    </row>
    <row r="2" spans="1:7" ht="20.25" customHeight="1" x14ac:dyDescent="0.2">
      <c r="A2" s="4"/>
      <c r="B2" s="146" t="str">
        <f>IF(Tradingname=0," ",Tradingname)</f>
        <v>APT PIPELINES (NSW) PTY LIMITED</v>
      </c>
      <c r="C2" s="146"/>
    </row>
    <row r="3" spans="1:7" ht="20.25" x14ac:dyDescent="0.3">
      <c r="B3" s="146" t="s">
        <v>30</v>
      </c>
      <c r="C3" s="110">
        <f>IF(Yearending=0, "01/01/2000", Yearending)</f>
        <v>45838</v>
      </c>
    </row>
    <row r="4" spans="1:7" ht="20.25" x14ac:dyDescent="0.2">
      <c r="B4" s="102" t="s">
        <v>35</v>
      </c>
      <c r="C4" s="102"/>
      <c r="F4" s="15"/>
      <c r="G4" s="15"/>
    </row>
    <row r="5" spans="1:7" x14ac:dyDescent="0.2">
      <c r="C5" s="15"/>
    </row>
    <row r="6" spans="1:7" ht="15.75" x14ac:dyDescent="0.25">
      <c r="B6" s="117" t="s">
        <v>54</v>
      </c>
      <c r="C6" s="116"/>
    </row>
    <row r="9" spans="1:7" x14ac:dyDescent="0.2">
      <c r="B9" s="32" t="s">
        <v>73</v>
      </c>
      <c r="C9" s="489" t="s">
        <v>74</v>
      </c>
      <c r="D9" s="490"/>
      <c r="E9" s="491" t="s">
        <v>75</v>
      </c>
    </row>
    <row r="10" spans="1:7" x14ac:dyDescent="0.2">
      <c r="B10" s="123"/>
      <c r="C10" s="120" t="s">
        <v>76</v>
      </c>
      <c r="D10" s="120" t="s">
        <v>77</v>
      </c>
      <c r="E10" s="492"/>
    </row>
    <row r="11" spans="1:7" x14ac:dyDescent="0.2">
      <c r="B11" s="123" t="s">
        <v>78</v>
      </c>
      <c r="C11" s="149">
        <f>IFERROR('6. Pricing template'!$G37,)</f>
        <v>2.9823654085427869</v>
      </c>
      <c r="D11" s="149">
        <f>IFERROR('6. Pricing template'!$G38,)</f>
        <v>5.4358026698934339</v>
      </c>
      <c r="E11" s="150" t="s">
        <v>79</v>
      </c>
    </row>
    <row r="12" spans="1:7" ht="12.75" customHeight="1" x14ac:dyDescent="0.2">
      <c r="B12" s="123" t="s">
        <v>80</v>
      </c>
      <c r="C12" s="149">
        <f>IFERROR('6. Pricing template'!$G39,)</f>
        <v>0</v>
      </c>
      <c r="D12" s="149">
        <f>IFERROR('6. Pricing template'!$G40,)</f>
        <v>0</v>
      </c>
      <c r="E12" s="150" t="s">
        <v>79</v>
      </c>
    </row>
    <row r="13" spans="1:7" x14ac:dyDescent="0.2">
      <c r="B13" s="123" t="s">
        <v>81</v>
      </c>
      <c r="C13" s="149">
        <f>IFERROR('6. Pricing template'!$G41,)</f>
        <v>0</v>
      </c>
      <c r="D13" s="149">
        <f>IFERROR('6. Pricing template'!$G42,)</f>
        <v>0</v>
      </c>
      <c r="E13" s="150" t="s">
        <v>79</v>
      </c>
    </row>
    <row r="14" spans="1:7" x14ac:dyDescent="0.2">
      <c r="B14" s="123" t="s">
        <v>82</v>
      </c>
      <c r="C14" s="149">
        <f>IFERROR('6. Pricing template'!$G43,)</f>
        <v>0</v>
      </c>
      <c r="D14" s="149">
        <f>IFERROR('6. Pricing template'!$G44,)</f>
        <v>0</v>
      </c>
      <c r="E14" s="150" t="s">
        <v>79</v>
      </c>
    </row>
    <row r="15" spans="1:7" x14ac:dyDescent="0.2">
      <c r="B15" s="205" t="s">
        <v>83</v>
      </c>
      <c r="C15" s="149">
        <f>IFERROR('6. Pricing template'!$G45,)</f>
        <v>0</v>
      </c>
      <c r="D15" s="149">
        <f>IFERROR('6. Pricing template'!$G46,)</f>
        <v>0</v>
      </c>
      <c r="E15" s="150" t="s">
        <v>79</v>
      </c>
    </row>
    <row r="16" spans="1:7" ht="12.75" customHeight="1" x14ac:dyDescent="0.2">
      <c r="B16" s="123" t="s">
        <v>84</v>
      </c>
      <c r="C16" s="149">
        <f>IFERROR('6. Pricing template'!$G47,)</f>
        <v>0</v>
      </c>
      <c r="D16" s="149">
        <f>IFERROR('6. Pricing template'!$G48,)</f>
        <v>0</v>
      </c>
      <c r="E16" s="150" t="s">
        <v>79</v>
      </c>
    </row>
    <row r="17" spans="2:5" x14ac:dyDescent="0.2">
      <c r="B17" s="123" t="s">
        <v>85</v>
      </c>
      <c r="C17" s="149">
        <f>IFERROR('6. Pricing template'!$G49,)</f>
        <v>0</v>
      </c>
      <c r="D17" s="149">
        <f>IFERROR('6. Pricing template'!$G50,)</f>
        <v>0</v>
      </c>
      <c r="E17" s="150" t="s">
        <v>79</v>
      </c>
    </row>
    <row r="18" spans="2:5" x14ac:dyDescent="0.2">
      <c r="B18" s="123" t="s">
        <v>86</v>
      </c>
      <c r="C18" s="149">
        <f>IFERROR('6. Pricing template'!$G51,)</f>
        <v>0</v>
      </c>
      <c r="D18" s="149">
        <f>IFERROR('6. Pricing template'!$G52,)</f>
        <v>0</v>
      </c>
      <c r="E18" s="150" t="s">
        <v>87</v>
      </c>
    </row>
    <row r="19" spans="2:5" x14ac:dyDescent="0.2">
      <c r="B19" s="123" t="s">
        <v>88</v>
      </c>
      <c r="C19" s="149">
        <f>IFERROR('6. Pricing template'!$G53,)</f>
        <v>0</v>
      </c>
      <c r="D19" s="149">
        <f>IFERROR('6. Pricing template'!$G54,)</f>
        <v>0</v>
      </c>
      <c r="E19" s="150" t="s">
        <v>89</v>
      </c>
    </row>
    <row r="20" spans="2:5" x14ac:dyDescent="0.2">
      <c r="B20" s="123" t="s">
        <v>90</v>
      </c>
      <c r="C20" s="149">
        <f>IFERROR('6. Pricing template'!$G55,)</f>
        <v>0</v>
      </c>
      <c r="D20" s="149">
        <f>IFERROR('6. Pricing template'!$G56,)</f>
        <v>0</v>
      </c>
      <c r="E20" s="150"/>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4" width="42.85546875" style="4" customWidth="1"/>
    <col min="5" max="5" width="10.85546875" style="4" customWidth="1"/>
    <col min="6" max="8" width="19.85546875" style="4" customWidth="1"/>
    <col min="9" max="9" width="18.140625" style="4" customWidth="1"/>
    <col min="10" max="16384" width="9.140625" style="4"/>
  </cols>
  <sheetData>
    <row r="1" spans="2:8" ht="23.1" customHeight="1" x14ac:dyDescent="0.45">
      <c r="B1" s="146" t="s">
        <v>53</v>
      </c>
      <c r="C1" s="146"/>
      <c r="D1" s="249"/>
    </row>
    <row r="2" spans="2:8" ht="20.25" x14ac:dyDescent="0.2">
      <c r="B2" s="146" t="str">
        <f>IF(Tradingname=0," ",Tradingname)</f>
        <v>APT PIPELINES (NSW) PTY LIMITED</v>
      </c>
      <c r="C2" s="146"/>
    </row>
    <row r="3" spans="2:8" ht="20.25" x14ac:dyDescent="0.3">
      <c r="B3" s="146" t="s">
        <v>30</v>
      </c>
      <c r="C3" s="110">
        <f>IF(Yearending=0, "01/01/2000", Yearending)</f>
        <v>45838</v>
      </c>
    </row>
    <row r="4" spans="2:8" ht="20.25" x14ac:dyDescent="0.2">
      <c r="B4" s="102" t="s">
        <v>91</v>
      </c>
      <c r="C4" s="102"/>
    </row>
    <row r="5" spans="2:8" ht="20.25" x14ac:dyDescent="0.3">
      <c r="B5" s="250"/>
    </row>
    <row r="6" spans="2:8" ht="20.25" x14ac:dyDescent="0.3">
      <c r="B6" s="250"/>
    </row>
    <row r="7" spans="2:8" ht="15.75" x14ac:dyDescent="0.25">
      <c r="B7" s="225" t="s">
        <v>92</v>
      </c>
    </row>
    <row r="8" spans="2:8" x14ac:dyDescent="0.2">
      <c r="B8" s="226"/>
      <c r="C8" s="227"/>
      <c r="D8" s="227"/>
      <c r="E8" s="251"/>
      <c r="F8" s="252"/>
      <c r="G8" s="253"/>
      <c r="H8" s="253"/>
    </row>
    <row r="9" spans="2:8" ht="14.1" customHeight="1" x14ac:dyDescent="0.2">
      <c r="B9" s="33" t="s">
        <v>93</v>
      </c>
      <c r="C9" s="133" t="s">
        <v>861</v>
      </c>
    </row>
    <row r="10" spans="2:8" ht="14.1" customHeight="1" x14ac:dyDescent="0.2">
      <c r="B10" s="33" t="s">
        <v>94</v>
      </c>
      <c r="C10" s="134">
        <v>255</v>
      </c>
    </row>
    <row r="11" spans="2:8" ht="14.1" customHeight="1" x14ac:dyDescent="0.2">
      <c r="B11" s="33" t="s">
        <v>95</v>
      </c>
      <c r="C11" s="80">
        <v>5</v>
      </c>
    </row>
    <row r="12" spans="2:8" ht="14.1" customHeight="1" x14ac:dyDescent="0.2">
      <c r="B12" s="33" t="s">
        <v>96</v>
      </c>
      <c r="C12" s="80" t="s">
        <v>806</v>
      </c>
    </row>
    <row r="13" spans="2:8" ht="14.1" customHeight="1" x14ac:dyDescent="0.2">
      <c r="B13" s="33" t="s">
        <v>97</v>
      </c>
      <c r="C13" s="151" t="s">
        <v>1161</v>
      </c>
    </row>
    <row r="14" spans="2:8" ht="14.1" customHeight="1" x14ac:dyDescent="0.2">
      <c r="B14" s="33" t="s">
        <v>98</v>
      </c>
      <c r="C14" s="152" t="s">
        <v>1149</v>
      </c>
    </row>
    <row r="15" spans="2:8" ht="14.1" customHeight="1" x14ac:dyDescent="0.2">
      <c r="B15" s="33" t="str">
        <f>IF(Cover!C23="Scheme pipeline", "Date opening RAB established","")</f>
        <v/>
      </c>
      <c r="C15" s="152"/>
    </row>
    <row r="16" spans="2:8" ht="14.1" customHeight="1" x14ac:dyDescent="0.2">
      <c r="B16" s="33" t="str">
        <f>IF(Cover!C23="Scheme pipeline", "Open RAB value on date established","")</f>
        <v/>
      </c>
      <c r="C16" s="79"/>
    </row>
    <row r="18" spans="2:4" ht="15.75" x14ac:dyDescent="0.25">
      <c r="B18" s="225" t="s">
        <v>99</v>
      </c>
    </row>
    <row r="20" spans="2:4" ht="51" customHeight="1" x14ac:dyDescent="0.2">
      <c r="B20" s="147" t="s">
        <v>100</v>
      </c>
      <c r="C20" s="118" t="s">
        <v>101</v>
      </c>
      <c r="D20" s="118" t="s">
        <v>102</v>
      </c>
    </row>
    <row r="21" spans="2:4" ht="14.25" x14ac:dyDescent="0.2">
      <c r="B21" s="35" t="s">
        <v>103</v>
      </c>
      <c r="C21" s="254"/>
      <c r="D21" s="254"/>
    </row>
    <row r="22" spans="2:4" x14ac:dyDescent="0.2">
      <c r="B22" s="36" t="s">
        <v>78</v>
      </c>
      <c r="C22" s="75" t="s">
        <v>743</v>
      </c>
      <c r="D22" s="75" t="s">
        <v>735</v>
      </c>
    </row>
    <row r="23" spans="2:4" x14ac:dyDescent="0.2">
      <c r="B23" s="36" t="s">
        <v>104</v>
      </c>
      <c r="C23" s="75" t="s">
        <v>735</v>
      </c>
      <c r="D23" s="75" t="s">
        <v>735</v>
      </c>
    </row>
    <row r="24" spans="2:4" ht="25.5" x14ac:dyDescent="0.2">
      <c r="B24" s="36" t="s">
        <v>81</v>
      </c>
      <c r="C24" s="75" t="s">
        <v>743</v>
      </c>
      <c r="D24" s="75" t="s">
        <v>735</v>
      </c>
    </row>
    <row r="25" spans="2:4" ht="14.25" x14ac:dyDescent="0.2">
      <c r="B25" s="37" t="s">
        <v>105</v>
      </c>
      <c r="C25" s="254"/>
      <c r="D25" s="254"/>
    </row>
    <row r="26" spans="2:4" x14ac:dyDescent="0.2">
      <c r="B26" s="38" t="s">
        <v>82</v>
      </c>
      <c r="C26" s="75" t="s">
        <v>735</v>
      </c>
      <c r="D26" s="75" t="s">
        <v>735</v>
      </c>
    </row>
    <row r="27" spans="2:4" ht="25.5" x14ac:dyDescent="0.2">
      <c r="B27" s="39" t="s">
        <v>83</v>
      </c>
      <c r="C27" s="75" t="s">
        <v>735</v>
      </c>
      <c r="D27" s="75" t="s">
        <v>735</v>
      </c>
    </row>
    <row r="28" spans="2:4" ht="14.25" x14ac:dyDescent="0.2">
      <c r="B28" s="37" t="s">
        <v>106</v>
      </c>
      <c r="C28" s="254"/>
      <c r="D28" s="254"/>
    </row>
    <row r="29" spans="2:4" x14ac:dyDescent="0.2">
      <c r="B29" s="36" t="s">
        <v>107</v>
      </c>
      <c r="C29" s="75" t="s">
        <v>735</v>
      </c>
      <c r="D29" s="75" t="s">
        <v>735</v>
      </c>
    </row>
    <row r="30" spans="2:4" x14ac:dyDescent="0.2">
      <c r="B30" s="36" t="s">
        <v>85</v>
      </c>
      <c r="C30" s="75" t="s">
        <v>735</v>
      </c>
      <c r="D30" s="75" t="s">
        <v>735</v>
      </c>
    </row>
    <row r="31" spans="2:4" ht="14.25" x14ac:dyDescent="0.2">
      <c r="B31" s="35" t="s">
        <v>108</v>
      </c>
      <c r="C31" s="254"/>
      <c r="D31" s="254"/>
    </row>
    <row r="32" spans="2:4" x14ac:dyDescent="0.2">
      <c r="B32" s="36" t="s">
        <v>86</v>
      </c>
      <c r="C32" s="75" t="s">
        <v>743</v>
      </c>
      <c r="D32" s="75" t="s">
        <v>735</v>
      </c>
    </row>
    <row r="33" spans="2:4" x14ac:dyDescent="0.2">
      <c r="B33" s="36" t="s">
        <v>88</v>
      </c>
      <c r="C33" s="75" t="s">
        <v>735</v>
      </c>
      <c r="D33" s="75" t="s">
        <v>735</v>
      </c>
    </row>
    <row r="34" spans="2:4" ht="14.25" x14ac:dyDescent="0.2">
      <c r="B34" s="35" t="s">
        <v>109</v>
      </c>
      <c r="C34" s="254"/>
      <c r="D34" s="254"/>
    </row>
    <row r="35" spans="2:4" x14ac:dyDescent="0.2">
      <c r="B35" s="322" t="s">
        <v>807</v>
      </c>
      <c r="C35" s="323" t="s">
        <v>743</v>
      </c>
      <c r="D35" s="323" t="s">
        <v>735</v>
      </c>
    </row>
    <row r="36" spans="2:4" x14ac:dyDescent="0.2">
      <c r="B36" s="76" t="s">
        <v>110</v>
      </c>
      <c r="C36" s="74"/>
      <c r="D36" s="74"/>
    </row>
    <row r="37" spans="2:4" x14ac:dyDescent="0.2">
      <c r="B37" s="76" t="s">
        <v>110</v>
      </c>
      <c r="C37" s="74"/>
      <c r="D37" s="74"/>
    </row>
    <row r="38" spans="2:4" x14ac:dyDescent="0.2">
      <c r="B38" s="76" t="s">
        <v>110</v>
      </c>
      <c r="C38" s="74"/>
      <c r="D38" s="74"/>
    </row>
    <row r="39" spans="2:4" x14ac:dyDescent="0.2">
      <c r="B39" s="76" t="s">
        <v>110</v>
      </c>
      <c r="C39" s="74"/>
      <c r="D39" s="74"/>
    </row>
    <row r="40" spans="2:4" x14ac:dyDescent="0.2">
      <c r="B40" s="76" t="s">
        <v>110</v>
      </c>
      <c r="C40" s="74"/>
      <c r="D40" s="74"/>
    </row>
    <row r="41" spans="2:4" x14ac:dyDescent="0.2">
      <c r="B41" s="76" t="s">
        <v>110</v>
      </c>
      <c r="C41" s="74"/>
      <c r="D41" s="74"/>
    </row>
    <row r="42" spans="2:4" x14ac:dyDescent="0.2">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9.140625" style="4" customWidth="1"/>
    <col min="3" max="3" width="55.85546875" style="4" customWidth="1"/>
    <col min="4" max="4" width="30.85546875" style="4" customWidth="1"/>
    <col min="5" max="5" width="55.85546875" style="4" customWidth="1"/>
    <col min="6" max="7" width="30.85546875" style="4" customWidth="1"/>
    <col min="8" max="16384" width="9.140625" style="4"/>
  </cols>
  <sheetData>
    <row r="1" spans="2:7" ht="20.25" x14ac:dyDescent="0.3">
      <c r="B1" s="146" t="s">
        <v>53</v>
      </c>
      <c r="C1" s="146"/>
      <c r="D1" s="215"/>
      <c r="E1" s="215"/>
      <c r="F1" s="215"/>
      <c r="G1" s="215"/>
    </row>
    <row r="2" spans="2:7" ht="18" customHeight="1" x14ac:dyDescent="0.45">
      <c r="B2" s="146" t="str">
        <f>IF(Tradingname=0," ",Tradingname)</f>
        <v>APT PIPELINES (NSW) PTY LIMITED</v>
      </c>
      <c r="C2" s="146"/>
      <c r="G2" s="249"/>
    </row>
    <row r="3" spans="2:7" ht="20.25" x14ac:dyDescent="0.3">
      <c r="B3" s="146" t="s">
        <v>30</v>
      </c>
      <c r="C3" s="110">
        <f>IF(Yearending=0, "01/01/2000", Yearending)</f>
        <v>45838</v>
      </c>
    </row>
    <row r="4" spans="2:7" ht="20.25" x14ac:dyDescent="0.2">
      <c r="B4" s="102" t="s">
        <v>111</v>
      </c>
      <c r="C4" s="102"/>
      <c r="E4" s="255"/>
    </row>
    <row r="7" spans="2:7" ht="15.75" x14ac:dyDescent="0.2">
      <c r="B7" s="256" t="s">
        <v>112</v>
      </c>
      <c r="C7" s="256"/>
      <c r="D7" s="202"/>
      <c r="E7" s="202"/>
      <c r="F7" s="202"/>
      <c r="G7" s="202"/>
    </row>
    <row r="8" spans="2:7" x14ac:dyDescent="0.2">
      <c r="B8" s="257"/>
      <c r="C8" s="258"/>
      <c r="D8" s="259"/>
      <c r="E8" s="202"/>
      <c r="F8" s="202"/>
      <c r="G8" s="202"/>
    </row>
    <row r="9" spans="2:7" ht="25.5" x14ac:dyDescent="0.2">
      <c r="B9" s="55" t="s">
        <v>113</v>
      </c>
      <c r="C9" s="260" t="s">
        <v>114</v>
      </c>
      <c r="D9" s="313" t="s">
        <v>56</v>
      </c>
      <c r="E9" s="260" t="s">
        <v>114</v>
      </c>
      <c r="F9" s="313" t="s">
        <v>56</v>
      </c>
      <c r="G9" s="55" t="s">
        <v>115</v>
      </c>
    </row>
    <row r="10" spans="2:7" x14ac:dyDescent="0.2">
      <c r="B10" s="261"/>
      <c r="C10" s="262"/>
      <c r="D10" s="122" t="s">
        <v>116</v>
      </c>
      <c r="E10" s="262"/>
      <c r="F10" s="122" t="s">
        <v>116</v>
      </c>
      <c r="G10" s="122" t="s">
        <v>116</v>
      </c>
    </row>
    <row r="11" spans="2:7" x14ac:dyDescent="0.2">
      <c r="B11" s="415" t="s">
        <v>1162</v>
      </c>
      <c r="C11" s="264" t="s">
        <v>117</v>
      </c>
      <c r="D11" s="122"/>
      <c r="E11" s="264" t="s">
        <v>118</v>
      </c>
      <c r="F11" s="122"/>
      <c r="G11" s="122"/>
    </row>
    <row r="12" spans="2:7" x14ac:dyDescent="0.2">
      <c r="B12" s="263"/>
      <c r="C12" s="123" t="s">
        <v>78</v>
      </c>
      <c r="D12" s="305">
        <f>IF('2.2 Allocation to services'!G13+'2.2 Allocation to services'!G25+'2.2 Allocation to services'!G37=0, ,'2.2 Allocation to services'!G13+'2.2 Allocation to services'!G25+'2.2 Allocation to services'!G37)</f>
        <v>4997184.542847475</v>
      </c>
      <c r="E12" s="123" t="s">
        <v>78</v>
      </c>
      <c r="F12" s="305">
        <f>IF('2.2 Allocation to services'!G56+'2.2 Allocation to services'!G68+'2.2 Allocation to services'!G80=0, ,'2.2 Allocation to services'!G56+'2.2 Allocation to services'!G68+'2.2 Allocation to services'!G80)</f>
        <v>2573175.4120748225</v>
      </c>
      <c r="G12" s="305">
        <f>D12-ABS(F12)</f>
        <v>2424009.1307726526</v>
      </c>
    </row>
    <row r="13" spans="2:7" x14ac:dyDescent="0.2">
      <c r="B13" s="263"/>
      <c r="C13" s="123" t="s">
        <v>80</v>
      </c>
      <c r="D13" s="305">
        <f>IF('2.2 Allocation to services'!G14+'2.2 Allocation to services'!G26+'2.2 Allocation to services'!G38=0, ,'2.2 Allocation to services'!G14+'2.2 Allocation to services'!G26+'2.2 Allocation to services'!G38)</f>
        <v>0</v>
      </c>
      <c r="E13" s="123" t="s">
        <v>80</v>
      </c>
      <c r="F13" s="305">
        <f>IF('2.2 Allocation to services'!G57+'2.2 Allocation to services'!G69+'2.2 Allocation to services'!G81=0, ,'2.2 Allocation to services'!G57+'2.2 Allocation to services'!G69+'2.2 Allocation to services'!G81)</f>
        <v>0</v>
      </c>
      <c r="G13" s="305">
        <f t="shared" ref="G13:G22" si="0">D13-ABS(F13)</f>
        <v>0</v>
      </c>
    </row>
    <row r="14" spans="2:7" x14ac:dyDescent="0.2">
      <c r="B14" s="263"/>
      <c r="C14" s="123" t="s">
        <v>81</v>
      </c>
      <c r="D14" s="305">
        <f>IF('2.2 Allocation to services'!G15+'2.2 Allocation to services'!G27+'2.2 Allocation to services'!G39=0, ,'2.2 Allocation to services'!G15+'2.2 Allocation to services'!G27+'2.2 Allocation to services'!G39)</f>
        <v>0</v>
      </c>
      <c r="E14" s="123" t="s">
        <v>81</v>
      </c>
      <c r="F14" s="305">
        <f>IF('2.2 Allocation to services'!G58+'2.2 Allocation to services'!G70+'2.2 Allocation to services'!G82=0, ,'2.2 Allocation to services'!G58+'2.2 Allocation to services'!G70+'2.2 Allocation to services'!G82)</f>
        <v>0</v>
      </c>
      <c r="G14" s="305">
        <f t="shared" si="0"/>
        <v>0</v>
      </c>
    </row>
    <row r="15" spans="2:7" x14ac:dyDescent="0.2">
      <c r="B15" s="263"/>
      <c r="C15" s="123" t="s">
        <v>82</v>
      </c>
      <c r="D15" s="305">
        <f>IF('2.2 Allocation to services'!G16+'2.2 Allocation to services'!G28+'2.2 Allocation to services'!G40=0, ,'2.2 Allocation to services'!G16+'2.2 Allocation to services'!G28+'2.2 Allocation to services'!G40)</f>
        <v>0</v>
      </c>
      <c r="E15" s="123" t="s">
        <v>82</v>
      </c>
      <c r="F15" s="305">
        <f>IF('2.2 Allocation to services'!G59+'2.2 Allocation to services'!G71+'2.2 Allocation to services'!G83=0, ,'2.2 Allocation to services'!G59+'2.2 Allocation to services'!G71+'2.2 Allocation to services'!G83)</f>
        <v>0</v>
      </c>
      <c r="G15" s="305">
        <f t="shared" si="0"/>
        <v>0</v>
      </c>
    </row>
    <row r="16" spans="2:7" x14ac:dyDescent="0.2">
      <c r="B16" s="263"/>
      <c r="C16" s="205" t="s">
        <v>83</v>
      </c>
      <c r="D16" s="305">
        <f>IF('2.2 Allocation to services'!G17+'2.2 Allocation to services'!G29+'2.2 Allocation to services'!G41=0, ,'2.2 Allocation to services'!G17+'2.2 Allocation to services'!G29+'2.2 Allocation to services'!G41)</f>
        <v>0</v>
      </c>
      <c r="E16" s="205" t="s">
        <v>83</v>
      </c>
      <c r="F16" s="305">
        <f>IF('2.2 Allocation to services'!G60+'2.2 Allocation to services'!G72+'2.2 Allocation to services'!G84=0, ,'2.2 Allocation to services'!G60+'2.2 Allocation to services'!G72+'2.2 Allocation to services'!G84)</f>
        <v>0</v>
      </c>
      <c r="G16" s="305">
        <f t="shared" si="0"/>
        <v>0</v>
      </c>
    </row>
    <row r="17" spans="2:7" x14ac:dyDescent="0.2">
      <c r="B17" s="263"/>
      <c r="C17" s="123" t="s">
        <v>84</v>
      </c>
      <c r="D17" s="305">
        <f>IF('2.2 Allocation to services'!G18+'2.2 Allocation to services'!G30+'2.2 Allocation to services'!G42=0, ,'2.2 Allocation to services'!G18+'2.2 Allocation to services'!G30+'2.2 Allocation to services'!G42)</f>
        <v>0</v>
      </c>
      <c r="E17" s="123" t="s">
        <v>84</v>
      </c>
      <c r="F17" s="305">
        <f>IF('2.2 Allocation to services'!G61+'2.2 Allocation to services'!G73+'2.2 Allocation to services'!G85=0, ,'2.2 Allocation to services'!G61+'2.2 Allocation to services'!G73+'2.2 Allocation to services'!G85)</f>
        <v>0</v>
      </c>
      <c r="G17" s="305">
        <f t="shared" si="0"/>
        <v>0</v>
      </c>
    </row>
    <row r="18" spans="2:7" x14ac:dyDescent="0.2">
      <c r="B18" s="263"/>
      <c r="C18" s="123" t="s">
        <v>85</v>
      </c>
      <c r="D18" s="305">
        <f>IF('2.2 Allocation to services'!G19+'2.2 Allocation to services'!G31+'2.2 Allocation to services'!G43=0, ,'2.2 Allocation to services'!G19+'2.2 Allocation to services'!G31+'2.2 Allocation to services'!G43)</f>
        <v>0</v>
      </c>
      <c r="E18" s="123" t="s">
        <v>85</v>
      </c>
      <c r="F18" s="305">
        <f>IF('2.2 Allocation to services'!G62+'2.2 Allocation to services'!G74+'2.2 Allocation to services'!G86=0, ,'2.2 Allocation to services'!G62+'2.2 Allocation to services'!G74+'2.2 Allocation to services'!G86)</f>
        <v>0</v>
      </c>
      <c r="G18" s="305">
        <f t="shared" si="0"/>
        <v>0</v>
      </c>
    </row>
    <row r="19" spans="2:7" x14ac:dyDescent="0.2">
      <c r="B19" s="263"/>
      <c r="C19" s="123" t="s">
        <v>86</v>
      </c>
      <c r="D19" s="305">
        <f>IF('2.2 Allocation to services'!G20+'2.2 Allocation to services'!G32+'2.2 Allocation to services'!G44=0, ,'2.2 Allocation to services'!G20+'2.2 Allocation to services'!G32+'2.2 Allocation to services'!G44)</f>
        <v>11378.469734357383</v>
      </c>
      <c r="E19" s="123" t="s">
        <v>86</v>
      </c>
      <c r="F19" s="305">
        <f>IF('2.2 Allocation to services'!G63+'2.2 Allocation to services'!G75+'2.2 Allocation to services'!G87=0, ,'2.2 Allocation to services'!G63+'2.2 Allocation to services'!G75+'2.2 Allocation to services'!G87)</f>
        <v>5859.0588953519873</v>
      </c>
      <c r="G19" s="305">
        <f t="shared" si="0"/>
        <v>5519.4108390053952</v>
      </c>
    </row>
    <row r="20" spans="2:7" x14ac:dyDescent="0.2">
      <c r="B20" s="263"/>
      <c r="C20" s="123" t="s">
        <v>88</v>
      </c>
      <c r="D20" s="305">
        <f>IF('2.2 Allocation to services'!G21+'2.2 Allocation to services'!G33+'2.2 Allocation to services'!G45=0, ,'2.2 Allocation to services'!G21+'2.2 Allocation to services'!G33+'2.2 Allocation to services'!G45)</f>
        <v>0</v>
      </c>
      <c r="E20" s="123" t="s">
        <v>88</v>
      </c>
      <c r="F20" s="305">
        <f>IF('2.2 Allocation to services'!G64+'2.2 Allocation to services'!G76+'2.2 Allocation to services'!G88=0, ,'2.2 Allocation to services'!G64+'2.2 Allocation to services'!G76+'2.2 Allocation to services'!G88)</f>
        <v>0</v>
      </c>
      <c r="G20" s="305">
        <f t="shared" si="0"/>
        <v>0</v>
      </c>
    </row>
    <row r="21" spans="2:7" x14ac:dyDescent="0.2">
      <c r="B21" s="263"/>
      <c r="C21" s="123" t="s">
        <v>90</v>
      </c>
      <c r="D21" s="305">
        <f>IF('2.2 Allocation to services'!G22+'2.2 Allocation to services'!G34+'2.2 Allocation to services'!G46=0, ,'2.2 Allocation to services'!G22+'2.2 Allocation to services'!G34+'2.2 Allocation to services'!G46)</f>
        <v>0</v>
      </c>
      <c r="E21" s="123" t="s">
        <v>90</v>
      </c>
      <c r="F21" s="305">
        <f>IF('2.2 Allocation to services'!G65+'2.2 Allocation to services'!G77+'2.2 Allocation to services'!G89=0, ,'2.2 Allocation to services'!G65+'2.2 Allocation to services'!G77+'2.2 Allocation to services'!G89)</f>
        <v>0</v>
      </c>
      <c r="G21" s="305">
        <f t="shared" si="0"/>
        <v>0</v>
      </c>
    </row>
    <row r="22" spans="2:7" x14ac:dyDescent="0.2">
      <c r="B22" s="263"/>
      <c r="C22" s="265" t="s">
        <v>119</v>
      </c>
      <c r="D22" s="305">
        <f t="array" ref="D22">SUM(IF(ISNA(D12:D21),0,D12:D21))</f>
        <v>5008563.0125818327</v>
      </c>
      <c r="E22" s="265" t="s">
        <v>120</v>
      </c>
      <c r="F22" s="305">
        <f t="array" ref="F22">SUM(IF(ISNA(F12:F21),0,F12:F21))</f>
        <v>2579034.4709701743</v>
      </c>
      <c r="G22" s="305">
        <f t="shared" si="0"/>
        <v>2429528.5416116584</v>
      </c>
    </row>
  </sheetData>
  <sheetProtection sheet="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85546875" style="4" customWidth="1"/>
    <col min="10" max="16384" width="9.140625" style="4"/>
  </cols>
  <sheetData>
    <row r="1" spans="2:9" ht="20.25" x14ac:dyDescent="0.2">
      <c r="B1" s="146" t="s">
        <v>53</v>
      </c>
      <c r="C1" s="146"/>
    </row>
    <row r="2" spans="2:9" ht="20.25" customHeight="1" x14ac:dyDescent="0.2">
      <c r="B2" s="146" t="str">
        <f>IF(Tradingname=0," ",Tradingname)</f>
        <v>APT PIPELINES (NSW) PTY LIMITED</v>
      </c>
      <c r="C2" s="146"/>
    </row>
    <row r="3" spans="2:9" ht="20.25" x14ac:dyDescent="0.3">
      <c r="B3" s="146" t="s">
        <v>30</v>
      </c>
      <c r="C3" s="110">
        <f>IF(Yearending=0, "01/01/2000", Yearending)</f>
        <v>45838</v>
      </c>
    </row>
    <row r="4" spans="2:9" ht="20.25" x14ac:dyDescent="0.2">
      <c r="B4" s="102" t="s">
        <v>121</v>
      </c>
      <c r="C4" s="102"/>
    </row>
    <row r="7" spans="2:9" ht="21" customHeight="1" x14ac:dyDescent="0.2">
      <c r="B7" s="256" t="s">
        <v>122</v>
      </c>
    </row>
    <row r="8" spans="2:9" x14ac:dyDescent="0.2">
      <c r="B8" s="226"/>
      <c r="C8" s="266"/>
    </row>
    <row r="9" spans="2:9" ht="21" customHeight="1" x14ac:dyDescent="0.2">
      <c r="B9" s="493" t="s">
        <v>123</v>
      </c>
      <c r="C9" s="494"/>
      <c r="D9" s="494"/>
      <c r="E9" s="494"/>
      <c r="F9" s="494"/>
      <c r="G9" s="495" t="s">
        <v>124</v>
      </c>
      <c r="H9" s="496"/>
      <c r="I9" s="496"/>
    </row>
    <row r="10" spans="2:9" ht="51" customHeight="1" x14ac:dyDescent="0.2">
      <c r="B10" s="40" t="s">
        <v>113</v>
      </c>
      <c r="C10" s="34" t="s">
        <v>114</v>
      </c>
      <c r="D10" s="313" t="s">
        <v>125</v>
      </c>
      <c r="E10" s="313" t="s">
        <v>126</v>
      </c>
      <c r="F10" s="41" t="s">
        <v>56</v>
      </c>
      <c r="G10" s="313" t="s">
        <v>125</v>
      </c>
      <c r="H10" s="313" t="s">
        <v>126</v>
      </c>
      <c r="I10" s="41" t="s">
        <v>56</v>
      </c>
    </row>
    <row r="11" spans="2:9" x14ac:dyDescent="0.2">
      <c r="B11" s="40"/>
      <c r="C11" s="34"/>
      <c r="D11" s="42" t="s">
        <v>116</v>
      </c>
      <c r="E11" s="42" t="s">
        <v>116</v>
      </c>
      <c r="F11" s="42" t="s">
        <v>116</v>
      </c>
      <c r="G11" s="42" t="s">
        <v>116</v>
      </c>
      <c r="H11" s="42" t="s">
        <v>116</v>
      </c>
      <c r="I11" s="42" t="s">
        <v>116</v>
      </c>
    </row>
    <row r="12" spans="2:9" x14ac:dyDescent="0.2">
      <c r="B12" s="423" t="s">
        <v>1150</v>
      </c>
      <c r="C12" s="118" t="s">
        <v>127</v>
      </c>
      <c r="D12" s="42"/>
      <c r="E12" s="42"/>
      <c r="F12" s="42"/>
      <c r="G12" s="42"/>
      <c r="H12" s="42"/>
      <c r="I12" s="42"/>
    </row>
    <row r="13" spans="2:9" x14ac:dyDescent="0.2">
      <c r="B13" s="423" t="s">
        <v>1150</v>
      </c>
      <c r="C13" s="127" t="s">
        <v>128</v>
      </c>
      <c r="D13" s="77">
        <v>5007506.7000000011</v>
      </c>
      <c r="E13" s="77">
        <v>0</v>
      </c>
      <c r="F13" s="101">
        <f>SUM(D13:E13)</f>
        <v>5007506.7000000011</v>
      </c>
      <c r="G13" s="77">
        <v>4977231.7800000012</v>
      </c>
      <c r="H13" s="77">
        <v>0</v>
      </c>
      <c r="I13" s="101">
        <f>SUM(G13:H13)</f>
        <v>4977231.7800000012</v>
      </c>
    </row>
    <row r="14" spans="2:9" x14ac:dyDescent="0.2">
      <c r="B14" s="423" t="s">
        <v>1150</v>
      </c>
      <c r="C14" s="127" t="s">
        <v>129</v>
      </c>
      <c r="D14" s="101">
        <f>'2.3 Revenue contributions '!C17</f>
        <v>0</v>
      </c>
      <c r="E14" s="101">
        <f>'2.3 Revenue contributions '!D17</f>
        <v>0</v>
      </c>
      <c r="F14" s="101">
        <f>SUM(D14:E14)</f>
        <v>0</v>
      </c>
      <c r="G14" s="77">
        <v>0</v>
      </c>
      <c r="H14" s="77">
        <v>0</v>
      </c>
      <c r="I14" s="101">
        <f>SUM(G14:H14)</f>
        <v>0</v>
      </c>
    </row>
    <row r="15" spans="2:9" x14ac:dyDescent="0.2">
      <c r="B15" s="423" t="s">
        <v>1150</v>
      </c>
      <c r="C15" s="127" t="s">
        <v>130</v>
      </c>
      <c r="D15" s="101">
        <f>'2.3 Revenue contributions '!D29</f>
        <v>0</v>
      </c>
      <c r="E15" s="101"/>
      <c r="F15" s="101">
        <f>SUM(D15:E15)</f>
        <v>0</v>
      </c>
      <c r="G15" s="77">
        <v>0</v>
      </c>
      <c r="H15" s="101"/>
      <c r="I15" s="101">
        <f>SUM(G15:H15)</f>
        <v>0</v>
      </c>
    </row>
    <row r="16" spans="2:9" x14ac:dyDescent="0.2">
      <c r="B16" s="423" t="s">
        <v>1150</v>
      </c>
      <c r="C16" s="127" t="s">
        <v>131</v>
      </c>
      <c r="D16" s="77">
        <v>1056.312581831382</v>
      </c>
      <c r="E16" s="77">
        <v>0</v>
      </c>
      <c r="F16" s="101">
        <f>SUM(D16:E16)</f>
        <v>1056.312581831382</v>
      </c>
      <c r="G16" s="77">
        <v>93.818645257078444</v>
      </c>
      <c r="H16" s="77">
        <v>0</v>
      </c>
      <c r="I16" s="101">
        <f>SUM(G16:H16)</f>
        <v>93.818645257078444</v>
      </c>
    </row>
    <row r="17" spans="2:9" x14ac:dyDescent="0.2">
      <c r="B17" s="423" t="s">
        <v>1150</v>
      </c>
      <c r="C17" s="127" t="s">
        <v>132</v>
      </c>
      <c r="D17" s="77">
        <v>0</v>
      </c>
      <c r="E17" s="77">
        <v>0</v>
      </c>
      <c r="F17" s="101">
        <f>SUM(D17:E17)</f>
        <v>0</v>
      </c>
      <c r="G17" s="77">
        <v>0</v>
      </c>
      <c r="H17" s="77">
        <v>0</v>
      </c>
      <c r="I17" s="101">
        <f>SUM(G17:H17)</f>
        <v>0</v>
      </c>
    </row>
    <row r="18" spans="2:9" x14ac:dyDescent="0.2">
      <c r="B18" s="423"/>
      <c r="C18" s="128" t="s">
        <v>133</v>
      </c>
      <c r="D18" s="101">
        <f t="shared" ref="D18:I18" si="0">SUM(D13:D17)</f>
        <v>5008563.0125818327</v>
      </c>
      <c r="E18" s="101">
        <f t="shared" si="0"/>
        <v>0</v>
      </c>
      <c r="F18" s="101">
        <f t="shared" si="0"/>
        <v>5008563.0125818327</v>
      </c>
      <c r="G18" s="101">
        <f t="shared" si="0"/>
        <v>4977325.5986452587</v>
      </c>
      <c r="H18" s="101">
        <f t="shared" si="0"/>
        <v>0</v>
      </c>
      <c r="I18" s="101">
        <f t="shared" si="0"/>
        <v>4977325.5986452587</v>
      </c>
    </row>
    <row r="19" spans="2:9" x14ac:dyDescent="0.2">
      <c r="B19" s="423"/>
      <c r="C19" s="44" t="s">
        <v>134</v>
      </c>
      <c r="D19" s="42"/>
      <c r="E19" s="42"/>
      <c r="F19" s="42"/>
      <c r="G19" s="42"/>
      <c r="H19" s="42"/>
      <c r="I19" s="42"/>
    </row>
    <row r="20" spans="2:9" x14ac:dyDescent="0.2">
      <c r="B20" s="423"/>
      <c r="C20" s="127" t="s">
        <v>135</v>
      </c>
      <c r="D20" s="101">
        <f>'2.4 Indirect revenue'!G42</f>
        <v>0</v>
      </c>
      <c r="E20" s="101">
        <f>'2.4 Indirect revenue'!H42</f>
        <v>0</v>
      </c>
      <c r="F20" s="101">
        <f>SUM(D20:E20)</f>
        <v>0</v>
      </c>
      <c r="G20" s="77">
        <v>0</v>
      </c>
      <c r="H20" s="77">
        <v>0</v>
      </c>
      <c r="I20" s="101">
        <f>SUM(G20:H20)</f>
        <v>0</v>
      </c>
    </row>
    <row r="21" spans="2:9" x14ac:dyDescent="0.2">
      <c r="B21" s="423"/>
      <c r="C21" s="128" t="s">
        <v>136</v>
      </c>
      <c r="D21" s="101">
        <f t="shared" ref="D21:I21" si="1">SUM(D20)</f>
        <v>0</v>
      </c>
      <c r="E21" s="101">
        <f t="shared" si="1"/>
        <v>0</v>
      </c>
      <c r="F21" s="101">
        <f t="shared" si="1"/>
        <v>0</v>
      </c>
      <c r="G21" s="101">
        <f t="shared" si="1"/>
        <v>0</v>
      </c>
      <c r="H21" s="101">
        <f t="shared" si="1"/>
        <v>0</v>
      </c>
      <c r="I21" s="101">
        <f t="shared" si="1"/>
        <v>0</v>
      </c>
    </row>
    <row r="22" spans="2:9" x14ac:dyDescent="0.2">
      <c r="B22" s="423"/>
      <c r="C22" s="128" t="s">
        <v>137</v>
      </c>
      <c r="D22" s="101">
        <f>D18+D21</f>
        <v>5008563.0125818327</v>
      </c>
      <c r="E22" s="101">
        <f>E21+E18</f>
        <v>0</v>
      </c>
      <c r="F22" s="101">
        <f>F18+F21</f>
        <v>5008563.0125818327</v>
      </c>
      <c r="G22" s="101">
        <f>G18+G21</f>
        <v>4977325.5986452587</v>
      </c>
      <c r="H22" s="101">
        <f>H18+H21</f>
        <v>0</v>
      </c>
      <c r="I22" s="101">
        <f>I18+I21</f>
        <v>4977325.5986452587</v>
      </c>
    </row>
    <row r="23" spans="2:9" x14ac:dyDescent="0.2">
      <c r="B23" s="423"/>
      <c r="C23" s="44" t="s">
        <v>138</v>
      </c>
      <c r="D23" s="42"/>
      <c r="E23" s="42"/>
      <c r="F23" s="42"/>
      <c r="G23" s="42"/>
      <c r="H23" s="42"/>
      <c r="I23" s="42"/>
    </row>
    <row r="24" spans="2:9" x14ac:dyDescent="0.2">
      <c r="B24" s="423" t="s">
        <v>1150</v>
      </c>
      <c r="C24" s="30" t="s">
        <v>139</v>
      </c>
      <c r="D24" s="77">
        <v>0</v>
      </c>
      <c r="E24" s="77">
        <v>0</v>
      </c>
      <c r="F24" s="101">
        <f t="shared" ref="F24:F31" si="2">SUM(D24:E24)</f>
        <v>0</v>
      </c>
      <c r="G24" s="77">
        <v>0</v>
      </c>
      <c r="H24" s="77">
        <v>0</v>
      </c>
      <c r="I24" s="101">
        <f t="shared" ref="I24:I31" si="3">SUM(G24:H24)</f>
        <v>0</v>
      </c>
    </row>
    <row r="25" spans="2:9" x14ac:dyDescent="0.2">
      <c r="B25" s="423" t="s">
        <v>1150</v>
      </c>
      <c r="C25" s="30" t="s">
        <v>140</v>
      </c>
      <c r="D25" s="77">
        <v>567238.5</v>
      </c>
      <c r="E25" s="77">
        <v>0</v>
      </c>
      <c r="F25" s="101">
        <f t="shared" si="2"/>
        <v>567238.5</v>
      </c>
      <c r="G25" s="77">
        <v>466933.46563347365</v>
      </c>
      <c r="H25" s="77">
        <v>0</v>
      </c>
      <c r="I25" s="101">
        <f t="shared" si="3"/>
        <v>466933.46563347365</v>
      </c>
    </row>
    <row r="26" spans="2:9" x14ac:dyDescent="0.2">
      <c r="B26" s="423" t="s">
        <v>1150</v>
      </c>
      <c r="C26" s="30" t="s">
        <v>141</v>
      </c>
      <c r="D26" s="77">
        <v>1042589.93</v>
      </c>
      <c r="E26" s="77">
        <v>0</v>
      </c>
      <c r="F26" s="101">
        <f t="shared" si="2"/>
        <v>1042589.93</v>
      </c>
      <c r="G26" s="77">
        <v>921373.48</v>
      </c>
      <c r="H26" s="77">
        <v>0</v>
      </c>
      <c r="I26" s="101">
        <f t="shared" si="3"/>
        <v>921373.48</v>
      </c>
    </row>
    <row r="27" spans="2:9" x14ac:dyDescent="0.2">
      <c r="B27" s="423" t="s">
        <v>1150</v>
      </c>
      <c r="C27" s="30" t="s">
        <v>142</v>
      </c>
      <c r="D27" s="77">
        <v>0</v>
      </c>
      <c r="E27" s="77">
        <v>0</v>
      </c>
      <c r="F27" s="101">
        <f t="shared" si="2"/>
        <v>0</v>
      </c>
      <c r="G27" s="77">
        <v>0</v>
      </c>
      <c r="H27" s="77">
        <v>0</v>
      </c>
      <c r="I27" s="101">
        <f t="shared" si="3"/>
        <v>0</v>
      </c>
    </row>
    <row r="28" spans="2:9" x14ac:dyDescent="0.2">
      <c r="B28" s="418" t="s">
        <v>1150</v>
      </c>
      <c r="C28" s="30" t="s">
        <v>143</v>
      </c>
      <c r="D28" s="77">
        <v>29994</v>
      </c>
      <c r="E28" s="77">
        <v>0</v>
      </c>
      <c r="F28" s="101">
        <f t="shared" si="2"/>
        <v>29994</v>
      </c>
      <c r="G28" s="77">
        <v>21497</v>
      </c>
      <c r="H28" s="77">
        <v>0</v>
      </c>
      <c r="I28" s="101">
        <f t="shared" si="3"/>
        <v>21497</v>
      </c>
    </row>
    <row r="29" spans="2:9" x14ac:dyDescent="0.2">
      <c r="B29" s="418" t="s">
        <v>1150</v>
      </c>
      <c r="C29" s="30" t="s">
        <v>144</v>
      </c>
      <c r="D29" s="77">
        <v>0</v>
      </c>
      <c r="E29" s="77">
        <v>0</v>
      </c>
      <c r="F29" s="101">
        <f t="shared" si="2"/>
        <v>0</v>
      </c>
      <c r="G29" s="77">
        <v>6.5</v>
      </c>
      <c r="H29" s="77">
        <v>0</v>
      </c>
      <c r="I29" s="101">
        <f t="shared" si="3"/>
        <v>6.5</v>
      </c>
    </row>
    <row r="30" spans="2:9" x14ac:dyDescent="0.2">
      <c r="B30" s="418" t="s">
        <v>1150</v>
      </c>
      <c r="C30" s="30" t="s">
        <v>145</v>
      </c>
      <c r="D30" s="77">
        <v>10658.15</v>
      </c>
      <c r="E30" s="77">
        <v>0</v>
      </c>
      <c r="F30" s="101">
        <f t="shared" si="2"/>
        <v>10658.15</v>
      </c>
      <c r="G30" s="77">
        <v>0</v>
      </c>
      <c r="H30" s="77">
        <v>0</v>
      </c>
      <c r="I30" s="101">
        <f t="shared" si="3"/>
        <v>0</v>
      </c>
    </row>
    <row r="31" spans="2:9" x14ac:dyDescent="0.2">
      <c r="B31" s="418" t="s">
        <v>1150</v>
      </c>
      <c r="C31" s="45" t="s">
        <v>146</v>
      </c>
      <c r="D31" s="77">
        <v>241972.75999999998</v>
      </c>
      <c r="E31" s="77">
        <v>0</v>
      </c>
      <c r="F31" s="101">
        <f t="shared" si="2"/>
        <v>241972.75999999998</v>
      </c>
      <c r="G31" s="77">
        <v>137702.19999999998</v>
      </c>
      <c r="H31" s="77">
        <v>0</v>
      </c>
      <c r="I31" s="101">
        <f t="shared" si="3"/>
        <v>137702.19999999998</v>
      </c>
    </row>
    <row r="32" spans="2:9" x14ac:dyDescent="0.2">
      <c r="B32" s="424"/>
      <c r="C32" s="98" t="s">
        <v>147</v>
      </c>
      <c r="D32" s="101">
        <f t="shared" ref="D32:I32" si="4">SUM(D24:D31)</f>
        <v>1892453.34</v>
      </c>
      <c r="E32" s="101">
        <f t="shared" si="4"/>
        <v>0</v>
      </c>
      <c r="F32" s="101">
        <f>SUM(F24:F31)</f>
        <v>1892453.34</v>
      </c>
      <c r="G32" s="101">
        <f t="shared" si="4"/>
        <v>1547512.6456334735</v>
      </c>
      <c r="H32" s="101">
        <f t="shared" si="4"/>
        <v>0</v>
      </c>
      <c r="I32" s="101">
        <f t="shared" si="4"/>
        <v>1547512.6456334735</v>
      </c>
    </row>
    <row r="33" spans="2:9" x14ac:dyDescent="0.2">
      <c r="B33" s="424"/>
      <c r="C33" s="44" t="s">
        <v>148</v>
      </c>
      <c r="D33" s="42"/>
      <c r="E33" s="42"/>
      <c r="F33" s="119"/>
      <c r="G33" s="42"/>
      <c r="H33" s="42"/>
      <c r="I33" s="119"/>
    </row>
    <row r="34" spans="2:9" x14ac:dyDescent="0.2">
      <c r="B34" s="424"/>
      <c r="C34" s="30" t="s">
        <v>149</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424"/>
      <c r="C35" s="30" t="s">
        <v>150</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424"/>
      <c r="C36" s="43" t="s">
        <v>151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418" t="s">
        <v>1150</v>
      </c>
      <c r="C37" s="45" t="s">
        <v>152</v>
      </c>
      <c r="D37" s="101">
        <f>SUMIF('2.5 Shared expenses'!$C$15:$C$35,$C37,'2.5 Shared expenses'!H$15:H$35)</f>
        <v>145784.95249355969</v>
      </c>
      <c r="E37" s="101">
        <f>SUMIF('2.5 Shared expenses'!$C$15:$C$35,$C37,'2.5 Shared expenses'!I$15:I$35)</f>
        <v>0</v>
      </c>
      <c r="F37" s="101">
        <f t="shared" si="5"/>
        <v>145784.95249355969</v>
      </c>
      <c r="G37" s="77">
        <v>111038.61807536705</v>
      </c>
      <c r="H37" s="77">
        <v>0</v>
      </c>
      <c r="I37" s="101">
        <f t="shared" si="6"/>
        <v>111038.61807536705</v>
      </c>
    </row>
    <row r="38" spans="2:9" x14ac:dyDescent="0.2">
      <c r="B38" s="424"/>
      <c r="C38" s="45" t="s">
        <v>153</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424"/>
      <c r="C39" s="43" t="s">
        <v>154</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424"/>
      <c r="C40" s="43" t="s">
        <v>155</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424"/>
      <c r="C41" s="43" t="s">
        <v>156</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418" t="s">
        <v>1150</v>
      </c>
      <c r="C42" s="45" t="s">
        <v>157</v>
      </c>
      <c r="D42" s="101">
        <f>SUMIF('2.5 Shared expenses'!$C$15:$C$35,$C42,'2.5 Shared expenses'!H$15:H$35)</f>
        <v>540796.17847661488</v>
      </c>
      <c r="E42" s="101">
        <f>SUMIF('2.5 Shared expenses'!$C$15:$C$35,$C42,'2.5 Shared expenses'!I$15:I$35)</f>
        <v>0</v>
      </c>
      <c r="F42" s="101">
        <f t="shared" si="5"/>
        <v>540796.17847661488</v>
      </c>
      <c r="G42" s="77">
        <v>616434.15617300151</v>
      </c>
      <c r="H42" s="77">
        <v>0</v>
      </c>
      <c r="I42" s="101">
        <f t="shared" si="6"/>
        <v>616434.15617300151</v>
      </c>
    </row>
    <row r="43" spans="2:9" x14ac:dyDescent="0.2">
      <c r="B43" s="292"/>
      <c r="C43" s="98" t="s">
        <v>158</v>
      </c>
      <c r="D43" s="101">
        <f t="shared" ref="D43:I43" si="7">SUM(D34:D42)</f>
        <v>686581.13097017456</v>
      </c>
      <c r="E43" s="101">
        <f t="shared" si="7"/>
        <v>0</v>
      </c>
      <c r="F43" s="101">
        <f>SUM(F34:F42)</f>
        <v>686581.13097017456</v>
      </c>
      <c r="G43" s="101">
        <f t="shared" si="7"/>
        <v>727472.77424836857</v>
      </c>
      <c r="H43" s="101">
        <f t="shared" si="7"/>
        <v>0</v>
      </c>
      <c r="I43" s="101">
        <f t="shared" si="7"/>
        <v>727472.77424836857</v>
      </c>
    </row>
    <row r="44" spans="2:9" x14ac:dyDescent="0.2">
      <c r="B44" s="292"/>
      <c r="C44" s="98" t="s">
        <v>159</v>
      </c>
      <c r="D44" s="22">
        <f t="shared" ref="D44:I44" si="8">D43+D32</f>
        <v>2579034.4709701748</v>
      </c>
      <c r="E44" s="22">
        <f t="shared" si="8"/>
        <v>0</v>
      </c>
      <c r="F44" s="22">
        <f t="shared" si="8"/>
        <v>2579034.4709701748</v>
      </c>
      <c r="G44" s="22">
        <f t="shared" si="8"/>
        <v>2274985.4198818421</v>
      </c>
      <c r="H44" s="22">
        <f t="shared" si="8"/>
        <v>0</v>
      </c>
      <c r="I44" s="22">
        <f t="shared" si="8"/>
        <v>2274985.4198818421</v>
      </c>
    </row>
    <row r="45" spans="2:9" x14ac:dyDescent="0.2">
      <c r="B45" s="292"/>
      <c r="C45" s="148" t="s">
        <v>63</v>
      </c>
      <c r="D45" s="22">
        <f t="shared" ref="D45:I45" si="9">D22-ABS(D44)</f>
        <v>2429528.5416116579</v>
      </c>
      <c r="E45" s="22">
        <f t="shared" si="9"/>
        <v>0</v>
      </c>
      <c r="F45" s="22">
        <f t="shared" si="9"/>
        <v>2429528.5416116579</v>
      </c>
      <c r="G45" s="22">
        <f t="shared" si="9"/>
        <v>2702340.1787634166</v>
      </c>
      <c r="H45" s="22">
        <f t="shared" si="9"/>
        <v>0</v>
      </c>
      <c r="I45" s="22">
        <f t="shared" si="9"/>
        <v>2702340.1787634166</v>
      </c>
    </row>
    <row r="73" spans="2:2" ht="23.1"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52.85546875" style="4" customWidth="1"/>
    <col min="4" max="11" width="20.85546875" style="4" customWidth="1"/>
    <col min="12" max="16384" width="9.140625" style="4"/>
  </cols>
  <sheetData>
    <row r="1" spans="2:13" ht="20.25" customHeight="1" x14ac:dyDescent="0.3">
      <c r="B1" s="146" t="s">
        <v>53</v>
      </c>
      <c r="C1" s="146"/>
      <c r="D1" s="215"/>
      <c r="E1" s="215"/>
      <c r="F1" s="215"/>
      <c r="G1" s="215"/>
      <c r="H1" s="215"/>
      <c r="I1" s="215"/>
    </row>
    <row r="2" spans="2:13" ht="20.25" customHeight="1" x14ac:dyDescent="0.45">
      <c r="B2" s="146" t="str">
        <f>IF(Tradingname=0," ",Tradingname)</f>
        <v>APT PIPELINES (NSW) PTY LIMITED</v>
      </c>
      <c r="C2" s="146"/>
      <c r="I2" s="249"/>
    </row>
    <row r="3" spans="2:13" ht="20.25" customHeight="1" x14ac:dyDescent="0.3">
      <c r="B3" s="146" t="s">
        <v>30</v>
      </c>
      <c r="C3" s="110">
        <f>IF(Yearending=0, "01/01/2000", Yearending)</f>
        <v>45838</v>
      </c>
    </row>
    <row r="4" spans="2:13" ht="20.25" x14ac:dyDescent="0.2">
      <c r="B4" s="102" t="s">
        <v>160</v>
      </c>
      <c r="C4" s="102"/>
      <c r="D4" s="255"/>
      <c r="G4" s="255"/>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56" t="s">
        <v>161</v>
      </c>
      <c r="C7" s="202"/>
      <c r="D7" s="202"/>
      <c r="E7" s="202"/>
      <c r="F7" s="202"/>
      <c r="G7" s="202"/>
      <c r="H7" s="202"/>
      <c r="I7" s="202"/>
      <c r="J7" s="202"/>
      <c r="K7" s="202"/>
      <c r="L7" s="202"/>
      <c r="M7" s="202"/>
    </row>
    <row r="8" spans="2:13" x14ac:dyDescent="0.2">
      <c r="B8" s="257"/>
      <c r="C8" s="258"/>
      <c r="D8" s="259"/>
      <c r="E8" s="259"/>
      <c r="F8" s="259"/>
      <c r="G8" s="259"/>
      <c r="H8" s="259"/>
      <c r="I8" s="259"/>
      <c r="J8" s="259"/>
      <c r="K8" s="259"/>
      <c r="L8" s="202"/>
      <c r="M8" s="202"/>
    </row>
    <row r="9" spans="2:13" ht="21" customHeight="1" x14ac:dyDescent="0.2">
      <c r="B9" s="260"/>
      <c r="C9" s="260"/>
      <c r="D9" s="497" t="s">
        <v>162</v>
      </c>
      <c r="E9" s="498"/>
      <c r="F9" s="498"/>
      <c r="G9" s="499"/>
      <c r="H9" s="497" t="s">
        <v>124</v>
      </c>
      <c r="I9" s="498"/>
      <c r="J9" s="498"/>
      <c r="K9" s="499"/>
      <c r="L9" s="202"/>
      <c r="M9" s="202"/>
    </row>
    <row r="10" spans="2:13" ht="51" customHeight="1" x14ac:dyDescent="0.2">
      <c r="B10" s="55" t="s">
        <v>113</v>
      </c>
      <c r="C10" s="260" t="s">
        <v>114</v>
      </c>
      <c r="D10" s="313" t="s">
        <v>163</v>
      </c>
      <c r="E10" s="313" t="s">
        <v>125</v>
      </c>
      <c r="F10" s="313" t="s">
        <v>126</v>
      </c>
      <c r="G10" s="313" t="s">
        <v>56</v>
      </c>
      <c r="H10" s="313" t="s">
        <v>163</v>
      </c>
      <c r="I10" s="313" t="s">
        <v>125</v>
      </c>
      <c r="J10" s="313" t="s">
        <v>126</v>
      </c>
      <c r="K10" s="313" t="s">
        <v>56</v>
      </c>
      <c r="L10" s="202"/>
      <c r="M10" s="202"/>
    </row>
    <row r="11" spans="2:13" ht="15.75" customHeight="1" x14ac:dyDescent="0.2">
      <c r="B11" s="55"/>
      <c r="C11" s="260"/>
      <c r="D11" s="122" t="s">
        <v>164</v>
      </c>
      <c r="E11" s="122" t="s">
        <v>116</v>
      </c>
      <c r="F11" s="122" t="s">
        <v>116</v>
      </c>
      <c r="G11" s="122" t="s">
        <v>116</v>
      </c>
      <c r="H11" s="122" t="s">
        <v>164</v>
      </c>
      <c r="I11" s="122" t="s">
        <v>116</v>
      </c>
      <c r="J11" s="122" t="s">
        <v>116</v>
      </c>
      <c r="K11" s="122" t="s">
        <v>116</v>
      </c>
      <c r="L11" s="202"/>
      <c r="M11" s="202"/>
    </row>
    <row r="12" spans="2:13" x14ac:dyDescent="0.2">
      <c r="B12" s="199"/>
      <c r="C12" s="267" t="s">
        <v>165</v>
      </c>
      <c r="D12" s="122"/>
      <c r="E12" s="122"/>
      <c r="F12" s="122"/>
      <c r="G12" s="122"/>
      <c r="H12" s="122"/>
      <c r="I12" s="122"/>
      <c r="J12" s="122"/>
      <c r="K12" s="122"/>
      <c r="L12" s="202"/>
      <c r="M12" s="202"/>
    </row>
    <row r="13" spans="2:13" x14ac:dyDescent="0.2">
      <c r="B13" s="416" t="s">
        <v>1151</v>
      </c>
      <c r="C13" s="123" t="s">
        <v>78</v>
      </c>
      <c r="D13" s="83">
        <v>0.99772819674909263</v>
      </c>
      <c r="E13" s="268">
        <f t="shared" ref="E13:E22" si="0">D13*$E$23</f>
        <v>4997184.542847475</v>
      </c>
      <c r="F13" s="268">
        <f t="shared" ref="F13:F22" si="1">D13*$F$23</f>
        <v>0</v>
      </c>
      <c r="G13" s="124">
        <f t="shared" ref="G13:G22" si="2">SUM(E13:F13)</f>
        <v>4997184.542847475</v>
      </c>
      <c r="H13" s="83">
        <v>0.99766641769694719</v>
      </c>
      <c r="I13" s="268">
        <f t="shared" ref="I13:I22" si="3">H13*$I$23</f>
        <v>4965710.5997117283</v>
      </c>
      <c r="J13" s="268">
        <f t="shared" ref="J13:J22" si="4">H13*$J$23</f>
        <v>0</v>
      </c>
      <c r="K13" s="124">
        <f t="shared" ref="K13:K22" si="5">SUM(I13:J13)</f>
        <v>4965710.5997117283</v>
      </c>
      <c r="L13" s="202"/>
      <c r="M13" s="269"/>
    </row>
    <row r="14" spans="2:13" x14ac:dyDescent="0.2">
      <c r="B14" s="417" t="s">
        <v>1151</v>
      </c>
      <c r="C14" s="123" t="s">
        <v>80</v>
      </c>
      <c r="D14" s="83">
        <v>0</v>
      </c>
      <c r="E14" s="268">
        <f t="shared" si="0"/>
        <v>0</v>
      </c>
      <c r="F14" s="268">
        <f t="shared" si="1"/>
        <v>0</v>
      </c>
      <c r="G14" s="124">
        <f t="shared" si="2"/>
        <v>0</v>
      </c>
      <c r="H14" s="83">
        <v>0</v>
      </c>
      <c r="I14" s="268">
        <f t="shared" si="3"/>
        <v>0</v>
      </c>
      <c r="J14" s="268">
        <f t="shared" si="4"/>
        <v>0</v>
      </c>
      <c r="K14" s="124">
        <f t="shared" si="5"/>
        <v>0</v>
      </c>
      <c r="L14" s="202"/>
      <c r="M14" s="269"/>
    </row>
    <row r="15" spans="2:13" x14ac:dyDescent="0.2">
      <c r="B15" s="417" t="s">
        <v>1151</v>
      </c>
      <c r="C15" s="123" t="s">
        <v>81</v>
      </c>
      <c r="D15" s="83">
        <v>0</v>
      </c>
      <c r="E15" s="268">
        <f t="shared" si="0"/>
        <v>0</v>
      </c>
      <c r="F15" s="268">
        <f t="shared" si="1"/>
        <v>0</v>
      </c>
      <c r="G15" s="124">
        <f t="shared" si="2"/>
        <v>0</v>
      </c>
      <c r="H15" s="83">
        <v>0</v>
      </c>
      <c r="I15" s="268">
        <f t="shared" si="3"/>
        <v>0</v>
      </c>
      <c r="J15" s="268">
        <f t="shared" si="4"/>
        <v>0</v>
      </c>
      <c r="K15" s="124">
        <f t="shared" si="5"/>
        <v>0</v>
      </c>
      <c r="L15" s="202"/>
      <c r="M15" s="269"/>
    </row>
    <row r="16" spans="2:13" x14ac:dyDescent="0.2">
      <c r="B16" s="417" t="s">
        <v>1151</v>
      </c>
      <c r="C16" s="123" t="s">
        <v>82</v>
      </c>
      <c r="D16" s="83">
        <v>0</v>
      </c>
      <c r="E16" s="268">
        <f t="shared" si="0"/>
        <v>0</v>
      </c>
      <c r="F16" s="268">
        <f t="shared" si="1"/>
        <v>0</v>
      </c>
      <c r="G16" s="124">
        <f t="shared" si="2"/>
        <v>0</v>
      </c>
      <c r="H16" s="83">
        <v>0</v>
      </c>
      <c r="I16" s="268">
        <f t="shared" si="3"/>
        <v>0</v>
      </c>
      <c r="J16" s="268">
        <f t="shared" si="4"/>
        <v>0</v>
      </c>
      <c r="K16" s="124">
        <f t="shared" si="5"/>
        <v>0</v>
      </c>
      <c r="L16" s="202"/>
      <c r="M16" s="269"/>
    </row>
    <row r="17" spans="2:13" x14ac:dyDescent="0.2">
      <c r="B17" s="417" t="s">
        <v>1151</v>
      </c>
      <c r="C17" s="205" t="s">
        <v>83</v>
      </c>
      <c r="D17" s="83">
        <v>0</v>
      </c>
      <c r="E17" s="268">
        <f t="shared" si="0"/>
        <v>0</v>
      </c>
      <c r="F17" s="268">
        <f t="shared" si="1"/>
        <v>0</v>
      </c>
      <c r="G17" s="124">
        <f t="shared" si="2"/>
        <v>0</v>
      </c>
      <c r="H17" s="83">
        <v>0</v>
      </c>
      <c r="I17" s="268">
        <f t="shared" si="3"/>
        <v>0</v>
      </c>
      <c r="J17" s="268">
        <f t="shared" si="4"/>
        <v>0</v>
      </c>
      <c r="K17" s="124">
        <f t="shared" si="5"/>
        <v>0</v>
      </c>
      <c r="L17" s="202"/>
      <c r="M17" s="269"/>
    </row>
    <row r="18" spans="2:13" x14ac:dyDescent="0.2">
      <c r="B18" s="417" t="s">
        <v>1151</v>
      </c>
      <c r="C18" s="123" t="s">
        <v>84</v>
      </c>
      <c r="D18" s="83">
        <v>0</v>
      </c>
      <c r="E18" s="268">
        <f t="shared" si="0"/>
        <v>0</v>
      </c>
      <c r="F18" s="268">
        <f t="shared" si="1"/>
        <v>0</v>
      </c>
      <c r="G18" s="124">
        <f t="shared" si="2"/>
        <v>0</v>
      </c>
      <c r="H18" s="83">
        <v>0</v>
      </c>
      <c r="I18" s="268">
        <f t="shared" si="3"/>
        <v>0</v>
      </c>
      <c r="J18" s="268">
        <f t="shared" si="4"/>
        <v>0</v>
      </c>
      <c r="K18" s="124">
        <f t="shared" si="5"/>
        <v>0</v>
      </c>
      <c r="L18" s="202"/>
      <c r="M18" s="269"/>
    </row>
    <row r="19" spans="2:13" x14ac:dyDescent="0.2">
      <c r="B19" s="417" t="s">
        <v>1151</v>
      </c>
      <c r="C19" s="123" t="s">
        <v>85</v>
      </c>
      <c r="D19" s="83">
        <v>0</v>
      </c>
      <c r="E19" s="268">
        <f t="shared" si="0"/>
        <v>0</v>
      </c>
      <c r="F19" s="268">
        <f t="shared" si="1"/>
        <v>0</v>
      </c>
      <c r="G19" s="124">
        <f t="shared" si="2"/>
        <v>0</v>
      </c>
      <c r="H19" s="83">
        <v>0</v>
      </c>
      <c r="I19" s="268">
        <f t="shared" si="3"/>
        <v>0</v>
      </c>
      <c r="J19" s="268">
        <f t="shared" si="4"/>
        <v>0</v>
      </c>
      <c r="K19" s="124">
        <f t="shared" si="5"/>
        <v>0</v>
      </c>
      <c r="L19" s="202"/>
      <c r="M19" s="269"/>
    </row>
    <row r="20" spans="2:13" x14ac:dyDescent="0.2">
      <c r="B20" s="417" t="s">
        <v>1151</v>
      </c>
      <c r="C20" s="123" t="s">
        <v>86</v>
      </c>
      <c r="D20" s="83">
        <v>2.271803250907283E-3</v>
      </c>
      <c r="E20" s="268">
        <f t="shared" si="0"/>
        <v>11378.469734357383</v>
      </c>
      <c r="F20" s="268">
        <f t="shared" si="1"/>
        <v>0</v>
      </c>
      <c r="G20" s="124">
        <f t="shared" si="2"/>
        <v>11378.469734357383</v>
      </c>
      <c r="H20" s="83">
        <v>2.3335823030528023E-3</v>
      </c>
      <c r="I20" s="268">
        <f t="shared" si="3"/>
        <v>11614.998933530271</v>
      </c>
      <c r="J20" s="268">
        <f t="shared" si="4"/>
        <v>0</v>
      </c>
      <c r="K20" s="124">
        <f t="shared" si="5"/>
        <v>11614.998933530271</v>
      </c>
      <c r="L20" s="202"/>
      <c r="M20" s="269"/>
    </row>
    <row r="21" spans="2:13" x14ac:dyDescent="0.2">
      <c r="B21" s="417" t="s">
        <v>1151</v>
      </c>
      <c r="C21" s="123" t="s">
        <v>88</v>
      </c>
      <c r="D21" s="83">
        <v>0</v>
      </c>
      <c r="E21" s="268">
        <f t="shared" si="0"/>
        <v>0</v>
      </c>
      <c r="F21" s="268">
        <f t="shared" si="1"/>
        <v>0</v>
      </c>
      <c r="G21" s="124">
        <f t="shared" si="2"/>
        <v>0</v>
      </c>
      <c r="H21" s="83">
        <v>0</v>
      </c>
      <c r="I21" s="268">
        <f t="shared" si="3"/>
        <v>0</v>
      </c>
      <c r="J21" s="268">
        <f t="shared" si="4"/>
        <v>0</v>
      </c>
      <c r="K21" s="124">
        <f t="shared" si="5"/>
        <v>0</v>
      </c>
      <c r="L21" s="202"/>
      <c r="M21" s="269"/>
    </row>
    <row r="22" spans="2:13" x14ac:dyDescent="0.2">
      <c r="B22" s="417" t="s">
        <v>1151</v>
      </c>
      <c r="C22" s="123" t="s">
        <v>90</v>
      </c>
      <c r="D22" s="83">
        <v>0</v>
      </c>
      <c r="E22" s="268">
        <f t="shared" si="0"/>
        <v>0</v>
      </c>
      <c r="F22" s="268">
        <f t="shared" si="1"/>
        <v>0</v>
      </c>
      <c r="G22" s="124">
        <f t="shared" si="2"/>
        <v>0</v>
      </c>
      <c r="H22" s="83">
        <v>0</v>
      </c>
      <c r="I22" s="268">
        <f t="shared" si="3"/>
        <v>0</v>
      </c>
      <c r="J22" s="268">
        <f t="shared" si="4"/>
        <v>0</v>
      </c>
      <c r="K22" s="124">
        <f t="shared" si="5"/>
        <v>0</v>
      </c>
      <c r="L22" s="202"/>
      <c r="M22" s="269"/>
    </row>
    <row r="23" spans="2:13" x14ac:dyDescent="0.2">
      <c r="B23" s="293"/>
      <c r="C23" s="197" t="s">
        <v>166</v>
      </c>
      <c r="D23" s="129">
        <f>SUM(D13:D22)</f>
        <v>0.99999999999999989</v>
      </c>
      <c r="E23" s="125">
        <f>'2.1 Profit &amp; Loss by component'!D18-'2.1 Profit &amp; Loss by component'!D15-'2.1 Profit &amp; Loss by component'!D14</f>
        <v>5008563.0125818327</v>
      </c>
      <c r="F23" s="125">
        <f>'2.1 Profit &amp; Loss by component'!E18-'2.1 Profit &amp; Loss by component'!E14</f>
        <v>0</v>
      </c>
      <c r="G23" s="125">
        <f>SUM(G13:G22)</f>
        <v>5008563.0125818327</v>
      </c>
      <c r="H23" s="129">
        <f>SUM(H13:H22)</f>
        <v>1</v>
      </c>
      <c r="I23" s="125">
        <f>'2.1 Profit &amp; Loss by component'!G18-'2.1 Profit &amp; Loss by component'!G14-'2.1 Profit &amp; Loss by component'!G15</f>
        <v>4977325.5986452587</v>
      </c>
      <c r="J23" s="125">
        <f>'2.1 Profit &amp; Loss by component'!H18-'2.1 Profit &amp; Loss by component'!H14-'2.1 Profit &amp; Loss by component'!H15</f>
        <v>0</v>
      </c>
      <c r="K23" s="125">
        <f>SUM(K13:K22)</f>
        <v>4977325.5986452587</v>
      </c>
      <c r="L23" s="202"/>
      <c r="M23" s="202"/>
    </row>
    <row r="24" spans="2:13" x14ac:dyDescent="0.2">
      <c r="B24" s="199"/>
      <c r="C24" s="267" t="s">
        <v>167</v>
      </c>
      <c r="D24" s="122"/>
      <c r="E24" s="122"/>
      <c r="F24" s="122"/>
      <c r="G24" s="122"/>
      <c r="H24" s="122"/>
      <c r="I24" s="122"/>
      <c r="J24" s="122"/>
      <c r="K24" s="122"/>
      <c r="L24" s="202"/>
      <c r="M24" s="202"/>
    </row>
    <row r="25" spans="2:13" x14ac:dyDescent="0.2">
      <c r="B25" s="417" t="s">
        <v>1151</v>
      </c>
      <c r="C25" s="123" t="s">
        <v>78</v>
      </c>
      <c r="D25" s="83">
        <v>0</v>
      </c>
      <c r="E25" s="268">
        <f t="shared" ref="E25:F34" si="6">$D25*E$35</f>
        <v>0</v>
      </c>
      <c r="F25" s="268">
        <f t="shared" si="6"/>
        <v>0</v>
      </c>
      <c r="G25" s="124">
        <f t="shared" ref="G25:G34" si="7">SUM(E25:F25)</f>
        <v>0</v>
      </c>
      <c r="H25" s="83">
        <v>0</v>
      </c>
      <c r="I25" s="268">
        <f t="shared" ref="I25:I34" si="8">H25*$I$35</f>
        <v>0</v>
      </c>
      <c r="J25" s="268">
        <f t="shared" ref="J25:J34" si="9">H25*$J$35</f>
        <v>0</v>
      </c>
      <c r="K25" s="124">
        <f t="shared" ref="K25:K34" si="10">SUM(I25:J25)</f>
        <v>0</v>
      </c>
      <c r="L25" s="202"/>
      <c r="M25" s="202"/>
    </row>
    <row r="26" spans="2:13" x14ac:dyDescent="0.2">
      <c r="B26" s="417" t="s">
        <v>1151</v>
      </c>
      <c r="C26" s="123" t="s">
        <v>80</v>
      </c>
      <c r="D26" s="83">
        <v>0</v>
      </c>
      <c r="E26" s="268">
        <f t="shared" si="6"/>
        <v>0</v>
      </c>
      <c r="F26" s="268">
        <f t="shared" si="6"/>
        <v>0</v>
      </c>
      <c r="G26" s="124">
        <f t="shared" si="7"/>
        <v>0</v>
      </c>
      <c r="H26" s="83">
        <v>0</v>
      </c>
      <c r="I26" s="268">
        <f t="shared" si="8"/>
        <v>0</v>
      </c>
      <c r="J26" s="268">
        <f t="shared" si="9"/>
        <v>0</v>
      </c>
      <c r="K26" s="124">
        <f t="shared" si="10"/>
        <v>0</v>
      </c>
      <c r="L26" s="202"/>
      <c r="M26" s="202"/>
    </row>
    <row r="27" spans="2:13" x14ac:dyDescent="0.2">
      <c r="B27" s="417" t="s">
        <v>1151</v>
      </c>
      <c r="C27" s="123" t="s">
        <v>81</v>
      </c>
      <c r="D27" s="83">
        <v>0</v>
      </c>
      <c r="E27" s="268">
        <f t="shared" si="6"/>
        <v>0</v>
      </c>
      <c r="F27" s="268">
        <f t="shared" si="6"/>
        <v>0</v>
      </c>
      <c r="G27" s="124">
        <f t="shared" si="7"/>
        <v>0</v>
      </c>
      <c r="H27" s="83">
        <v>0</v>
      </c>
      <c r="I27" s="268">
        <f t="shared" si="8"/>
        <v>0</v>
      </c>
      <c r="J27" s="268">
        <f t="shared" si="9"/>
        <v>0</v>
      </c>
      <c r="K27" s="124">
        <f t="shared" si="10"/>
        <v>0</v>
      </c>
      <c r="L27" s="202"/>
      <c r="M27" s="202"/>
    </row>
    <row r="28" spans="2:13" ht="12.75" customHeight="1" x14ac:dyDescent="0.2">
      <c r="B28" s="417" t="s">
        <v>1151</v>
      </c>
      <c r="C28" s="123" t="s">
        <v>82</v>
      </c>
      <c r="D28" s="83">
        <v>0</v>
      </c>
      <c r="E28" s="268">
        <f t="shared" si="6"/>
        <v>0</v>
      </c>
      <c r="F28" s="268">
        <f t="shared" si="6"/>
        <v>0</v>
      </c>
      <c r="G28" s="124">
        <f t="shared" si="7"/>
        <v>0</v>
      </c>
      <c r="H28" s="83">
        <v>0</v>
      </c>
      <c r="I28" s="268">
        <f t="shared" si="8"/>
        <v>0</v>
      </c>
      <c r="J28" s="268">
        <f t="shared" si="9"/>
        <v>0</v>
      </c>
      <c r="K28" s="124">
        <f t="shared" si="10"/>
        <v>0</v>
      </c>
      <c r="L28" s="202"/>
      <c r="M28" s="202"/>
    </row>
    <row r="29" spans="2:13" ht="12.75" customHeight="1" x14ac:dyDescent="0.2">
      <c r="B29" s="417" t="s">
        <v>1151</v>
      </c>
      <c r="C29" s="205" t="s">
        <v>83</v>
      </c>
      <c r="D29" s="83">
        <v>0</v>
      </c>
      <c r="E29" s="268">
        <f t="shared" si="6"/>
        <v>0</v>
      </c>
      <c r="F29" s="268">
        <f t="shared" si="6"/>
        <v>0</v>
      </c>
      <c r="G29" s="124">
        <f t="shared" si="7"/>
        <v>0</v>
      </c>
      <c r="H29" s="83">
        <v>0</v>
      </c>
      <c r="I29" s="268">
        <f t="shared" si="8"/>
        <v>0</v>
      </c>
      <c r="J29" s="268">
        <f t="shared" si="9"/>
        <v>0</v>
      </c>
      <c r="K29" s="124">
        <f t="shared" si="10"/>
        <v>0</v>
      </c>
      <c r="L29" s="202"/>
      <c r="M29" s="202"/>
    </row>
    <row r="30" spans="2:13" x14ac:dyDescent="0.2">
      <c r="B30" s="417" t="s">
        <v>1151</v>
      </c>
      <c r="C30" s="123" t="s">
        <v>84</v>
      </c>
      <c r="D30" s="83">
        <v>0</v>
      </c>
      <c r="E30" s="268">
        <f t="shared" si="6"/>
        <v>0</v>
      </c>
      <c r="F30" s="268">
        <f t="shared" si="6"/>
        <v>0</v>
      </c>
      <c r="G30" s="124">
        <f t="shared" si="7"/>
        <v>0</v>
      </c>
      <c r="H30" s="83">
        <v>0</v>
      </c>
      <c r="I30" s="268">
        <f t="shared" si="8"/>
        <v>0</v>
      </c>
      <c r="J30" s="268">
        <f t="shared" si="9"/>
        <v>0</v>
      </c>
      <c r="K30" s="124">
        <f t="shared" si="10"/>
        <v>0</v>
      </c>
      <c r="L30" s="202"/>
      <c r="M30" s="202"/>
    </row>
    <row r="31" spans="2:13" x14ac:dyDescent="0.2">
      <c r="B31" s="417" t="s">
        <v>1151</v>
      </c>
      <c r="C31" s="123" t="s">
        <v>85</v>
      </c>
      <c r="D31" s="83">
        <v>0</v>
      </c>
      <c r="E31" s="268">
        <f t="shared" si="6"/>
        <v>0</v>
      </c>
      <c r="F31" s="268">
        <f t="shared" si="6"/>
        <v>0</v>
      </c>
      <c r="G31" s="124">
        <f t="shared" si="7"/>
        <v>0</v>
      </c>
      <c r="H31" s="83">
        <v>0</v>
      </c>
      <c r="I31" s="268">
        <f t="shared" si="8"/>
        <v>0</v>
      </c>
      <c r="J31" s="268">
        <f t="shared" si="9"/>
        <v>0</v>
      </c>
      <c r="K31" s="124">
        <f t="shared" si="10"/>
        <v>0</v>
      </c>
      <c r="L31" s="202"/>
      <c r="M31" s="202"/>
    </row>
    <row r="32" spans="2:13" x14ac:dyDescent="0.2">
      <c r="B32" s="417" t="s">
        <v>1151</v>
      </c>
      <c r="C32" s="123" t="s">
        <v>86</v>
      </c>
      <c r="D32" s="83">
        <v>0</v>
      </c>
      <c r="E32" s="268">
        <f t="shared" si="6"/>
        <v>0</v>
      </c>
      <c r="F32" s="268">
        <f t="shared" si="6"/>
        <v>0</v>
      </c>
      <c r="G32" s="124">
        <f t="shared" si="7"/>
        <v>0</v>
      </c>
      <c r="H32" s="83">
        <v>0</v>
      </c>
      <c r="I32" s="268">
        <f t="shared" si="8"/>
        <v>0</v>
      </c>
      <c r="J32" s="268">
        <f t="shared" si="9"/>
        <v>0</v>
      </c>
      <c r="K32" s="124">
        <f t="shared" si="10"/>
        <v>0</v>
      </c>
      <c r="L32" s="202"/>
      <c r="M32" s="202"/>
    </row>
    <row r="33" spans="2:13" x14ac:dyDescent="0.2">
      <c r="B33" s="417" t="s">
        <v>1151</v>
      </c>
      <c r="C33" s="123" t="s">
        <v>88</v>
      </c>
      <c r="D33" s="83">
        <v>0</v>
      </c>
      <c r="E33" s="268">
        <f t="shared" si="6"/>
        <v>0</v>
      </c>
      <c r="F33" s="268">
        <f t="shared" si="6"/>
        <v>0</v>
      </c>
      <c r="G33" s="124">
        <f t="shared" si="7"/>
        <v>0</v>
      </c>
      <c r="H33" s="83">
        <v>0</v>
      </c>
      <c r="I33" s="268">
        <f t="shared" si="8"/>
        <v>0</v>
      </c>
      <c r="J33" s="268">
        <f t="shared" si="9"/>
        <v>0</v>
      </c>
      <c r="K33" s="124">
        <f t="shared" si="10"/>
        <v>0</v>
      </c>
      <c r="L33" s="202"/>
      <c r="M33" s="202"/>
    </row>
    <row r="34" spans="2:13" x14ac:dyDescent="0.2">
      <c r="B34" s="417" t="s">
        <v>1151</v>
      </c>
      <c r="C34" s="123" t="s">
        <v>90</v>
      </c>
      <c r="D34" s="83">
        <v>0</v>
      </c>
      <c r="E34" s="268">
        <f t="shared" si="6"/>
        <v>0</v>
      </c>
      <c r="F34" s="268">
        <f t="shared" si="6"/>
        <v>0</v>
      </c>
      <c r="G34" s="124">
        <f t="shared" si="7"/>
        <v>0</v>
      </c>
      <c r="H34" s="83">
        <v>0</v>
      </c>
      <c r="I34" s="268">
        <f t="shared" si="8"/>
        <v>0</v>
      </c>
      <c r="J34" s="268">
        <f t="shared" si="9"/>
        <v>0</v>
      </c>
      <c r="K34" s="124">
        <f t="shared" si="10"/>
        <v>0</v>
      </c>
      <c r="L34" s="202"/>
      <c r="M34" s="202"/>
    </row>
    <row r="35" spans="2:13" x14ac:dyDescent="0.2">
      <c r="B35" s="293"/>
      <c r="C35" s="197"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199"/>
      <c r="C36" s="267" t="s">
        <v>58</v>
      </c>
      <c r="D36" s="122"/>
      <c r="E36" s="122"/>
      <c r="F36" s="122"/>
      <c r="G36" s="122"/>
      <c r="H36" s="122"/>
      <c r="I36" s="122"/>
      <c r="J36" s="122"/>
      <c r="K36" s="122"/>
      <c r="L36" s="202"/>
      <c r="M36" s="202"/>
    </row>
    <row r="37" spans="2:13" x14ac:dyDescent="0.2">
      <c r="B37" s="417" t="s">
        <v>1151</v>
      </c>
      <c r="C37" s="123" t="s">
        <v>78</v>
      </c>
      <c r="D37" s="83">
        <v>0</v>
      </c>
      <c r="E37" s="268">
        <f>$D37*'2.4 Indirect revenue'!$G$42</f>
        <v>0</v>
      </c>
      <c r="F37" s="268">
        <f>$D37*'2.4 Indirect revenue'!$H$42</f>
        <v>0</v>
      </c>
      <c r="G37" s="124">
        <f t="shared" ref="G37:G46" si="11">SUM(E37:F37)</f>
        <v>0</v>
      </c>
      <c r="H37" s="83">
        <v>0</v>
      </c>
      <c r="I37" s="268">
        <f t="shared" ref="I37:I46" si="12">H37*$I$47</f>
        <v>0</v>
      </c>
      <c r="J37" s="268">
        <f t="shared" ref="J37:J46" si="13">H37*$J$47</f>
        <v>0</v>
      </c>
      <c r="K37" s="124">
        <f t="shared" ref="K37:K46" si="14">SUM(I37:J37)</f>
        <v>0</v>
      </c>
      <c r="L37" s="202"/>
      <c r="M37" s="202"/>
    </row>
    <row r="38" spans="2:13" x14ac:dyDescent="0.2">
      <c r="B38" s="417" t="s">
        <v>1151</v>
      </c>
      <c r="C38" s="123" t="s">
        <v>80</v>
      </c>
      <c r="D38" s="83">
        <v>0</v>
      </c>
      <c r="E38" s="268">
        <f>$D38*'2.4 Indirect revenue'!$G$42</f>
        <v>0</v>
      </c>
      <c r="F38" s="268">
        <f>$D38*'2.4 Indirect revenue'!$H$42</f>
        <v>0</v>
      </c>
      <c r="G38" s="124">
        <f t="shared" si="11"/>
        <v>0</v>
      </c>
      <c r="H38" s="83">
        <v>0</v>
      </c>
      <c r="I38" s="268">
        <f t="shared" si="12"/>
        <v>0</v>
      </c>
      <c r="J38" s="268">
        <f t="shared" si="13"/>
        <v>0</v>
      </c>
      <c r="K38" s="124">
        <f t="shared" si="14"/>
        <v>0</v>
      </c>
      <c r="L38" s="202"/>
      <c r="M38" s="202"/>
    </row>
    <row r="39" spans="2:13" x14ac:dyDescent="0.2">
      <c r="B39" s="417" t="s">
        <v>1151</v>
      </c>
      <c r="C39" s="123" t="s">
        <v>81</v>
      </c>
      <c r="D39" s="83">
        <v>0</v>
      </c>
      <c r="E39" s="268">
        <f>$D39*'2.4 Indirect revenue'!$G$42</f>
        <v>0</v>
      </c>
      <c r="F39" s="268">
        <f>$D39*'2.4 Indirect revenue'!$H$42</f>
        <v>0</v>
      </c>
      <c r="G39" s="124">
        <f t="shared" si="11"/>
        <v>0</v>
      </c>
      <c r="H39" s="83">
        <v>0</v>
      </c>
      <c r="I39" s="268">
        <f t="shared" si="12"/>
        <v>0</v>
      </c>
      <c r="J39" s="268">
        <f t="shared" si="13"/>
        <v>0</v>
      </c>
      <c r="K39" s="124">
        <f t="shared" si="14"/>
        <v>0</v>
      </c>
      <c r="L39" s="202"/>
      <c r="M39" s="202"/>
    </row>
    <row r="40" spans="2:13" x14ac:dyDescent="0.2">
      <c r="B40" s="417" t="s">
        <v>1151</v>
      </c>
      <c r="C40" s="123" t="s">
        <v>82</v>
      </c>
      <c r="D40" s="83">
        <v>0</v>
      </c>
      <c r="E40" s="268">
        <f>$D40*'2.4 Indirect revenue'!$G$42</f>
        <v>0</v>
      </c>
      <c r="F40" s="268">
        <f>$D40*'2.4 Indirect revenue'!$H$42</f>
        <v>0</v>
      </c>
      <c r="G40" s="124">
        <f t="shared" si="11"/>
        <v>0</v>
      </c>
      <c r="H40" s="83">
        <v>0</v>
      </c>
      <c r="I40" s="268">
        <f t="shared" si="12"/>
        <v>0</v>
      </c>
      <c r="J40" s="268">
        <f t="shared" si="13"/>
        <v>0</v>
      </c>
      <c r="K40" s="124">
        <f t="shared" si="14"/>
        <v>0</v>
      </c>
      <c r="L40" s="202"/>
      <c r="M40" s="202"/>
    </row>
    <row r="41" spans="2:13" x14ac:dyDescent="0.2">
      <c r="B41" s="417" t="s">
        <v>1151</v>
      </c>
      <c r="C41" s="205" t="s">
        <v>83</v>
      </c>
      <c r="D41" s="83">
        <v>0</v>
      </c>
      <c r="E41" s="268">
        <f>$D41*'2.4 Indirect revenue'!$G$42</f>
        <v>0</v>
      </c>
      <c r="F41" s="268">
        <f>$D41*'2.4 Indirect revenue'!$H$42</f>
        <v>0</v>
      </c>
      <c r="G41" s="124">
        <f t="shared" si="11"/>
        <v>0</v>
      </c>
      <c r="H41" s="83">
        <v>0</v>
      </c>
      <c r="I41" s="268">
        <f t="shared" si="12"/>
        <v>0</v>
      </c>
      <c r="J41" s="268">
        <f t="shared" si="13"/>
        <v>0</v>
      </c>
      <c r="K41" s="124">
        <f t="shared" si="14"/>
        <v>0</v>
      </c>
      <c r="L41" s="202"/>
      <c r="M41" s="202"/>
    </row>
    <row r="42" spans="2:13" x14ac:dyDescent="0.2">
      <c r="B42" s="417" t="s">
        <v>1151</v>
      </c>
      <c r="C42" s="123" t="s">
        <v>84</v>
      </c>
      <c r="D42" s="83">
        <v>0</v>
      </c>
      <c r="E42" s="268">
        <f>$D42*'2.4 Indirect revenue'!$G$42</f>
        <v>0</v>
      </c>
      <c r="F42" s="268">
        <f>$D42*'2.4 Indirect revenue'!$H$42</f>
        <v>0</v>
      </c>
      <c r="G42" s="124">
        <f t="shared" si="11"/>
        <v>0</v>
      </c>
      <c r="H42" s="83">
        <v>0</v>
      </c>
      <c r="I42" s="268">
        <f t="shared" si="12"/>
        <v>0</v>
      </c>
      <c r="J42" s="268">
        <f t="shared" si="13"/>
        <v>0</v>
      </c>
      <c r="K42" s="124">
        <f t="shared" si="14"/>
        <v>0</v>
      </c>
      <c r="L42" s="202"/>
      <c r="M42" s="202"/>
    </row>
    <row r="43" spans="2:13" x14ac:dyDescent="0.2">
      <c r="B43" s="417" t="s">
        <v>1151</v>
      </c>
      <c r="C43" s="123" t="s">
        <v>85</v>
      </c>
      <c r="D43" s="83">
        <v>0</v>
      </c>
      <c r="E43" s="268">
        <f>$D43*'2.4 Indirect revenue'!$G$42</f>
        <v>0</v>
      </c>
      <c r="F43" s="268">
        <f>$D43*'2.4 Indirect revenue'!$H$42</f>
        <v>0</v>
      </c>
      <c r="G43" s="124">
        <f t="shared" si="11"/>
        <v>0</v>
      </c>
      <c r="H43" s="83">
        <v>0</v>
      </c>
      <c r="I43" s="268">
        <f t="shared" si="12"/>
        <v>0</v>
      </c>
      <c r="J43" s="268">
        <f t="shared" si="13"/>
        <v>0</v>
      </c>
      <c r="K43" s="124">
        <f t="shared" si="14"/>
        <v>0</v>
      </c>
      <c r="L43" s="202"/>
      <c r="M43" s="202"/>
    </row>
    <row r="44" spans="2:13" x14ac:dyDescent="0.2">
      <c r="B44" s="417" t="s">
        <v>1151</v>
      </c>
      <c r="C44" s="123" t="s">
        <v>86</v>
      </c>
      <c r="D44" s="83">
        <v>0</v>
      </c>
      <c r="E44" s="268">
        <f>$D44*'2.4 Indirect revenue'!$G$42</f>
        <v>0</v>
      </c>
      <c r="F44" s="268">
        <f>$D44*'2.4 Indirect revenue'!$H$42</f>
        <v>0</v>
      </c>
      <c r="G44" s="124">
        <f t="shared" si="11"/>
        <v>0</v>
      </c>
      <c r="H44" s="83">
        <v>0</v>
      </c>
      <c r="I44" s="268">
        <f t="shared" si="12"/>
        <v>0</v>
      </c>
      <c r="J44" s="268">
        <f t="shared" si="13"/>
        <v>0</v>
      </c>
      <c r="K44" s="124">
        <f t="shared" si="14"/>
        <v>0</v>
      </c>
      <c r="L44" s="202"/>
      <c r="M44" s="202"/>
    </row>
    <row r="45" spans="2:13" x14ac:dyDescent="0.2">
      <c r="B45" s="417" t="s">
        <v>1151</v>
      </c>
      <c r="C45" s="123" t="s">
        <v>88</v>
      </c>
      <c r="D45" s="83">
        <v>0</v>
      </c>
      <c r="E45" s="268">
        <f>$D45*'2.4 Indirect revenue'!$G$42</f>
        <v>0</v>
      </c>
      <c r="F45" s="268">
        <f>$D45*'2.4 Indirect revenue'!$H$42</f>
        <v>0</v>
      </c>
      <c r="G45" s="124">
        <f t="shared" si="11"/>
        <v>0</v>
      </c>
      <c r="H45" s="83">
        <v>0</v>
      </c>
      <c r="I45" s="268">
        <f t="shared" si="12"/>
        <v>0</v>
      </c>
      <c r="J45" s="268">
        <f t="shared" si="13"/>
        <v>0</v>
      </c>
      <c r="K45" s="124">
        <f t="shared" si="14"/>
        <v>0</v>
      </c>
      <c r="L45" s="202"/>
      <c r="M45" s="202"/>
    </row>
    <row r="46" spans="2:13" x14ac:dyDescent="0.2">
      <c r="B46" s="417" t="s">
        <v>1151</v>
      </c>
      <c r="C46" s="123" t="s">
        <v>90</v>
      </c>
      <c r="D46" s="83">
        <v>0</v>
      </c>
      <c r="E46" s="268">
        <f>$D46*'2.4 Indirect revenue'!$G$42</f>
        <v>0</v>
      </c>
      <c r="F46" s="268">
        <f>$D46*'2.4 Indirect revenue'!$H$42</f>
        <v>0</v>
      </c>
      <c r="G46" s="124">
        <f t="shared" si="11"/>
        <v>0</v>
      </c>
      <c r="H46" s="83">
        <v>0</v>
      </c>
      <c r="I46" s="268">
        <f t="shared" si="12"/>
        <v>0</v>
      </c>
      <c r="J46" s="268">
        <f t="shared" si="13"/>
        <v>0</v>
      </c>
      <c r="K46" s="124">
        <f t="shared" si="14"/>
        <v>0</v>
      </c>
      <c r="L46" s="202"/>
      <c r="M46" s="202"/>
    </row>
    <row r="47" spans="2:13" x14ac:dyDescent="0.2">
      <c r="B47" s="293"/>
      <c r="C47" s="197"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3"/>
      <c r="C48" s="197" t="s">
        <v>59</v>
      </c>
      <c r="D48" s="270"/>
      <c r="E48" s="125">
        <f>E47+E35+E23</f>
        <v>5008563.0125818327</v>
      </c>
      <c r="F48" s="125">
        <f>F47+F35+F23</f>
        <v>0</v>
      </c>
      <c r="G48" s="125">
        <f>G47+G35+G23</f>
        <v>5008563.0125818327</v>
      </c>
      <c r="H48" s="270"/>
      <c r="I48" s="125">
        <f>I47+I35+I23</f>
        <v>4977325.5986452587</v>
      </c>
      <c r="J48" s="125">
        <f>J47+J35+J23</f>
        <v>0</v>
      </c>
      <c r="K48" s="125">
        <f>K47+K35+K23</f>
        <v>4977325.5986452587</v>
      </c>
      <c r="L48" s="202"/>
      <c r="M48" s="202"/>
    </row>
    <row r="49" spans="2:13" x14ac:dyDescent="0.2">
      <c r="B49" s="202"/>
      <c r="C49" s="202"/>
      <c r="D49" s="202"/>
      <c r="E49" s="202"/>
      <c r="F49" s="202"/>
      <c r="G49" s="202"/>
      <c r="H49" s="202"/>
      <c r="I49" s="202"/>
      <c r="J49" s="202"/>
      <c r="K49" s="202"/>
      <c r="L49" s="202"/>
      <c r="M49" s="202"/>
    </row>
    <row r="50" spans="2:13" ht="15.75" x14ac:dyDescent="0.2">
      <c r="B50" s="256" t="s">
        <v>170</v>
      </c>
      <c r="C50" s="202"/>
      <c r="D50" s="202"/>
      <c r="E50" s="202"/>
      <c r="F50" s="202"/>
      <c r="G50" s="202"/>
      <c r="H50" s="202"/>
      <c r="I50" s="202"/>
      <c r="J50" s="202"/>
      <c r="K50" s="202"/>
      <c r="L50" s="202"/>
      <c r="M50" s="202"/>
    </row>
    <row r="51" spans="2:13" x14ac:dyDescent="0.2">
      <c r="B51" s="257"/>
      <c r="C51" s="258"/>
      <c r="D51" s="259"/>
      <c r="E51" s="259"/>
      <c r="F51" s="259"/>
      <c r="G51" s="259"/>
      <c r="H51" s="259"/>
      <c r="I51" s="259"/>
      <c r="J51" s="259"/>
      <c r="K51" s="259"/>
      <c r="L51" s="202"/>
      <c r="M51" s="202"/>
    </row>
    <row r="52" spans="2:13" x14ac:dyDescent="0.2">
      <c r="B52" s="260"/>
      <c r="C52" s="260"/>
      <c r="D52" s="497" t="s">
        <v>162</v>
      </c>
      <c r="E52" s="498"/>
      <c r="F52" s="498"/>
      <c r="G52" s="499"/>
      <c r="H52" s="497" t="s">
        <v>124</v>
      </c>
      <c r="I52" s="498"/>
      <c r="J52" s="498"/>
      <c r="K52" s="499"/>
      <c r="L52" s="202"/>
      <c r="M52" s="202"/>
    </row>
    <row r="53" spans="2:13" ht="38.25" x14ac:dyDescent="0.2">
      <c r="B53" s="55" t="s">
        <v>113</v>
      </c>
      <c r="C53" s="260" t="s">
        <v>114</v>
      </c>
      <c r="D53" s="313" t="s">
        <v>163</v>
      </c>
      <c r="E53" s="313" t="s">
        <v>125</v>
      </c>
      <c r="F53" s="313" t="s">
        <v>126</v>
      </c>
      <c r="G53" s="313" t="s">
        <v>56</v>
      </c>
      <c r="H53" s="313" t="s">
        <v>163</v>
      </c>
      <c r="I53" s="313" t="s">
        <v>125</v>
      </c>
      <c r="J53" s="313" t="s">
        <v>126</v>
      </c>
      <c r="K53" s="313" t="s">
        <v>56</v>
      </c>
      <c r="L53" s="202"/>
      <c r="M53" s="202"/>
    </row>
    <row r="54" spans="2:13" x14ac:dyDescent="0.2">
      <c r="B54" s="55"/>
      <c r="C54" s="260"/>
      <c r="D54" s="122" t="s">
        <v>164</v>
      </c>
      <c r="E54" s="122" t="s">
        <v>116</v>
      </c>
      <c r="F54" s="122" t="s">
        <v>116</v>
      </c>
      <c r="G54" s="122" t="s">
        <v>116</v>
      </c>
      <c r="H54" s="122" t="s">
        <v>164</v>
      </c>
      <c r="I54" s="122" t="s">
        <v>116</v>
      </c>
      <c r="J54" s="122" t="s">
        <v>116</v>
      </c>
      <c r="K54" s="122" t="s">
        <v>116</v>
      </c>
      <c r="L54" s="202"/>
      <c r="M54" s="202"/>
    </row>
    <row r="55" spans="2:13" x14ac:dyDescent="0.2">
      <c r="B55" s="199"/>
      <c r="C55" s="267" t="s">
        <v>171</v>
      </c>
      <c r="D55" s="122"/>
      <c r="E55" s="122"/>
      <c r="F55" s="122"/>
      <c r="G55" s="122"/>
      <c r="H55" s="122"/>
      <c r="I55" s="122"/>
      <c r="J55" s="122"/>
      <c r="K55" s="122"/>
      <c r="L55" s="202"/>
      <c r="M55" s="202"/>
    </row>
    <row r="56" spans="2:13" x14ac:dyDescent="0.2">
      <c r="B56" s="417" t="s">
        <v>1151</v>
      </c>
      <c r="C56" s="123" t="s">
        <v>78</v>
      </c>
      <c r="D56" s="83">
        <v>0.99772819674909263</v>
      </c>
      <c r="E56" s="268">
        <f t="shared" ref="E56:E65" si="15">D56*$E$66</f>
        <v>847932.68754233478</v>
      </c>
      <c r="F56" s="268">
        <f t="shared" ref="F56:F65" si="16">D56*$F$66</f>
        <v>0</v>
      </c>
      <c r="G56" s="124">
        <f t="shared" ref="G56:G65" si="17">SUM(E56:F56)</f>
        <v>847932.68754233478</v>
      </c>
      <c r="H56" s="83">
        <v>0.99766641769694719</v>
      </c>
      <c r="I56" s="268">
        <f t="shared" ref="I56:I65" si="18">H56*$I$66</f>
        <v>624678.01835730299</v>
      </c>
      <c r="J56" s="268">
        <f t="shared" ref="J56:J65" si="19">H56*$J$66</f>
        <v>0</v>
      </c>
      <c r="K56" s="124">
        <f t="shared" ref="K56:K65" si="20">SUM(I56:J56)</f>
        <v>624678.01835730299</v>
      </c>
      <c r="L56" s="202"/>
      <c r="M56" s="202"/>
    </row>
    <row r="57" spans="2:13" x14ac:dyDescent="0.2">
      <c r="B57" s="417" t="s">
        <v>1151</v>
      </c>
      <c r="C57" s="123" t="s">
        <v>80</v>
      </c>
      <c r="D57" s="83">
        <v>0</v>
      </c>
      <c r="E57" s="268">
        <f t="shared" si="15"/>
        <v>0</v>
      </c>
      <c r="F57" s="268">
        <f t="shared" si="16"/>
        <v>0</v>
      </c>
      <c r="G57" s="124">
        <f t="shared" si="17"/>
        <v>0</v>
      </c>
      <c r="H57" s="83">
        <v>0</v>
      </c>
      <c r="I57" s="268">
        <f t="shared" si="18"/>
        <v>0</v>
      </c>
      <c r="J57" s="268">
        <f t="shared" si="19"/>
        <v>0</v>
      </c>
      <c r="K57" s="124">
        <f t="shared" si="20"/>
        <v>0</v>
      </c>
      <c r="L57" s="202"/>
      <c r="M57" s="202"/>
    </row>
    <row r="58" spans="2:13" x14ac:dyDescent="0.2">
      <c r="B58" s="417" t="s">
        <v>1151</v>
      </c>
      <c r="C58" s="123" t="s">
        <v>81</v>
      </c>
      <c r="D58" s="83">
        <v>0</v>
      </c>
      <c r="E58" s="268">
        <f t="shared" si="15"/>
        <v>0</v>
      </c>
      <c r="F58" s="268">
        <f t="shared" si="16"/>
        <v>0</v>
      </c>
      <c r="G58" s="124">
        <f t="shared" si="17"/>
        <v>0</v>
      </c>
      <c r="H58" s="83">
        <v>0</v>
      </c>
      <c r="I58" s="268">
        <f t="shared" si="18"/>
        <v>0</v>
      </c>
      <c r="J58" s="268">
        <f t="shared" si="19"/>
        <v>0</v>
      </c>
      <c r="K58" s="124">
        <f t="shared" si="20"/>
        <v>0</v>
      </c>
      <c r="L58" s="202"/>
      <c r="M58" s="202"/>
    </row>
    <row r="59" spans="2:13" x14ac:dyDescent="0.2">
      <c r="B59" s="417" t="s">
        <v>1151</v>
      </c>
      <c r="C59" s="123" t="s">
        <v>82</v>
      </c>
      <c r="D59" s="83">
        <v>0</v>
      </c>
      <c r="E59" s="268">
        <f t="shared" si="15"/>
        <v>0</v>
      </c>
      <c r="F59" s="268">
        <f t="shared" si="16"/>
        <v>0</v>
      </c>
      <c r="G59" s="124">
        <f t="shared" si="17"/>
        <v>0</v>
      </c>
      <c r="H59" s="83">
        <v>0</v>
      </c>
      <c r="I59" s="268">
        <f t="shared" si="18"/>
        <v>0</v>
      </c>
      <c r="J59" s="268">
        <f t="shared" si="19"/>
        <v>0</v>
      </c>
      <c r="K59" s="124">
        <f t="shared" si="20"/>
        <v>0</v>
      </c>
      <c r="L59" s="202"/>
      <c r="M59" s="202"/>
    </row>
    <row r="60" spans="2:13" x14ac:dyDescent="0.2">
      <c r="B60" s="417" t="s">
        <v>1151</v>
      </c>
      <c r="C60" s="205" t="s">
        <v>83</v>
      </c>
      <c r="D60" s="83">
        <v>0</v>
      </c>
      <c r="E60" s="268">
        <f t="shared" si="15"/>
        <v>0</v>
      </c>
      <c r="F60" s="268">
        <f t="shared" si="16"/>
        <v>0</v>
      </c>
      <c r="G60" s="124">
        <f t="shared" si="17"/>
        <v>0</v>
      </c>
      <c r="H60" s="83">
        <v>0</v>
      </c>
      <c r="I60" s="268">
        <f t="shared" si="18"/>
        <v>0</v>
      </c>
      <c r="J60" s="268">
        <f t="shared" si="19"/>
        <v>0</v>
      </c>
      <c r="K60" s="124">
        <f t="shared" si="20"/>
        <v>0</v>
      </c>
      <c r="L60" s="202"/>
      <c r="M60" s="202"/>
    </row>
    <row r="61" spans="2:13" x14ac:dyDescent="0.2">
      <c r="B61" s="417" t="s">
        <v>1151</v>
      </c>
      <c r="C61" s="123" t="s">
        <v>84</v>
      </c>
      <c r="D61" s="83">
        <v>0</v>
      </c>
      <c r="E61" s="268">
        <f t="shared" si="15"/>
        <v>0</v>
      </c>
      <c r="F61" s="268">
        <f t="shared" si="16"/>
        <v>0</v>
      </c>
      <c r="G61" s="124">
        <f t="shared" si="17"/>
        <v>0</v>
      </c>
      <c r="H61" s="83">
        <v>0</v>
      </c>
      <c r="I61" s="268">
        <f t="shared" si="18"/>
        <v>0</v>
      </c>
      <c r="J61" s="268">
        <f t="shared" si="19"/>
        <v>0</v>
      </c>
      <c r="K61" s="124">
        <f t="shared" si="20"/>
        <v>0</v>
      </c>
      <c r="L61" s="202"/>
      <c r="M61" s="202"/>
    </row>
    <row r="62" spans="2:13" x14ac:dyDescent="0.2">
      <c r="B62" s="417" t="s">
        <v>1151</v>
      </c>
      <c r="C62" s="123" t="s">
        <v>85</v>
      </c>
      <c r="D62" s="83">
        <v>0</v>
      </c>
      <c r="E62" s="268">
        <f t="shared" si="15"/>
        <v>0</v>
      </c>
      <c r="F62" s="268">
        <f t="shared" si="16"/>
        <v>0</v>
      </c>
      <c r="G62" s="124">
        <f t="shared" si="17"/>
        <v>0</v>
      </c>
      <c r="H62" s="83">
        <v>0</v>
      </c>
      <c r="I62" s="268">
        <f t="shared" si="18"/>
        <v>0</v>
      </c>
      <c r="J62" s="268">
        <f t="shared" si="19"/>
        <v>0</v>
      </c>
      <c r="K62" s="124">
        <f t="shared" si="20"/>
        <v>0</v>
      </c>
      <c r="L62" s="202"/>
      <c r="M62" s="202"/>
    </row>
    <row r="63" spans="2:13" x14ac:dyDescent="0.2">
      <c r="B63" s="417" t="s">
        <v>1151</v>
      </c>
      <c r="C63" s="123" t="s">
        <v>86</v>
      </c>
      <c r="D63" s="83">
        <v>2.271803250907283E-3</v>
      </c>
      <c r="E63" s="268">
        <f t="shared" si="15"/>
        <v>1930.7224576651492</v>
      </c>
      <c r="F63" s="268">
        <f t="shared" si="16"/>
        <v>0</v>
      </c>
      <c r="G63" s="124">
        <f t="shared" si="17"/>
        <v>1930.7224576651492</v>
      </c>
      <c r="H63" s="83">
        <v>2.3335823030528023E-3</v>
      </c>
      <c r="I63" s="268">
        <f t="shared" si="18"/>
        <v>1461.1472761705213</v>
      </c>
      <c r="J63" s="268">
        <f t="shared" si="19"/>
        <v>0</v>
      </c>
      <c r="K63" s="124">
        <f t="shared" si="20"/>
        <v>1461.1472761705213</v>
      </c>
      <c r="L63" s="202"/>
      <c r="M63" s="202"/>
    </row>
    <row r="64" spans="2:13" x14ac:dyDescent="0.2">
      <c r="B64" s="417" t="s">
        <v>1151</v>
      </c>
      <c r="C64" s="123" t="s">
        <v>88</v>
      </c>
      <c r="D64" s="83">
        <v>0</v>
      </c>
      <c r="E64" s="268">
        <f t="shared" si="15"/>
        <v>0</v>
      </c>
      <c r="F64" s="268">
        <f t="shared" si="16"/>
        <v>0</v>
      </c>
      <c r="G64" s="124">
        <f t="shared" si="17"/>
        <v>0</v>
      </c>
      <c r="H64" s="83">
        <v>0</v>
      </c>
      <c r="I64" s="268">
        <f t="shared" si="18"/>
        <v>0</v>
      </c>
      <c r="J64" s="268">
        <f t="shared" si="19"/>
        <v>0</v>
      </c>
      <c r="K64" s="124">
        <f t="shared" si="20"/>
        <v>0</v>
      </c>
      <c r="L64" s="202"/>
      <c r="M64" s="202"/>
    </row>
    <row r="65" spans="2:13" x14ac:dyDescent="0.2">
      <c r="B65" s="417" t="s">
        <v>1151</v>
      </c>
      <c r="C65" s="123" t="s">
        <v>90</v>
      </c>
      <c r="D65" s="83">
        <v>0</v>
      </c>
      <c r="E65" s="268">
        <f t="shared" si="15"/>
        <v>0</v>
      </c>
      <c r="F65" s="268">
        <f t="shared" si="16"/>
        <v>0</v>
      </c>
      <c r="G65" s="124">
        <f t="shared" si="17"/>
        <v>0</v>
      </c>
      <c r="H65" s="83">
        <v>0</v>
      </c>
      <c r="I65" s="268">
        <f t="shared" si="18"/>
        <v>0</v>
      </c>
      <c r="J65" s="268">
        <f t="shared" si="19"/>
        <v>0</v>
      </c>
      <c r="K65" s="124">
        <f t="shared" si="20"/>
        <v>0</v>
      </c>
      <c r="L65" s="202"/>
      <c r="M65" s="202"/>
    </row>
    <row r="66" spans="2:13" x14ac:dyDescent="0.2">
      <c r="B66" s="293"/>
      <c r="C66" s="197" t="s">
        <v>172</v>
      </c>
      <c r="D66" s="129">
        <f>SUM(D56:D65)</f>
        <v>0.99999999999999989</v>
      </c>
      <c r="E66" s="125">
        <f>'2.1 Profit &amp; Loss by component'!D32-'2.1 Profit &amp; Loss by component'!D26</f>
        <v>849863.41</v>
      </c>
      <c r="F66" s="125">
        <f>'2.1 Profit &amp; Loss by component'!E32-'2.1 Profit &amp; Loss by component'!E26</f>
        <v>0</v>
      </c>
      <c r="G66" s="125">
        <f>SUM(G56:G65)</f>
        <v>849863.40999999992</v>
      </c>
      <c r="H66" s="129">
        <f>SUM(H56:H65)</f>
        <v>1</v>
      </c>
      <c r="I66" s="125">
        <f>'2.1 Profit &amp; Loss by component'!G32-'2.1 Profit &amp; Loss by component'!G26</f>
        <v>626139.16563347355</v>
      </c>
      <c r="J66" s="125">
        <f>'2.1 Profit &amp; Loss by component'!H32-'2.1 Profit &amp; Loss by component'!H26</f>
        <v>0</v>
      </c>
      <c r="K66" s="125">
        <f>SUM(K56:K65)</f>
        <v>626139.16563347355</v>
      </c>
      <c r="L66" s="202"/>
      <c r="M66" s="202"/>
    </row>
    <row r="67" spans="2:13" x14ac:dyDescent="0.2">
      <c r="B67" s="199"/>
      <c r="C67" s="267" t="s">
        <v>173</v>
      </c>
      <c r="D67" s="122"/>
      <c r="E67" s="122"/>
      <c r="F67" s="122"/>
      <c r="G67" s="122"/>
      <c r="H67" s="122"/>
      <c r="I67" s="122"/>
      <c r="J67" s="122"/>
      <c r="K67" s="122"/>
      <c r="L67" s="202"/>
      <c r="M67" s="202"/>
    </row>
    <row r="68" spans="2:13" x14ac:dyDescent="0.2">
      <c r="B68" s="417" t="s">
        <v>1151</v>
      </c>
      <c r="C68" s="123" t="s">
        <v>78</v>
      </c>
      <c r="D68" s="83">
        <v>0.99772819674909263</v>
      </c>
      <c r="E68" s="268">
        <f t="shared" ref="E68:E77" si="21">D68*$E$78</f>
        <v>1185675.1285722142</v>
      </c>
      <c r="F68" s="268">
        <f t="shared" ref="F68:F77" si="22">D68*$F$78</f>
        <v>0</v>
      </c>
      <c r="G68" s="124">
        <f t="shared" ref="G68:G77" si="23">SUM(E68:F68)</f>
        <v>1185675.1285722142</v>
      </c>
      <c r="H68" s="83">
        <v>0.99766641769694719</v>
      </c>
      <c r="I68" s="268">
        <f t="shared" ref="I68:I77" si="24">H68*$I$78</f>
        <v>1030002.8794738407</v>
      </c>
      <c r="J68" s="268">
        <f t="shared" ref="J68:J77" si="25">H68*$J$78</f>
        <v>0</v>
      </c>
      <c r="K68" s="124">
        <f t="shared" ref="K68:K77" si="26">SUM(I68:J68)</f>
        <v>1030002.8794738407</v>
      </c>
      <c r="L68" s="202"/>
      <c r="M68" s="202"/>
    </row>
    <row r="69" spans="2:13" x14ac:dyDescent="0.2">
      <c r="B69" s="417" t="s">
        <v>1151</v>
      </c>
      <c r="C69" s="123" t="s">
        <v>80</v>
      </c>
      <c r="D69" s="83">
        <v>0</v>
      </c>
      <c r="E69" s="268">
        <f t="shared" si="21"/>
        <v>0</v>
      </c>
      <c r="F69" s="268">
        <f t="shared" si="22"/>
        <v>0</v>
      </c>
      <c r="G69" s="124">
        <f t="shared" si="23"/>
        <v>0</v>
      </c>
      <c r="H69" s="83">
        <v>0</v>
      </c>
      <c r="I69" s="268">
        <f t="shared" si="24"/>
        <v>0</v>
      </c>
      <c r="J69" s="268">
        <f t="shared" si="25"/>
        <v>0</v>
      </c>
      <c r="K69" s="124">
        <f t="shared" si="26"/>
        <v>0</v>
      </c>
      <c r="L69" s="202"/>
      <c r="M69" s="202"/>
    </row>
    <row r="70" spans="2:13" x14ac:dyDescent="0.2">
      <c r="B70" s="417" t="s">
        <v>1151</v>
      </c>
      <c r="C70" s="123" t="s">
        <v>81</v>
      </c>
      <c r="D70" s="83">
        <v>0</v>
      </c>
      <c r="E70" s="268">
        <f t="shared" si="21"/>
        <v>0</v>
      </c>
      <c r="F70" s="268">
        <f t="shared" si="22"/>
        <v>0</v>
      </c>
      <c r="G70" s="124">
        <f t="shared" si="23"/>
        <v>0</v>
      </c>
      <c r="H70" s="83">
        <v>0</v>
      </c>
      <c r="I70" s="268">
        <f t="shared" si="24"/>
        <v>0</v>
      </c>
      <c r="J70" s="268">
        <f t="shared" si="25"/>
        <v>0</v>
      </c>
      <c r="K70" s="124">
        <f t="shared" si="26"/>
        <v>0</v>
      </c>
      <c r="L70" s="202"/>
      <c r="M70" s="202"/>
    </row>
    <row r="71" spans="2:13" x14ac:dyDescent="0.2">
      <c r="B71" s="417" t="s">
        <v>1151</v>
      </c>
      <c r="C71" s="123" t="s">
        <v>82</v>
      </c>
      <c r="D71" s="83">
        <v>0</v>
      </c>
      <c r="E71" s="268">
        <f t="shared" si="21"/>
        <v>0</v>
      </c>
      <c r="F71" s="268">
        <f t="shared" si="22"/>
        <v>0</v>
      </c>
      <c r="G71" s="124">
        <f t="shared" si="23"/>
        <v>0</v>
      </c>
      <c r="H71" s="83">
        <v>0</v>
      </c>
      <c r="I71" s="268">
        <f t="shared" si="24"/>
        <v>0</v>
      </c>
      <c r="J71" s="268">
        <f t="shared" si="25"/>
        <v>0</v>
      </c>
      <c r="K71" s="124">
        <f t="shared" si="26"/>
        <v>0</v>
      </c>
      <c r="L71" s="202"/>
      <c r="M71" s="202"/>
    </row>
    <row r="72" spans="2:13" x14ac:dyDescent="0.2">
      <c r="B72" s="417" t="s">
        <v>1151</v>
      </c>
      <c r="C72" s="205" t="s">
        <v>83</v>
      </c>
      <c r="D72" s="83">
        <v>0</v>
      </c>
      <c r="E72" s="268">
        <f t="shared" si="21"/>
        <v>0</v>
      </c>
      <c r="F72" s="268">
        <f t="shared" si="22"/>
        <v>0</v>
      </c>
      <c r="G72" s="124">
        <f t="shared" si="23"/>
        <v>0</v>
      </c>
      <c r="H72" s="83">
        <v>0</v>
      </c>
      <c r="I72" s="268">
        <f t="shared" si="24"/>
        <v>0</v>
      </c>
      <c r="J72" s="268">
        <f t="shared" si="25"/>
        <v>0</v>
      </c>
      <c r="K72" s="124">
        <f t="shared" si="26"/>
        <v>0</v>
      </c>
      <c r="L72" s="202"/>
      <c r="M72" s="202"/>
    </row>
    <row r="73" spans="2:13" x14ac:dyDescent="0.2">
      <c r="B73" s="417" t="s">
        <v>1151</v>
      </c>
      <c r="C73" s="123" t="s">
        <v>84</v>
      </c>
      <c r="D73" s="83">
        <v>0</v>
      </c>
      <c r="E73" s="268">
        <f t="shared" si="21"/>
        <v>0</v>
      </c>
      <c r="F73" s="268">
        <f t="shared" si="22"/>
        <v>0</v>
      </c>
      <c r="G73" s="124">
        <f t="shared" si="23"/>
        <v>0</v>
      </c>
      <c r="H73" s="83">
        <v>0</v>
      </c>
      <c r="I73" s="268">
        <f t="shared" si="24"/>
        <v>0</v>
      </c>
      <c r="J73" s="268">
        <f t="shared" si="25"/>
        <v>0</v>
      </c>
      <c r="K73" s="124">
        <f t="shared" si="26"/>
        <v>0</v>
      </c>
      <c r="L73" s="202"/>
      <c r="M73" s="202"/>
    </row>
    <row r="74" spans="2:13" x14ac:dyDescent="0.2">
      <c r="B74" s="417" t="s">
        <v>1151</v>
      </c>
      <c r="C74" s="123" t="s">
        <v>85</v>
      </c>
      <c r="D74" s="83">
        <v>0</v>
      </c>
      <c r="E74" s="268">
        <f t="shared" si="21"/>
        <v>0</v>
      </c>
      <c r="F74" s="268">
        <f t="shared" si="22"/>
        <v>0</v>
      </c>
      <c r="G74" s="124">
        <f t="shared" si="23"/>
        <v>0</v>
      </c>
      <c r="H74" s="83">
        <v>0</v>
      </c>
      <c r="I74" s="268">
        <f t="shared" si="24"/>
        <v>0</v>
      </c>
      <c r="J74" s="268">
        <f t="shared" si="25"/>
        <v>0</v>
      </c>
      <c r="K74" s="124">
        <f t="shared" si="26"/>
        <v>0</v>
      </c>
      <c r="L74" s="202"/>
      <c r="M74" s="202"/>
    </row>
    <row r="75" spans="2:13" x14ac:dyDescent="0.2">
      <c r="B75" s="417" t="s">
        <v>1151</v>
      </c>
      <c r="C75" s="123" t="s">
        <v>86</v>
      </c>
      <c r="D75" s="83">
        <v>2.271803250907283E-3</v>
      </c>
      <c r="E75" s="268">
        <f t="shared" si="21"/>
        <v>2699.7539213454293</v>
      </c>
      <c r="F75" s="268">
        <f t="shared" si="22"/>
        <v>0</v>
      </c>
      <c r="G75" s="124">
        <f t="shared" si="23"/>
        <v>2699.7539213454293</v>
      </c>
      <c r="H75" s="83">
        <v>2.3335823030528023E-3</v>
      </c>
      <c r="I75" s="268">
        <f t="shared" si="24"/>
        <v>2409.2186015262905</v>
      </c>
      <c r="J75" s="268">
        <f t="shared" si="25"/>
        <v>0</v>
      </c>
      <c r="K75" s="124">
        <f t="shared" si="26"/>
        <v>2409.2186015262905</v>
      </c>
      <c r="L75" s="202"/>
      <c r="M75" s="202"/>
    </row>
    <row r="76" spans="2:13" x14ac:dyDescent="0.2">
      <c r="B76" s="417" t="s">
        <v>1151</v>
      </c>
      <c r="C76" s="123" t="s">
        <v>88</v>
      </c>
      <c r="D76" s="83">
        <v>0</v>
      </c>
      <c r="E76" s="268">
        <f t="shared" si="21"/>
        <v>0</v>
      </c>
      <c r="F76" s="268">
        <f t="shared" si="22"/>
        <v>0</v>
      </c>
      <c r="G76" s="124">
        <f t="shared" si="23"/>
        <v>0</v>
      </c>
      <c r="H76" s="83">
        <v>0</v>
      </c>
      <c r="I76" s="268">
        <f t="shared" si="24"/>
        <v>0</v>
      </c>
      <c r="J76" s="268">
        <f t="shared" si="25"/>
        <v>0</v>
      </c>
      <c r="K76" s="124">
        <f t="shared" si="26"/>
        <v>0</v>
      </c>
      <c r="L76" s="202"/>
      <c r="M76" s="202"/>
    </row>
    <row r="77" spans="2:13" x14ac:dyDescent="0.2">
      <c r="B77" s="417" t="s">
        <v>1151</v>
      </c>
      <c r="C77" s="123" t="s">
        <v>90</v>
      </c>
      <c r="D77" s="83">
        <v>0</v>
      </c>
      <c r="E77" s="268">
        <f t="shared" si="21"/>
        <v>0</v>
      </c>
      <c r="F77" s="268">
        <f t="shared" si="22"/>
        <v>0</v>
      </c>
      <c r="G77" s="124">
        <f t="shared" si="23"/>
        <v>0</v>
      </c>
      <c r="H77" s="83">
        <v>0</v>
      </c>
      <c r="I77" s="268">
        <f t="shared" si="24"/>
        <v>0</v>
      </c>
      <c r="J77" s="268">
        <f t="shared" si="25"/>
        <v>0</v>
      </c>
      <c r="K77" s="124">
        <f t="shared" si="26"/>
        <v>0</v>
      </c>
      <c r="L77" s="202"/>
      <c r="M77" s="202"/>
    </row>
    <row r="78" spans="2:13" x14ac:dyDescent="0.2">
      <c r="B78" s="293"/>
      <c r="C78" s="197" t="s">
        <v>174</v>
      </c>
      <c r="D78" s="129">
        <f>SUM(D68:D77)</f>
        <v>0.99999999999999989</v>
      </c>
      <c r="E78" s="125">
        <f>'2.1 Profit &amp; Loss by component'!D26+'2.1 Profit &amp; Loss by component'!D37</f>
        <v>1188374.8824935597</v>
      </c>
      <c r="F78" s="126">
        <f>'2.1 Profit &amp; Loss by component'!E26+'2.1 Profit &amp; Loss by component'!E37</f>
        <v>0</v>
      </c>
      <c r="G78" s="125">
        <f>SUM(G68:G77)</f>
        <v>1188374.8824935595</v>
      </c>
      <c r="H78" s="129">
        <f>SUM(H68:H77)</f>
        <v>1</v>
      </c>
      <c r="I78" s="125">
        <f>'2.1 Profit &amp; Loss by component'!G26+'2.1 Profit &amp; Loss by component'!G37</f>
        <v>1032412.098075367</v>
      </c>
      <c r="J78" s="125">
        <f>'2.1 Profit &amp; Loss by component'!H26+'2.1 Profit &amp; Loss by component'!H37</f>
        <v>0</v>
      </c>
      <c r="K78" s="125">
        <f>SUM(K68:K77)</f>
        <v>1032412.098075367</v>
      </c>
      <c r="L78" s="202"/>
      <c r="M78" s="202"/>
    </row>
    <row r="79" spans="2:13" x14ac:dyDescent="0.2">
      <c r="B79" s="199"/>
      <c r="C79" s="267" t="s">
        <v>175</v>
      </c>
      <c r="D79" s="122"/>
      <c r="E79" s="122"/>
      <c r="F79" s="122"/>
      <c r="G79" s="122"/>
      <c r="H79" s="122"/>
      <c r="I79" s="122"/>
      <c r="J79" s="122"/>
      <c r="K79" s="122"/>
      <c r="L79" s="202"/>
      <c r="M79" s="202"/>
    </row>
    <row r="80" spans="2:13" x14ac:dyDescent="0.2">
      <c r="B80" s="417" t="s">
        <v>1151</v>
      </c>
      <c r="C80" s="123" t="s">
        <v>78</v>
      </c>
      <c r="D80" s="83">
        <v>0.99772819674909263</v>
      </c>
      <c r="E80" s="268">
        <f t="shared" ref="E80:E89" si="27">D80*$E$90</f>
        <v>539567.59596027341</v>
      </c>
      <c r="F80" s="268">
        <f t="shared" ref="F80:F89" si="28">D80*$F$90</f>
        <v>0</v>
      </c>
      <c r="G80" s="124">
        <f t="shared" ref="G80:G89" si="29">SUM(E80:F80)</f>
        <v>539567.59596027341</v>
      </c>
      <c r="H80" s="83">
        <v>0.99766641769694719</v>
      </c>
      <c r="I80" s="268">
        <f t="shared" ref="I80:I89" si="30">H80*$I$90</f>
        <v>614995.65633515886</v>
      </c>
      <c r="J80" s="268">
        <f t="shared" ref="J80:J89" si="31">H80*$J$90</f>
        <v>0</v>
      </c>
      <c r="K80" s="124">
        <f t="shared" ref="K80:K89" si="32">SUM(I80:J80)</f>
        <v>614995.65633515886</v>
      </c>
      <c r="L80" s="202"/>
      <c r="M80" s="202"/>
    </row>
    <row r="81" spans="2:13" x14ac:dyDescent="0.2">
      <c r="B81" s="417" t="s">
        <v>1151</v>
      </c>
      <c r="C81" s="123" t="s">
        <v>80</v>
      </c>
      <c r="D81" s="83">
        <v>0</v>
      </c>
      <c r="E81" s="268">
        <f t="shared" si="27"/>
        <v>0</v>
      </c>
      <c r="F81" s="268">
        <f t="shared" si="28"/>
        <v>0</v>
      </c>
      <c r="G81" s="124">
        <f t="shared" si="29"/>
        <v>0</v>
      </c>
      <c r="H81" s="83">
        <v>0</v>
      </c>
      <c r="I81" s="268">
        <f t="shared" si="30"/>
        <v>0</v>
      </c>
      <c r="J81" s="268">
        <f t="shared" si="31"/>
        <v>0</v>
      </c>
      <c r="K81" s="124">
        <f t="shared" si="32"/>
        <v>0</v>
      </c>
      <c r="L81" s="202"/>
      <c r="M81" s="202"/>
    </row>
    <row r="82" spans="2:13" x14ac:dyDescent="0.2">
      <c r="B82" s="417" t="s">
        <v>1151</v>
      </c>
      <c r="C82" s="123" t="s">
        <v>81</v>
      </c>
      <c r="D82" s="83">
        <v>0</v>
      </c>
      <c r="E82" s="268">
        <f t="shared" si="27"/>
        <v>0</v>
      </c>
      <c r="F82" s="268">
        <f t="shared" si="28"/>
        <v>0</v>
      </c>
      <c r="G82" s="124">
        <f t="shared" si="29"/>
        <v>0</v>
      </c>
      <c r="H82" s="83">
        <v>0</v>
      </c>
      <c r="I82" s="268">
        <f t="shared" si="30"/>
        <v>0</v>
      </c>
      <c r="J82" s="268">
        <f t="shared" si="31"/>
        <v>0</v>
      </c>
      <c r="K82" s="124">
        <f t="shared" si="32"/>
        <v>0</v>
      </c>
      <c r="L82" s="202"/>
      <c r="M82" s="202"/>
    </row>
    <row r="83" spans="2:13" x14ac:dyDescent="0.2">
      <c r="B83" s="417" t="s">
        <v>1151</v>
      </c>
      <c r="C83" s="123" t="s">
        <v>82</v>
      </c>
      <c r="D83" s="83">
        <v>0</v>
      </c>
      <c r="E83" s="268">
        <f t="shared" si="27"/>
        <v>0</v>
      </c>
      <c r="F83" s="268">
        <f t="shared" si="28"/>
        <v>0</v>
      </c>
      <c r="G83" s="124">
        <f t="shared" si="29"/>
        <v>0</v>
      </c>
      <c r="H83" s="83">
        <v>0</v>
      </c>
      <c r="I83" s="268">
        <f t="shared" si="30"/>
        <v>0</v>
      </c>
      <c r="J83" s="268">
        <f t="shared" si="31"/>
        <v>0</v>
      </c>
      <c r="K83" s="124">
        <f t="shared" si="32"/>
        <v>0</v>
      </c>
      <c r="L83" s="202"/>
      <c r="M83" s="202"/>
    </row>
    <row r="84" spans="2:13" x14ac:dyDescent="0.2">
      <c r="B84" s="417" t="s">
        <v>1151</v>
      </c>
      <c r="C84" s="205" t="s">
        <v>83</v>
      </c>
      <c r="D84" s="83">
        <v>0</v>
      </c>
      <c r="E84" s="268">
        <f t="shared" si="27"/>
        <v>0</v>
      </c>
      <c r="F84" s="268">
        <f t="shared" si="28"/>
        <v>0</v>
      </c>
      <c r="G84" s="124">
        <f t="shared" si="29"/>
        <v>0</v>
      </c>
      <c r="H84" s="83">
        <v>0</v>
      </c>
      <c r="I84" s="268">
        <f t="shared" si="30"/>
        <v>0</v>
      </c>
      <c r="J84" s="268">
        <f t="shared" si="31"/>
        <v>0</v>
      </c>
      <c r="K84" s="124">
        <f t="shared" si="32"/>
        <v>0</v>
      </c>
      <c r="L84" s="202"/>
      <c r="M84" s="202"/>
    </row>
    <row r="85" spans="2:13" x14ac:dyDescent="0.2">
      <c r="B85" s="417" t="s">
        <v>1151</v>
      </c>
      <c r="C85" s="123" t="s">
        <v>84</v>
      </c>
      <c r="D85" s="83">
        <v>0</v>
      </c>
      <c r="E85" s="268">
        <f t="shared" si="27"/>
        <v>0</v>
      </c>
      <c r="F85" s="268">
        <f t="shared" si="28"/>
        <v>0</v>
      </c>
      <c r="G85" s="124">
        <f t="shared" si="29"/>
        <v>0</v>
      </c>
      <c r="H85" s="83">
        <v>0</v>
      </c>
      <c r="I85" s="268">
        <f t="shared" si="30"/>
        <v>0</v>
      </c>
      <c r="J85" s="268">
        <f t="shared" si="31"/>
        <v>0</v>
      </c>
      <c r="K85" s="124">
        <f t="shared" si="32"/>
        <v>0</v>
      </c>
      <c r="L85" s="202"/>
      <c r="M85" s="202"/>
    </row>
    <row r="86" spans="2:13" x14ac:dyDescent="0.2">
      <c r="B86" s="417" t="s">
        <v>1151</v>
      </c>
      <c r="C86" s="123" t="s">
        <v>85</v>
      </c>
      <c r="D86" s="83">
        <v>0</v>
      </c>
      <c r="E86" s="268">
        <f t="shared" si="27"/>
        <v>0</v>
      </c>
      <c r="F86" s="268">
        <f t="shared" si="28"/>
        <v>0</v>
      </c>
      <c r="G86" s="124">
        <f t="shared" si="29"/>
        <v>0</v>
      </c>
      <c r="H86" s="83">
        <v>0</v>
      </c>
      <c r="I86" s="268">
        <f t="shared" si="30"/>
        <v>0</v>
      </c>
      <c r="J86" s="268">
        <f t="shared" si="31"/>
        <v>0</v>
      </c>
      <c r="K86" s="124">
        <f t="shared" si="32"/>
        <v>0</v>
      </c>
      <c r="L86" s="202"/>
      <c r="M86" s="202"/>
    </row>
    <row r="87" spans="2:13" x14ac:dyDescent="0.2">
      <c r="B87" s="417" t="s">
        <v>1151</v>
      </c>
      <c r="C87" s="123" t="s">
        <v>86</v>
      </c>
      <c r="D87" s="83">
        <v>2.271803250907283E-3</v>
      </c>
      <c r="E87" s="268">
        <f t="shared" si="27"/>
        <v>1228.5825163414088</v>
      </c>
      <c r="F87" s="268">
        <f t="shared" si="28"/>
        <v>0</v>
      </c>
      <c r="G87" s="124">
        <f t="shared" si="29"/>
        <v>1228.5825163414088</v>
      </c>
      <c r="H87" s="83">
        <v>2.3335823030528023E-3</v>
      </c>
      <c r="I87" s="268">
        <f t="shared" si="30"/>
        <v>1438.4998378426037</v>
      </c>
      <c r="J87" s="268">
        <f t="shared" si="31"/>
        <v>0</v>
      </c>
      <c r="K87" s="124">
        <f t="shared" si="32"/>
        <v>1438.4998378426037</v>
      </c>
      <c r="L87" s="202"/>
      <c r="M87" s="202"/>
    </row>
    <row r="88" spans="2:13" x14ac:dyDescent="0.2">
      <c r="B88" s="417" t="s">
        <v>1151</v>
      </c>
      <c r="C88" s="123" t="s">
        <v>88</v>
      </c>
      <c r="D88" s="83">
        <v>0</v>
      </c>
      <c r="E88" s="268">
        <f t="shared" si="27"/>
        <v>0</v>
      </c>
      <c r="F88" s="268">
        <f t="shared" si="28"/>
        <v>0</v>
      </c>
      <c r="G88" s="124">
        <f t="shared" si="29"/>
        <v>0</v>
      </c>
      <c r="H88" s="83">
        <v>0</v>
      </c>
      <c r="I88" s="268">
        <f t="shared" si="30"/>
        <v>0</v>
      </c>
      <c r="J88" s="268">
        <f t="shared" si="31"/>
        <v>0</v>
      </c>
      <c r="K88" s="124">
        <f t="shared" si="32"/>
        <v>0</v>
      </c>
      <c r="L88" s="202"/>
      <c r="M88" s="202"/>
    </row>
    <row r="89" spans="2:13" x14ac:dyDescent="0.2">
      <c r="B89" s="417" t="s">
        <v>1151</v>
      </c>
      <c r="C89" s="123" t="s">
        <v>90</v>
      </c>
      <c r="D89" s="83">
        <v>0</v>
      </c>
      <c r="E89" s="268">
        <f t="shared" si="27"/>
        <v>0</v>
      </c>
      <c r="F89" s="268">
        <f t="shared" si="28"/>
        <v>0</v>
      </c>
      <c r="G89" s="124">
        <f t="shared" si="29"/>
        <v>0</v>
      </c>
      <c r="H89" s="83">
        <v>0</v>
      </c>
      <c r="I89" s="268">
        <f t="shared" si="30"/>
        <v>0</v>
      </c>
      <c r="J89" s="268">
        <f t="shared" si="31"/>
        <v>0</v>
      </c>
      <c r="K89" s="124">
        <f t="shared" si="32"/>
        <v>0</v>
      </c>
      <c r="L89" s="202"/>
      <c r="M89" s="202"/>
    </row>
    <row r="90" spans="2:13" x14ac:dyDescent="0.2">
      <c r="B90" s="293"/>
      <c r="C90" s="197" t="s">
        <v>176</v>
      </c>
      <c r="D90" s="129">
        <f>SUM(D80:D89)</f>
        <v>0.99999999999999989</v>
      </c>
      <c r="E90" s="125">
        <f>'2.1 Profit &amp; Loss by component'!D43-'2.1 Profit &amp; Loss by component'!D37</f>
        <v>540796.17847661488</v>
      </c>
      <c r="F90" s="125">
        <f>'2.1 Profit &amp; Loss by component'!E43-'2.1 Profit &amp; Loss by component'!E37</f>
        <v>0</v>
      </c>
      <c r="G90" s="125">
        <f>SUM(G80:G89)</f>
        <v>540796.17847661476</v>
      </c>
      <c r="H90" s="129">
        <f>SUM(H80:H89)</f>
        <v>1</v>
      </c>
      <c r="I90" s="125">
        <f>'2.1 Profit &amp; Loss by component'!G43-'2.1 Profit &amp; Loss by component'!G37</f>
        <v>616434.15617300151</v>
      </c>
      <c r="J90" s="125">
        <f>'2.1 Profit &amp; Loss by component'!H43-'2.1 Profit &amp; Loss by component'!H37</f>
        <v>0</v>
      </c>
      <c r="K90" s="125">
        <f>SUM(K80:K89)</f>
        <v>616434.15617300151</v>
      </c>
      <c r="L90" s="202"/>
      <c r="M90" s="202"/>
    </row>
    <row r="91" spans="2:13" ht="14.25" x14ac:dyDescent="0.2">
      <c r="B91" s="293"/>
      <c r="C91" s="197" t="s">
        <v>62</v>
      </c>
      <c r="D91" s="270"/>
      <c r="E91" s="125">
        <f>E90+E78+E66</f>
        <v>2579034.4709701748</v>
      </c>
      <c r="F91" s="125">
        <f>F90+F78+F66</f>
        <v>0</v>
      </c>
      <c r="G91" s="125">
        <f>G90+G78+G66</f>
        <v>2579034.4709701743</v>
      </c>
      <c r="H91" s="270"/>
      <c r="I91" s="125">
        <f>I90+I78+I66</f>
        <v>2274985.4198818421</v>
      </c>
      <c r="J91" s="125">
        <f>J90+J78+J66</f>
        <v>0</v>
      </c>
      <c r="K91" s="125">
        <f>K90+K78+K66</f>
        <v>2274985.4198818421</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140625" style="4" customWidth="1"/>
    <col min="6" max="6" width="18.42578125" style="4" customWidth="1"/>
    <col min="7" max="7" width="6.85546875" style="4" customWidth="1"/>
    <col min="8" max="10" width="19.85546875" style="4" customWidth="1"/>
    <col min="11" max="11" width="18.140625" style="4" customWidth="1"/>
    <col min="12" max="16384" width="9.140625" style="4"/>
  </cols>
  <sheetData>
    <row r="1" spans="2:10" ht="20.25" customHeight="1" x14ac:dyDescent="0.3">
      <c r="B1" s="146" t="s">
        <v>53</v>
      </c>
      <c r="C1" s="146"/>
      <c r="D1" s="215"/>
      <c r="E1" s="215"/>
      <c r="F1" s="215"/>
      <c r="G1" s="215"/>
      <c r="H1" s="215"/>
      <c r="I1" s="215"/>
      <c r="J1" s="215"/>
    </row>
    <row r="2" spans="2:10" ht="20.25" customHeight="1" x14ac:dyDescent="0.2">
      <c r="B2" s="146" t="str">
        <f>IF(Tradingname=0," ",Tradingname)</f>
        <v>APT PIPELINES (NSW) PTY LIMITED</v>
      </c>
      <c r="C2" s="146"/>
    </row>
    <row r="3" spans="2:10" ht="20.25" customHeight="1" x14ac:dyDescent="0.45">
      <c r="B3" s="146" t="s">
        <v>30</v>
      </c>
      <c r="C3" s="110">
        <f>IF(Yearending=0, "01/01/2000", Yearending)</f>
        <v>45838</v>
      </c>
      <c r="F3" s="249"/>
    </row>
    <row r="4" spans="2:10" ht="20.25" x14ac:dyDescent="0.2">
      <c r="B4" s="102" t="s">
        <v>177</v>
      </c>
      <c r="C4" s="102"/>
    </row>
    <row r="6" spans="2:10" ht="20.25" x14ac:dyDescent="0.3">
      <c r="B6" s="250"/>
      <c r="G6" s="251"/>
      <c r="H6" s="252"/>
      <c r="I6" s="253"/>
      <c r="J6" s="253"/>
    </row>
    <row r="7" spans="2:10" ht="15.75" x14ac:dyDescent="0.25">
      <c r="B7" s="225" t="s">
        <v>178</v>
      </c>
    </row>
    <row r="8" spans="2:10" ht="14.1" customHeight="1" x14ac:dyDescent="0.2">
      <c r="B8" s="226"/>
      <c r="C8" s="227"/>
      <c r="D8" s="227"/>
      <c r="E8" s="227"/>
    </row>
    <row r="9" spans="2:10" ht="14.1" customHeight="1" x14ac:dyDescent="0.2">
      <c r="B9" s="46" t="s">
        <v>114</v>
      </c>
      <c r="C9" s="41" t="s">
        <v>125</v>
      </c>
      <c r="D9" s="41" t="s">
        <v>126</v>
      </c>
      <c r="E9" s="41" t="s">
        <v>56</v>
      </c>
      <c r="F9" s="227"/>
    </row>
    <row r="10" spans="2:10" ht="14.1" customHeight="1" x14ac:dyDescent="0.2">
      <c r="B10" s="40"/>
      <c r="C10" s="42" t="s">
        <v>116</v>
      </c>
      <c r="D10" s="42" t="s">
        <v>116</v>
      </c>
      <c r="E10" s="42" t="s">
        <v>116</v>
      </c>
    </row>
    <row r="11" spans="2:10" ht="14.1" customHeight="1" x14ac:dyDescent="0.2">
      <c r="B11" s="78" t="s">
        <v>732</v>
      </c>
      <c r="C11" s="79">
        <v>0</v>
      </c>
      <c r="D11" s="79"/>
      <c r="E11" s="22">
        <f t="shared" ref="E11:E17" si="0">SUM(C11:D11)</f>
        <v>0</v>
      </c>
    </row>
    <row r="12" spans="2:10" ht="14.1" customHeight="1" x14ac:dyDescent="0.2">
      <c r="B12" s="78"/>
      <c r="C12" s="79"/>
      <c r="D12" s="79"/>
      <c r="E12" s="22">
        <f t="shared" si="0"/>
        <v>0</v>
      </c>
    </row>
    <row r="13" spans="2:10" ht="14.1" customHeight="1" x14ac:dyDescent="0.2">
      <c r="B13" s="78"/>
      <c r="C13" s="79"/>
      <c r="D13" s="79"/>
      <c r="E13" s="22">
        <f t="shared" si="0"/>
        <v>0</v>
      </c>
    </row>
    <row r="14" spans="2:10" ht="14.1"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56</v>
      </c>
      <c r="C17" s="22">
        <f>SUM(C11:C16)</f>
        <v>0</v>
      </c>
      <c r="D17" s="22">
        <f>SUM(D11:D16)</f>
        <v>0</v>
      </c>
      <c r="E17" s="22">
        <f t="shared" si="0"/>
        <v>0</v>
      </c>
    </row>
    <row r="18" spans="2:6" ht="19.5" customHeight="1" x14ac:dyDescent="0.2"/>
    <row r="19" spans="2:6" ht="15.75" x14ac:dyDescent="0.25">
      <c r="B19" s="225" t="s">
        <v>179</v>
      </c>
    </row>
    <row r="20" spans="2:6" x14ac:dyDescent="0.2">
      <c r="B20" s="226"/>
      <c r="C20" s="227"/>
      <c r="D20" s="227"/>
      <c r="E20" s="227"/>
    </row>
    <row r="21" spans="2:6" x14ac:dyDescent="0.2">
      <c r="B21" s="40" t="s">
        <v>180</v>
      </c>
      <c r="C21" s="47" t="s">
        <v>114</v>
      </c>
      <c r="D21" s="41" t="s">
        <v>56</v>
      </c>
      <c r="F21" s="227"/>
    </row>
    <row r="22" spans="2:6" x14ac:dyDescent="0.2">
      <c r="B22" s="40"/>
      <c r="C22" s="42"/>
      <c r="D22" s="42" t="s">
        <v>116</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500" t="s">
        <v>181</v>
      </c>
      <c r="C29" s="501"/>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42578125" style="216" customWidth="1"/>
    <col min="2" max="2" width="22.5703125" style="216" customWidth="1"/>
    <col min="3" max="3" width="42.140625" style="216" customWidth="1"/>
    <col min="4" max="4" width="26.85546875" style="216" customWidth="1"/>
    <col min="5" max="5" width="22.5703125" style="216" customWidth="1"/>
    <col min="6" max="6" width="20.5703125" style="216" customWidth="1"/>
    <col min="7" max="8" width="22.5703125" style="216" customWidth="1"/>
    <col min="9" max="9" width="35.140625" style="216" customWidth="1"/>
    <col min="10" max="10" width="25.140625" style="216" customWidth="1"/>
    <col min="11" max="16384" width="9.140625" style="216"/>
  </cols>
  <sheetData>
    <row r="1" spans="2:9" ht="20.25" customHeight="1" x14ac:dyDescent="0.3">
      <c r="B1" s="146" t="s">
        <v>53</v>
      </c>
      <c r="C1" s="146"/>
      <c r="D1" s="215"/>
      <c r="E1" s="215"/>
      <c r="F1" s="215"/>
      <c r="G1" s="215"/>
      <c r="H1" s="215"/>
    </row>
    <row r="2" spans="2:9" ht="20.25" customHeight="1" x14ac:dyDescent="0.3">
      <c r="B2" s="146" t="str">
        <f>IF(Tradingname=0," ",Tradingname)</f>
        <v>APT PIPELINES (NSW) PTY LIMITED</v>
      </c>
      <c r="C2" s="146"/>
      <c r="H2" s="217"/>
    </row>
    <row r="3" spans="2:9" ht="20.25" customHeight="1" x14ac:dyDescent="0.3">
      <c r="B3" s="146" t="s">
        <v>30</v>
      </c>
      <c r="C3" s="110">
        <f>IF(Yearending=0, "01/01/2000", Yearending)</f>
        <v>45838</v>
      </c>
    </row>
    <row r="4" spans="2:9" ht="20.25" x14ac:dyDescent="0.2">
      <c r="B4" s="102" t="s">
        <v>182</v>
      </c>
      <c r="C4" s="102"/>
    </row>
    <row r="6" spans="2:9" x14ac:dyDescent="0.2">
      <c r="B6" s="502" t="s">
        <v>183</v>
      </c>
      <c r="C6" s="502"/>
      <c r="D6" s="502"/>
    </row>
    <row r="7" spans="2:9" ht="15.75" customHeight="1" x14ac:dyDescent="0.2">
      <c r="B7" s="502"/>
      <c r="C7" s="502"/>
      <c r="D7" s="502"/>
    </row>
    <row r="8" spans="2:9" ht="15.75" customHeight="1" x14ac:dyDescent="0.2">
      <c r="B8" s="502"/>
      <c r="C8" s="502"/>
      <c r="D8" s="502"/>
    </row>
    <row r="11" spans="2:9" s="271" customFormat="1" ht="15.75" x14ac:dyDescent="0.25">
      <c r="B11" s="218" t="s">
        <v>184</v>
      </c>
      <c r="C11" s="219"/>
      <c r="D11" s="219"/>
      <c r="E11" s="219"/>
      <c r="F11" s="222"/>
      <c r="G11" s="219"/>
      <c r="H11" s="219"/>
      <c r="I11" s="216"/>
    </row>
    <row r="12" spans="2:9" s="271" customFormat="1" ht="15.75" x14ac:dyDescent="0.25">
      <c r="B12" s="218"/>
      <c r="C12" s="219"/>
      <c r="D12" s="219"/>
      <c r="E12" s="219"/>
      <c r="F12" s="222"/>
      <c r="G12" s="219"/>
      <c r="H12" s="219"/>
      <c r="I12" s="216"/>
    </row>
    <row r="13" spans="2:9" ht="38.25" x14ac:dyDescent="0.2">
      <c r="B13" s="48" t="s">
        <v>113</v>
      </c>
      <c r="C13" s="48" t="s">
        <v>185</v>
      </c>
      <c r="D13" s="60" t="s">
        <v>186</v>
      </c>
      <c r="E13" s="60" t="s">
        <v>187</v>
      </c>
      <c r="F13" s="60" t="s">
        <v>188</v>
      </c>
      <c r="G13" s="60" t="s">
        <v>189</v>
      </c>
      <c r="H13" s="60" t="s">
        <v>190</v>
      </c>
      <c r="I13" s="60" t="s">
        <v>191</v>
      </c>
    </row>
    <row r="14" spans="2:9" x14ac:dyDescent="0.2">
      <c r="B14" s="100"/>
      <c r="C14" s="48" t="s">
        <v>192</v>
      </c>
      <c r="D14" s="64" t="s">
        <v>116</v>
      </c>
      <c r="E14" s="64" t="s">
        <v>116</v>
      </c>
      <c r="F14" s="64"/>
      <c r="G14" s="64" t="s">
        <v>116</v>
      </c>
      <c r="H14" s="64" t="s">
        <v>116</v>
      </c>
      <c r="I14" s="64" t="s">
        <v>116</v>
      </c>
    </row>
    <row r="15" spans="2:9" x14ac:dyDescent="0.2">
      <c r="B15" s="421" t="s">
        <v>1152</v>
      </c>
      <c r="C15" s="81"/>
      <c r="D15" s="82"/>
      <c r="E15" s="82"/>
      <c r="F15" s="83"/>
      <c r="G15" s="21">
        <f>D15*F15</f>
        <v>0</v>
      </c>
      <c r="H15" s="21">
        <f t="shared" ref="H15:H41" si="0">E15*F15</f>
        <v>0</v>
      </c>
      <c r="I15" s="101">
        <f t="shared" ref="I15:I41" si="1">G15+H15</f>
        <v>0</v>
      </c>
    </row>
    <row r="16" spans="2:9" x14ac:dyDescent="0.2">
      <c r="B16" s="294"/>
      <c r="C16" s="81"/>
      <c r="D16" s="82"/>
      <c r="E16" s="82"/>
      <c r="F16" s="83"/>
      <c r="G16" s="21">
        <f>D16*F16</f>
        <v>0</v>
      </c>
      <c r="H16" s="21">
        <f t="shared" si="0"/>
        <v>0</v>
      </c>
      <c r="I16" s="101">
        <f t="shared" si="1"/>
        <v>0</v>
      </c>
    </row>
    <row r="17" spans="2:9" x14ac:dyDescent="0.2">
      <c r="B17" s="294"/>
      <c r="C17" s="81"/>
      <c r="D17" s="82"/>
      <c r="E17" s="82"/>
      <c r="F17" s="83"/>
      <c r="G17" s="21">
        <f>D17*F17</f>
        <v>0</v>
      </c>
      <c r="H17" s="21">
        <f t="shared" si="0"/>
        <v>0</v>
      </c>
      <c r="I17" s="101">
        <f t="shared" si="1"/>
        <v>0</v>
      </c>
    </row>
    <row r="18" spans="2:9" x14ac:dyDescent="0.2">
      <c r="B18" s="294"/>
      <c r="C18" s="81"/>
      <c r="D18" s="82"/>
      <c r="E18" s="82"/>
      <c r="F18" s="83"/>
      <c r="G18" s="21">
        <f>D18*F18</f>
        <v>0</v>
      </c>
      <c r="H18" s="101">
        <f t="shared" si="0"/>
        <v>0</v>
      </c>
      <c r="I18" s="101">
        <f t="shared" si="1"/>
        <v>0</v>
      </c>
    </row>
    <row r="19" spans="2:9" x14ac:dyDescent="0.2">
      <c r="B19" s="294"/>
      <c r="C19" s="81"/>
      <c r="D19" s="82"/>
      <c r="E19" s="82"/>
      <c r="F19" s="83"/>
      <c r="G19" s="21">
        <f t="shared" ref="G19:G41" si="2">D19*F19</f>
        <v>0</v>
      </c>
      <c r="H19" s="21">
        <f t="shared" si="0"/>
        <v>0</v>
      </c>
      <c r="I19" s="101">
        <f t="shared" si="1"/>
        <v>0</v>
      </c>
    </row>
    <row r="20" spans="2:9" x14ac:dyDescent="0.2">
      <c r="B20" s="294"/>
      <c r="C20" s="81"/>
      <c r="D20" s="82"/>
      <c r="E20" s="82"/>
      <c r="F20" s="83"/>
      <c r="G20" s="21">
        <f t="shared" si="2"/>
        <v>0</v>
      </c>
      <c r="H20" s="21">
        <f t="shared" si="0"/>
        <v>0</v>
      </c>
      <c r="I20" s="101">
        <f t="shared" si="1"/>
        <v>0</v>
      </c>
    </row>
    <row r="21" spans="2:9" x14ac:dyDescent="0.2">
      <c r="B21" s="294"/>
      <c r="C21" s="81"/>
      <c r="D21" s="82"/>
      <c r="E21" s="82"/>
      <c r="F21" s="83"/>
      <c r="G21" s="21">
        <f t="shared" si="2"/>
        <v>0</v>
      </c>
      <c r="H21" s="21">
        <f t="shared" si="0"/>
        <v>0</v>
      </c>
      <c r="I21" s="101">
        <f t="shared" si="1"/>
        <v>0</v>
      </c>
    </row>
    <row r="22" spans="2:9" x14ac:dyDescent="0.2">
      <c r="B22" s="294"/>
      <c r="C22" s="81"/>
      <c r="D22" s="82"/>
      <c r="E22" s="82"/>
      <c r="F22" s="83"/>
      <c r="G22" s="21">
        <f t="shared" si="2"/>
        <v>0</v>
      </c>
      <c r="H22" s="21">
        <f t="shared" si="0"/>
        <v>0</v>
      </c>
      <c r="I22" s="101">
        <f t="shared" si="1"/>
        <v>0</v>
      </c>
    </row>
    <row r="23" spans="2:9" x14ac:dyDescent="0.2">
      <c r="B23" s="294"/>
      <c r="C23" s="81"/>
      <c r="D23" s="82"/>
      <c r="E23" s="82"/>
      <c r="F23" s="83"/>
      <c r="G23" s="21">
        <f t="shared" si="2"/>
        <v>0</v>
      </c>
      <c r="H23" s="21">
        <f t="shared" si="0"/>
        <v>0</v>
      </c>
      <c r="I23" s="101">
        <f t="shared" si="1"/>
        <v>0</v>
      </c>
    </row>
    <row r="24" spans="2:9" x14ac:dyDescent="0.2">
      <c r="B24" s="294"/>
      <c r="C24" s="81"/>
      <c r="D24" s="82"/>
      <c r="E24" s="82"/>
      <c r="F24" s="83"/>
      <c r="G24" s="21">
        <f t="shared" si="2"/>
        <v>0</v>
      </c>
      <c r="H24" s="21">
        <f t="shared" si="0"/>
        <v>0</v>
      </c>
      <c r="I24" s="101">
        <f t="shared" si="1"/>
        <v>0</v>
      </c>
    </row>
    <row r="25" spans="2:9" x14ac:dyDescent="0.2">
      <c r="B25" s="294"/>
      <c r="C25" s="81"/>
      <c r="D25" s="82"/>
      <c r="E25" s="82"/>
      <c r="F25" s="83"/>
      <c r="G25" s="21">
        <f t="shared" si="2"/>
        <v>0</v>
      </c>
      <c r="H25" s="21">
        <f t="shared" si="0"/>
        <v>0</v>
      </c>
      <c r="I25" s="101">
        <f t="shared" si="1"/>
        <v>0</v>
      </c>
    </row>
    <row r="26" spans="2:9" x14ac:dyDescent="0.2">
      <c r="B26" s="294"/>
      <c r="C26" s="81"/>
      <c r="D26" s="82"/>
      <c r="E26" s="82"/>
      <c r="F26" s="83"/>
      <c r="G26" s="21">
        <f t="shared" si="2"/>
        <v>0</v>
      </c>
      <c r="H26" s="21">
        <f t="shared" si="0"/>
        <v>0</v>
      </c>
      <c r="I26" s="101">
        <f t="shared" si="1"/>
        <v>0</v>
      </c>
    </row>
    <row r="27" spans="2:9" x14ac:dyDescent="0.2">
      <c r="B27" s="294"/>
      <c r="C27" s="81"/>
      <c r="D27" s="82"/>
      <c r="E27" s="82"/>
      <c r="F27" s="83"/>
      <c r="G27" s="21">
        <f t="shared" si="2"/>
        <v>0</v>
      </c>
      <c r="H27" s="21">
        <f t="shared" si="0"/>
        <v>0</v>
      </c>
      <c r="I27" s="101">
        <f t="shared" si="1"/>
        <v>0</v>
      </c>
    </row>
    <row r="28" spans="2:9" x14ac:dyDescent="0.2">
      <c r="B28" s="294"/>
      <c r="C28" s="81"/>
      <c r="D28" s="82"/>
      <c r="E28" s="82"/>
      <c r="F28" s="83"/>
      <c r="G28" s="21">
        <f t="shared" si="2"/>
        <v>0</v>
      </c>
      <c r="H28" s="21">
        <f t="shared" si="0"/>
        <v>0</v>
      </c>
      <c r="I28" s="101">
        <f t="shared" si="1"/>
        <v>0</v>
      </c>
    </row>
    <row r="29" spans="2:9" x14ac:dyDescent="0.2">
      <c r="B29" s="294"/>
      <c r="C29" s="81"/>
      <c r="D29" s="82"/>
      <c r="E29" s="82"/>
      <c r="F29" s="83"/>
      <c r="G29" s="21">
        <f t="shared" si="2"/>
        <v>0</v>
      </c>
      <c r="H29" s="21">
        <f t="shared" si="0"/>
        <v>0</v>
      </c>
      <c r="I29" s="101">
        <f t="shared" si="1"/>
        <v>0</v>
      </c>
    </row>
    <row r="30" spans="2:9" x14ac:dyDescent="0.2">
      <c r="B30" s="294"/>
      <c r="C30" s="81"/>
      <c r="D30" s="82"/>
      <c r="E30" s="82"/>
      <c r="F30" s="83"/>
      <c r="G30" s="21">
        <f t="shared" si="2"/>
        <v>0</v>
      </c>
      <c r="H30" s="21">
        <f t="shared" si="0"/>
        <v>0</v>
      </c>
      <c r="I30" s="101">
        <f t="shared" si="1"/>
        <v>0</v>
      </c>
    </row>
    <row r="31" spans="2:9" x14ac:dyDescent="0.2">
      <c r="B31" s="294"/>
      <c r="C31" s="81"/>
      <c r="D31" s="82"/>
      <c r="E31" s="82"/>
      <c r="F31" s="83"/>
      <c r="G31" s="21">
        <f t="shared" si="2"/>
        <v>0</v>
      </c>
      <c r="H31" s="21">
        <f t="shared" si="0"/>
        <v>0</v>
      </c>
      <c r="I31" s="101">
        <f t="shared" si="1"/>
        <v>0</v>
      </c>
    </row>
    <row r="32" spans="2:9" x14ac:dyDescent="0.2">
      <c r="B32" s="294"/>
      <c r="C32" s="81"/>
      <c r="D32" s="82"/>
      <c r="E32" s="82"/>
      <c r="F32" s="83"/>
      <c r="G32" s="21">
        <f t="shared" si="2"/>
        <v>0</v>
      </c>
      <c r="H32" s="21">
        <f t="shared" si="0"/>
        <v>0</v>
      </c>
      <c r="I32" s="101">
        <f t="shared" si="1"/>
        <v>0</v>
      </c>
    </row>
    <row r="33" spans="2:9" x14ac:dyDescent="0.2">
      <c r="B33" s="294"/>
      <c r="C33" s="81"/>
      <c r="D33" s="82"/>
      <c r="E33" s="82"/>
      <c r="F33" s="83"/>
      <c r="G33" s="21">
        <f t="shared" si="2"/>
        <v>0</v>
      </c>
      <c r="H33" s="21">
        <f t="shared" si="0"/>
        <v>0</v>
      </c>
      <c r="I33" s="101">
        <f t="shared" si="1"/>
        <v>0</v>
      </c>
    </row>
    <row r="34" spans="2:9" x14ac:dyDescent="0.2">
      <c r="B34" s="294"/>
      <c r="C34" s="81"/>
      <c r="D34" s="82"/>
      <c r="E34" s="82"/>
      <c r="F34" s="83"/>
      <c r="G34" s="21">
        <f t="shared" si="2"/>
        <v>0</v>
      </c>
      <c r="H34" s="21">
        <f t="shared" si="0"/>
        <v>0</v>
      </c>
      <c r="I34" s="101">
        <f t="shared" si="1"/>
        <v>0</v>
      </c>
    </row>
    <row r="35" spans="2:9" x14ac:dyDescent="0.2">
      <c r="B35" s="294"/>
      <c r="C35" s="81"/>
      <c r="D35" s="82"/>
      <c r="E35" s="82"/>
      <c r="F35" s="83"/>
      <c r="G35" s="21">
        <f t="shared" si="2"/>
        <v>0</v>
      </c>
      <c r="H35" s="21">
        <f t="shared" si="0"/>
        <v>0</v>
      </c>
      <c r="I35" s="101">
        <f t="shared" si="1"/>
        <v>0</v>
      </c>
    </row>
    <row r="36" spans="2:9" x14ac:dyDescent="0.2">
      <c r="B36" s="294"/>
      <c r="C36" s="81"/>
      <c r="D36" s="82"/>
      <c r="E36" s="82"/>
      <c r="F36" s="83"/>
      <c r="G36" s="21">
        <f t="shared" si="2"/>
        <v>0</v>
      </c>
      <c r="H36" s="21">
        <f t="shared" si="0"/>
        <v>0</v>
      </c>
      <c r="I36" s="101">
        <f t="shared" si="1"/>
        <v>0</v>
      </c>
    </row>
    <row r="37" spans="2:9" x14ac:dyDescent="0.2">
      <c r="B37" s="294"/>
      <c r="C37" s="81"/>
      <c r="D37" s="82"/>
      <c r="E37" s="82"/>
      <c r="F37" s="83"/>
      <c r="G37" s="21">
        <f t="shared" si="2"/>
        <v>0</v>
      </c>
      <c r="H37" s="21">
        <f t="shared" si="0"/>
        <v>0</v>
      </c>
      <c r="I37" s="101">
        <f t="shared" si="1"/>
        <v>0</v>
      </c>
    </row>
    <row r="38" spans="2:9" x14ac:dyDescent="0.2">
      <c r="B38" s="294"/>
      <c r="C38" s="81"/>
      <c r="D38" s="82"/>
      <c r="E38" s="82"/>
      <c r="F38" s="83"/>
      <c r="G38" s="21">
        <f t="shared" si="2"/>
        <v>0</v>
      </c>
      <c r="H38" s="21">
        <f t="shared" si="0"/>
        <v>0</v>
      </c>
      <c r="I38" s="101">
        <f t="shared" si="1"/>
        <v>0</v>
      </c>
    </row>
    <row r="39" spans="2:9" x14ac:dyDescent="0.2">
      <c r="B39" s="294"/>
      <c r="C39" s="81"/>
      <c r="D39" s="82"/>
      <c r="E39" s="82"/>
      <c r="F39" s="83"/>
      <c r="G39" s="21">
        <f t="shared" si="2"/>
        <v>0</v>
      </c>
      <c r="H39" s="21">
        <f t="shared" si="0"/>
        <v>0</v>
      </c>
      <c r="I39" s="101">
        <f t="shared" si="1"/>
        <v>0</v>
      </c>
    </row>
    <row r="40" spans="2:9" x14ac:dyDescent="0.2">
      <c r="B40" s="294"/>
      <c r="C40" s="81"/>
      <c r="D40" s="82"/>
      <c r="E40" s="82"/>
      <c r="F40" s="83"/>
      <c r="G40" s="21">
        <f t="shared" si="2"/>
        <v>0</v>
      </c>
      <c r="H40" s="21">
        <f t="shared" si="0"/>
        <v>0</v>
      </c>
      <c r="I40" s="101">
        <f t="shared" si="1"/>
        <v>0</v>
      </c>
    </row>
    <row r="41" spans="2:9" x14ac:dyDescent="0.2">
      <c r="B41" s="294"/>
      <c r="C41" s="81"/>
      <c r="D41" s="82"/>
      <c r="E41" s="82"/>
      <c r="F41" s="83"/>
      <c r="G41" s="21">
        <f t="shared" si="2"/>
        <v>0</v>
      </c>
      <c r="H41" s="21">
        <f t="shared" si="0"/>
        <v>0</v>
      </c>
      <c r="I41" s="101">
        <f t="shared" si="1"/>
        <v>0</v>
      </c>
    </row>
    <row r="42" spans="2:9" x14ac:dyDescent="0.2">
      <c r="B42" s="295"/>
      <c r="C42" s="135" t="s">
        <v>56</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1.140625" style="216" customWidth="1"/>
    <col min="2" max="2" width="21" style="216" customWidth="1"/>
    <col min="3" max="3" width="36.140625" style="216" customWidth="1"/>
    <col min="4" max="4" width="26.85546875" style="216" customWidth="1"/>
    <col min="5" max="5" width="23.5703125" style="216" customWidth="1"/>
    <col min="6" max="6" width="22.5703125" style="216" customWidth="1"/>
    <col min="7" max="7" width="20.5703125" style="216" customWidth="1"/>
    <col min="8" max="9" width="22.5703125" style="216" customWidth="1"/>
    <col min="10" max="10" width="35.140625" style="216" customWidth="1"/>
    <col min="11" max="11" width="25.140625" style="216" customWidth="1"/>
    <col min="12" max="16384" width="9.140625" style="216"/>
  </cols>
  <sheetData>
    <row r="1" spans="2:10" ht="20.25" customHeight="1" x14ac:dyDescent="0.3">
      <c r="B1" s="146" t="s">
        <v>53</v>
      </c>
      <c r="C1" s="146"/>
      <c r="D1" s="215"/>
      <c r="E1" s="215"/>
      <c r="F1" s="215"/>
      <c r="G1" s="215"/>
      <c r="H1" s="215"/>
      <c r="I1" s="215"/>
    </row>
    <row r="2" spans="2:10" ht="20.25" customHeight="1" x14ac:dyDescent="0.3">
      <c r="B2" s="146" t="str">
        <f>IF(Tradingname=0," ",Tradingname)</f>
        <v>APT PIPELINES (NSW) PTY LIMITED</v>
      </c>
      <c r="C2" s="146"/>
      <c r="H2" s="217"/>
      <c r="I2" s="217"/>
    </row>
    <row r="3" spans="2:10" ht="20.25" customHeight="1" x14ac:dyDescent="0.3">
      <c r="B3" s="146" t="s">
        <v>30</v>
      </c>
      <c r="C3" s="110">
        <f>IF(Yearending=0, "01/01/2000", Yearending)</f>
        <v>45838</v>
      </c>
    </row>
    <row r="4" spans="2:10" ht="20.25" x14ac:dyDescent="0.2">
      <c r="B4" s="102" t="s">
        <v>193</v>
      </c>
      <c r="C4" s="102"/>
    </row>
    <row r="6" spans="2:10" x14ac:dyDescent="0.2">
      <c r="B6" s="502" t="s">
        <v>183</v>
      </c>
      <c r="C6" s="502"/>
      <c r="D6" s="502"/>
    </row>
    <row r="7" spans="2:10" ht="15.75" customHeight="1" x14ac:dyDescent="0.2">
      <c r="B7" s="502"/>
      <c r="C7" s="502"/>
      <c r="D7" s="502"/>
    </row>
    <row r="8" spans="2:10" ht="24" customHeight="1" x14ac:dyDescent="0.2">
      <c r="B8" s="502"/>
      <c r="C8" s="502"/>
      <c r="D8" s="502"/>
    </row>
    <row r="11" spans="2:10" ht="15.75" x14ac:dyDescent="0.25">
      <c r="B11" s="218" t="s">
        <v>194</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113</v>
      </c>
      <c r="C13" s="48" t="s">
        <v>114</v>
      </c>
      <c r="D13" s="52" t="s">
        <v>195</v>
      </c>
      <c r="E13" s="49" t="s">
        <v>196</v>
      </c>
      <c r="F13" s="49" t="s">
        <v>197</v>
      </c>
      <c r="G13" s="49" t="s">
        <v>188</v>
      </c>
      <c r="H13" s="49" t="s">
        <v>189</v>
      </c>
      <c r="I13" s="49" t="s">
        <v>190</v>
      </c>
      <c r="J13" s="49" t="s">
        <v>191</v>
      </c>
    </row>
    <row r="14" spans="2:10" x14ac:dyDescent="0.2">
      <c r="B14" s="50"/>
      <c r="C14" s="50" t="s">
        <v>198</v>
      </c>
      <c r="D14" s="53"/>
      <c r="E14" s="51" t="s">
        <v>116</v>
      </c>
      <c r="F14" s="51" t="s">
        <v>116</v>
      </c>
      <c r="G14" s="51"/>
      <c r="H14" s="51" t="s">
        <v>116</v>
      </c>
      <c r="I14" s="51" t="s">
        <v>116</v>
      </c>
      <c r="J14" s="51" t="s">
        <v>116</v>
      </c>
    </row>
    <row r="15" spans="2:10" x14ac:dyDescent="0.2">
      <c r="B15" s="294"/>
      <c r="C15" s="45" t="s">
        <v>149</v>
      </c>
      <c r="D15" s="136"/>
      <c r="E15" s="82"/>
      <c r="F15" s="82"/>
      <c r="G15" s="83"/>
      <c r="H15" s="21">
        <f t="shared" ref="H15:H22" si="0">E15*G15</f>
        <v>0</v>
      </c>
      <c r="I15" s="21">
        <f t="shared" ref="I15:I22" si="1">F15*G15</f>
        <v>0</v>
      </c>
      <c r="J15" s="101">
        <f t="shared" ref="J15:J35" si="2">H15+I15</f>
        <v>0</v>
      </c>
    </row>
    <row r="16" spans="2:10" ht="25.5" x14ac:dyDescent="0.2">
      <c r="B16" s="294"/>
      <c r="C16" s="45" t="s">
        <v>150</v>
      </c>
      <c r="D16" s="136"/>
      <c r="E16" s="82"/>
      <c r="F16" s="82"/>
      <c r="G16" s="83"/>
      <c r="H16" s="21">
        <f t="shared" si="0"/>
        <v>0</v>
      </c>
      <c r="I16" s="21">
        <f t="shared" si="1"/>
        <v>0</v>
      </c>
      <c r="J16" s="101">
        <f t="shared" si="2"/>
        <v>0</v>
      </c>
    </row>
    <row r="17" spans="2:10" x14ac:dyDescent="0.2">
      <c r="B17" s="294"/>
      <c r="C17" s="54" t="s">
        <v>151</v>
      </c>
      <c r="D17" s="136"/>
      <c r="E17" s="82"/>
      <c r="F17" s="82"/>
      <c r="G17" s="83"/>
      <c r="H17" s="21">
        <f t="shared" si="0"/>
        <v>0</v>
      </c>
      <c r="I17" s="21">
        <f t="shared" si="1"/>
        <v>0</v>
      </c>
      <c r="J17" s="101">
        <f t="shared" si="2"/>
        <v>0</v>
      </c>
    </row>
    <row r="18" spans="2:10" x14ac:dyDescent="0.2">
      <c r="B18" s="427" t="s">
        <v>1163</v>
      </c>
      <c r="C18" s="45" t="s">
        <v>152</v>
      </c>
      <c r="D18" s="136"/>
      <c r="E18" s="82">
        <v>55278031</v>
      </c>
      <c r="F18" s="82"/>
      <c r="G18" s="83">
        <v>2.6373036422653998E-3</v>
      </c>
      <c r="H18" s="21">
        <f t="shared" si="0"/>
        <v>145784.95249355969</v>
      </c>
      <c r="I18" s="21">
        <f t="shared" si="1"/>
        <v>0</v>
      </c>
      <c r="J18" s="101">
        <f t="shared" si="2"/>
        <v>145784.95249355969</v>
      </c>
    </row>
    <row r="19" spans="2:10" x14ac:dyDescent="0.2">
      <c r="B19" s="294"/>
      <c r="C19" s="45" t="s">
        <v>153</v>
      </c>
      <c r="D19" s="136"/>
      <c r="E19" s="82"/>
      <c r="F19" s="82"/>
      <c r="G19" s="83"/>
      <c r="H19" s="21">
        <f t="shared" si="0"/>
        <v>0</v>
      </c>
      <c r="I19" s="21">
        <f t="shared" si="1"/>
        <v>0</v>
      </c>
      <c r="J19" s="101">
        <f t="shared" si="2"/>
        <v>0</v>
      </c>
    </row>
    <row r="20" spans="2:10" x14ac:dyDescent="0.2">
      <c r="B20" s="294"/>
      <c r="C20" s="54" t="s">
        <v>154</v>
      </c>
      <c r="D20" s="136"/>
      <c r="E20" s="82"/>
      <c r="F20" s="82"/>
      <c r="G20" s="83"/>
      <c r="H20" s="21">
        <f t="shared" si="0"/>
        <v>0</v>
      </c>
      <c r="I20" s="21">
        <f t="shared" si="1"/>
        <v>0</v>
      </c>
      <c r="J20" s="101">
        <f t="shared" si="2"/>
        <v>0</v>
      </c>
    </row>
    <row r="21" spans="2:10" x14ac:dyDescent="0.2">
      <c r="B21" s="294"/>
      <c r="C21" s="54" t="s">
        <v>155</v>
      </c>
      <c r="D21" s="136"/>
      <c r="E21" s="82"/>
      <c r="F21" s="82"/>
      <c r="G21" s="83"/>
      <c r="H21" s="21">
        <f t="shared" si="0"/>
        <v>0</v>
      </c>
      <c r="I21" s="21">
        <f t="shared" si="1"/>
        <v>0</v>
      </c>
      <c r="J21" s="101">
        <f t="shared" si="2"/>
        <v>0</v>
      </c>
    </row>
    <row r="22" spans="2:10" ht="25.5" x14ac:dyDescent="0.2">
      <c r="B22" s="294"/>
      <c r="C22" s="54" t="s">
        <v>156</v>
      </c>
      <c r="D22" s="136"/>
      <c r="E22" s="82"/>
      <c r="F22" s="82"/>
      <c r="G22" s="83"/>
      <c r="H22" s="21">
        <f t="shared" si="0"/>
        <v>0</v>
      </c>
      <c r="I22" s="21">
        <f t="shared" si="1"/>
        <v>0</v>
      </c>
      <c r="J22" s="101">
        <f t="shared" si="2"/>
        <v>0</v>
      </c>
    </row>
    <row r="23" spans="2:10" x14ac:dyDescent="0.2">
      <c r="B23" s="294"/>
      <c r="C23" s="45" t="s">
        <v>157</v>
      </c>
      <c r="D23" s="136"/>
      <c r="E23" s="137">
        <f>SUM(E24:E35)</f>
        <v>205056471.24199873</v>
      </c>
      <c r="F23" s="137">
        <f>SUM(F24:F35)</f>
        <v>0</v>
      </c>
      <c r="G23" s="138"/>
      <c r="H23" s="137">
        <f>SUM(H24:H35)</f>
        <v>540796.17847661488</v>
      </c>
      <c r="I23" s="137">
        <f>SUM(I24:I35)</f>
        <v>0</v>
      </c>
      <c r="J23" s="101">
        <f t="shared" si="2"/>
        <v>540796.17847661488</v>
      </c>
    </row>
    <row r="24" spans="2:10" x14ac:dyDescent="0.2">
      <c r="B24" s="421" t="s">
        <v>1163</v>
      </c>
      <c r="C24" s="81" t="s">
        <v>733</v>
      </c>
      <c r="D24" s="136"/>
      <c r="E24" s="82">
        <v>190714348.27999875</v>
      </c>
      <c r="F24" s="82"/>
      <c r="G24" s="83">
        <v>2.6373036422654068E-3</v>
      </c>
      <c r="H24" s="21">
        <f t="shared" ref="H24:H35" si="3">E24*G24</f>
        <v>502971.64535111404</v>
      </c>
      <c r="I24" s="21">
        <f t="shared" ref="I24:I35" si="4">F24*G24</f>
        <v>0</v>
      </c>
      <c r="J24" s="101">
        <f t="shared" si="2"/>
        <v>502971.64535111404</v>
      </c>
    </row>
    <row r="25" spans="2:10" x14ac:dyDescent="0.2">
      <c r="B25" s="427" t="s">
        <v>1163</v>
      </c>
      <c r="C25" s="357" t="s">
        <v>848</v>
      </c>
      <c r="D25" s="136"/>
      <c r="E25" s="82">
        <v>1942424.69</v>
      </c>
      <c r="F25" s="82"/>
      <c r="G25" s="83">
        <v>2.6373036422654068E-3</v>
      </c>
      <c r="H25" s="21">
        <f t="shared" si="3"/>
        <v>5122.7637097632532</v>
      </c>
      <c r="I25" s="21">
        <f t="shared" si="4"/>
        <v>0</v>
      </c>
      <c r="J25" s="101">
        <f t="shared" si="2"/>
        <v>5122.7637097632532</v>
      </c>
    </row>
    <row r="26" spans="2:10" x14ac:dyDescent="0.2">
      <c r="B26" s="427" t="s">
        <v>1163</v>
      </c>
      <c r="C26" s="357" t="s">
        <v>808</v>
      </c>
      <c r="D26" s="136"/>
      <c r="E26" s="82">
        <v>12399698.271999989</v>
      </c>
      <c r="F26" s="82"/>
      <c r="G26" s="83">
        <v>2.6373036422654068E-3</v>
      </c>
      <c r="H26" s="21">
        <f t="shared" si="3"/>
        <v>32701.769415737643</v>
      </c>
      <c r="I26" s="21">
        <f t="shared" si="4"/>
        <v>0</v>
      </c>
      <c r="J26" s="101">
        <f t="shared" si="2"/>
        <v>32701.769415737643</v>
      </c>
    </row>
    <row r="27" spans="2:10" x14ac:dyDescent="0.2">
      <c r="B27" s="294"/>
      <c r="C27" s="81"/>
      <c r="D27" s="136"/>
      <c r="E27" s="82"/>
      <c r="F27" s="82"/>
      <c r="G27" s="83"/>
      <c r="H27" s="21">
        <f t="shared" si="3"/>
        <v>0</v>
      </c>
      <c r="I27" s="21">
        <f t="shared" si="4"/>
        <v>0</v>
      </c>
      <c r="J27" s="101">
        <f t="shared" si="2"/>
        <v>0</v>
      </c>
    </row>
    <row r="28" spans="2:10" x14ac:dyDescent="0.2">
      <c r="B28" s="294"/>
      <c r="C28" s="81"/>
      <c r="D28" s="136"/>
      <c r="E28" s="82"/>
      <c r="F28" s="82"/>
      <c r="G28" s="83"/>
      <c r="H28" s="21">
        <f t="shared" si="3"/>
        <v>0</v>
      </c>
      <c r="I28" s="21">
        <f t="shared" si="4"/>
        <v>0</v>
      </c>
      <c r="J28" s="101">
        <f t="shared" si="2"/>
        <v>0</v>
      </c>
    </row>
    <row r="29" spans="2:10" x14ac:dyDescent="0.2">
      <c r="B29" s="294"/>
      <c r="C29" s="81"/>
      <c r="D29" s="136"/>
      <c r="E29" s="82"/>
      <c r="F29" s="82"/>
      <c r="G29" s="83"/>
      <c r="H29" s="21">
        <f t="shared" si="3"/>
        <v>0</v>
      </c>
      <c r="I29" s="21">
        <f t="shared" si="4"/>
        <v>0</v>
      </c>
      <c r="J29" s="101">
        <f t="shared" si="2"/>
        <v>0</v>
      </c>
    </row>
    <row r="30" spans="2:10" x14ac:dyDescent="0.2">
      <c r="B30" s="294"/>
      <c r="C30" s="81"/>
      <c r="D30" s="136"/>
      <c r="E30" s="82"/>
      <c r="F30" s="82"/>
      <c r="G30" s="83"/>
      <c r="H30" s="21">
        <f t="shared" si="3"/>
        <v>0</v>
      </c>
      <c r="I30" s="21">
        <f t="shared" si="4"/>
        <v>0</v>
      </c>
      <c r="J30" s="101">
        <f t="shared" si="2"/>
        <v>0</v>
      </c>
    </row>
    <row r="31" spans="2:10" x14ac:dyDescent="0.2">
      <c r="B31" s="294"/>
      <c r="C31" s="81"/>
      <c r="D31" s="136"/>
      <c r="E31" s="82"/>
      <c r="F31" s="82"/>
      <c r="G31" s="83"/>
      <c r="H31" s="21">
        <f t="shared" si="3"/>
        <v>0</v>
      </c>
      <c r="I31" s="21">
        <f t="shared" si="4"/>
        <v>0</v>
      </c>
      <c r="J31" s="101">
        <f t="shared" si="2"/>
        <v>0</v>
      </c>
    </row>
    <row r="32" spans="2:10" x14ac:dyDescent="0.2">
      <c r="B32" s="294"/>
      <c r="C32" s="81"/>
      <c r="D32" s="136"/>
      <c r="E32" s="82"/>
      <c r="F32" s="82"/>
      <c r="G32" s="83"/>
      <c r="H32" s="21">
        <f t="shared" si="3"/>
        <v>0</v>
      </c>
      <c r="I32" s="21">
        <f t="shared" si="4"/>
        <v>0</v>
      </c>
      <c r="J32" s="101">
        <f t="shared" si="2"/>
        <v>0</v>
      </c>
    </row>
    <row r="33" spans="2:10" x14ac:dyDescent="0.2">
      <c r="B33" s="294"/>
      <c r="C33" s="81"/>
      <c r="D33" s="136"/>
      <c r="E33" s="82"/>
      <c r="F33" s="82"/>
      <c r="G33" s="83"/>
      <c r="H33" s="21">
        <f t="shared" si="3"/>
        <v>0</v>
      </c>
      <c r="I33" s="21">
        <f t="shared" si="4"/>
        <v>0</v>
      </c>
      <c r="J33" s="101">
        <f t="shared" si="2"/>
        <v>0</v>
      </c>
    </row>
    <row r="34" spans="2:10" x14ac:dyDescent="0.2">
      <c r="B34" s="294"/>
      <c r="C34" s="81"/>
      <c r="D34" s="136"/>
      <c r="E34" s="82"/>
      <c r="F34" s="82"/>
      <c r="G34" s="83"/>
      <c r="H34" s="21">
        <f t="shared" si="3"/>
        <v>0</v>
      </c>
      <c r="I34" s="21">
        <f t="shared" si="4"/>
        <v>0</v>
      </c>
      <c r="J34" s="101">
        <f t="shared" si="2"/>
        <v>0</v>
      </c>
    </row>
    <row r="35" spans="2:10" x14ac:dyDescent="0.2">
      <c r="B35" s="294"/>
      <c r="C35" s="81"/>
      <c r="D35" s="136"/>
      <c r="E35" s="82"/>
      <c r="F35" s="82"/>
      <c r="G35" s="83"/>
      <c r="H35" s="21">
        <f t="shared" si="3"/>
        <v>0</v>
      </c>
      <c r="I35" s="21">
        <f t="shared" si="4"/>
        <v>0</v>
      </c>
      <c r="J35" s="101">
        <f t="shared" si="2"/>
        <v>0</v>
      </c>
    </row>
    <row r="36" spans="2:10" x14ac:dyDescent="0.2">
      <c r="B36" s="295"/>
      <c r="C36" s="503" t="s">
        <v>181</v>
      </c>
      <c r="D36" s="504"/>
      <c r="E36" s="21">
        <f>SUM(E15:E23)</f>
        <v>260334502.24199873</v>
      </c>
      <c r="F36" s="21">
        <f>SUM(F15:F23)</f>
        <v>0</v>
      </c>
      <c r="G36" s="139"/>
      <c r="H36" s="21">
        <f>SUM(H15:H23)</f>
        <v>686581.13097017456</v>
      </c>
      <c r="I36" s="21">
        <f>SUM(I15:I23)</f>
        <v>0</v>
      </c>
      <c r="J36" s="101">
        <f>SUM(J15:J23)</f>
        <v>686581.13097017456</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85546875" style="4" customWidth="1"/>
    <col min="6" max="6" width="9.140625" style="4"/>
    <col min="7" max="7" width="13.42578125" style="4" customWidth="1"/>
    <col min="8" max="8" width="15.42578125" style="4" customWidth="1"/>
    <col min="9" max="16384" width="9.140625" style="4"/>
  </cols>
  <sheetData>
    <row r="1" spans="2:6" ht="20.25" x14ac:dyDescent="0.2">
      <c r="B1" s="146" t="s">
        <v>53</v>
      </c>
      <c r="C1" s="146"/>
    </row>
    <row r="2" spans="2:6" ht="20.25" x14ac:dyDescent="0.2">
      <c r="B2" s="146" t="str">
        <f>IF(Tradingname=0," ",Tradingname)</f>
        <v>APT PIPELINES (NSW) PTY LIMITED</v>
      </c>
      <c r="C2" s="146"/>
      <c r="E2" s="272"/>
    </row>
    <row r="3" spans="2:6" ht="20.25" x14ac:dyDescent="0.3">
      <c r="B3" s="146" t="s">
        <v>30</v>
      </c>
      <c r="C3" s="110">
        <f>IF(Yearending=0, "01/01/2000", Yearending)</f>
        <v>45838</v>
      </c>
    </row>
    <row r="4" spans="2:6" ht="45" customHeight="1" x14ac:dyDescent="0.2">
      <c r="B4" s="506" t="s">
        <v>199</v>
      </c>
      <c r="C4" s="506"/>
      <c r="D4" s="255"/>
    </row>
    <row r="5" spans="2:6" x14ac:dyDescent="0.2">
      <c r="D5" s="273"/>
    </row>
    <row r="6" spans="2:6" ht="12.75" customHeight="1" x14ac:dyDescent="0.2">
      <c r="B6" s="502" t="s">
        <v>200</v>
      </c>
      <c r="C6" s="502"/>
      <c r="D6" s="502"/>
      <c r="E6" s="502"/>
      <c r="F6" s="502"/>
    </row>
    <row r="7" spans="2:6" ht="12.75" customHeight="1" x14ac:dyDescent="0.2">
      <c r="B7" s="502"/>
      <c r="C7" s="502"/>
      <c r="D7" s="502"/>
      <c r="E7" s="502"/>
      <c r="F7" s="502"/>
    </row>
    <row r="8" spans="2:6" ht="12.75" customHeight="1" x14ac:dyDescent="0.2">
      <c r="B8" s="502"/>
      <c r="C8" s="502"/>
      <c r="D8" s="502"/>
      <c r="E8" s="502"/>
      <c r="F8" s="502"/>
    </row>
    <row r="9" spans="2:6" ht="12.75" customHeight="1" x14ac:dyDescent="0.2">
      <c r="B9" s="502"/>
      <c r="C9" s="502"/>
      <c r="D9" s="502"/>
      <c r="E9" s="502"/>
      <c r="F9" s="502"/>
    </row>
    <row r="10" spans="2:6" ht="12.75" customHeight="1" x14ac:dyDescent="0.2">
      <c r="B10" s="502"/>
      <c r="C10" s="502"/>
      <c r="D10" s="502"/>
      <c r="E10" s="502"/>
      <c r="F10" s="502"/>
    </row>
    <row r="11" spans="2:6" x14ac:dyDescent="0.2">
      <c r="D11" s="273"/>
    </row>
    <row r="12" spans="2:6" x14ac:dyDescent="0.2">
      <c r="D12" s="273"/>
    </row>
    <row r="13" spans="2:6" ht="15.75" x14ac:dyDescent="0.2">
      <c r="B13" s="505" t="s">
        <v>201</v>
      </c>
      <c r="C13" s="505"/>
      <c r="D13" s="273"/>
    </row>
    <row r="15" spans="2:6" ht="25.5" x14ac:dyDescent="0.2">
      <c r="B15" s="55" t="s">
        <v>113</v>
      </c>
      <c r="C15" s="56" t="s">
        <v>114</v>
      </c>
      <c r="D15" s="56" t="s">
        <v>162</v>
      </c>
      <c r="E15" s="313" t="s">
        <v>124</v>
      </c>
    </row>
    <row r="16" spans="2:6" x14ac:dyDescent="0.2">
      <c r="B16" s="55"/>
      <c r="C16" s="57" t="s">
        <v>202</v>
      </c>
      <c r="D16" s="313"/>
      <c r="E16" s="313"/>
    </row>
    <row r="17" spans="2:7" x14ac:dyDescent="0.2">
      <c r="B17" s="296"/>
      <c r="C17" s="59" t="s">
        <v>203</v>
      </c>
      <c r="D17" s="56"/>
      <c r="E17" s="313"/>
    </row>
    <row r="18" spans="2:7" x14ac:dyDescent="0.2">
      <c r="B18" s="418" t="s">
        <v>1153</v>
      </c>
      <c r="C18" s="58" t="s">
        <v>204</v>
      </c>
      <c r="D18" s="140">
        <f>IF(Cover!C23="Scheme pipeline","-",SUMIF('3.5 Depreciation amortisation'!$D$15:$D$58,'3.1 Depreciated Book Value'!C17,'3.5 Depreciation amortisation'!$H$15:$H$58))</f>
        <v>34998424.020000003</v>
      </c>
      <c r="E18" s="77">
        <v>31845316.320000004</v>
      </c>
    </row>
    <row r="19" spans="2:7" x14ac:dyDescent="0.2">
      <c r="B19" s="418" t="s">
        <v>1153</v>
      </c>
      <c r="C19" s="58" t="s">
        <v>205</v>
      </c>
      <c r="D19" s="140">
        <f>IF(Cover!C23="Scheme pipeline","-",SUMIF('3.5 Depreciation amortisation'!$D$15:$D$58,'3.1 Depreciated Book Value'!C17,'3.5 Depreciation amortisation'!$I$15:$I$58))</f>
        <v>0</v>
      </c>
      <c r="E19" s="77">
        <v>3153107.7</v>
      </c>
    </row>
    <row r="20" spans="2:7" x14ac:dyDescent="0.2">
      <c r="B20" s="418" t="s">
        <v>1153</v>
      </c>
      <c r="C20" s="58" t="s">
        <v>206</v>
      </c>
      <c r="D20" s="140">
        <f>IF(Cover!C23="Scheme pipeline","-",SUMIF('3.5 Depreciation amortisation'!$D$15:$D$58,'3.1 Depreciated Book Value'!C17,'3.5 Depreciation amortisation'!$J$15:$J$58))</f>
        <v>0</v>
      </c>
      <c r="E20" s="77">
        <v>0</v>
      </c>
    </row>
    <row r="21" spans="2:7" x14ac:dyDescent="0.2">
      <c r="B21" s="419"/>
      <c r="C21" s="95" t="s">
        <v>207</v>
      </c>
      <c r="D21" s="140">
        <f>IF(Cover!C23="Scheme pipeline","-",SUM(D18:D20))</f>
        <v>34998424.020000003</v>
      </c>
      <c r="E21" s="140">
        <f>SUM(E18:E20)</f>
        <v>34998424.020000003</v>
      </c>
    </row>
    <row r="22" spans="2:7" x14ac:dyDescent="0.2">
      <c r="B22" s="418" t="s">
        <v>1153</v>
      </c>
      <c r="C22" s="58" t="s">
        <v>208</v>
      </c>
      <c r="D22" s="140">
        <f>IF(Cover!C23="Scheme pipeline","-",-ABS(SUMIF('3.5 Depreciation amortisation'!$D$15:$D$58,'3.1 Depreciated Book Value'!C17,'3.5 Depreciation amortisation'!$O$15:$O$58)+SUMIF('3.5 Depreciation amortisation'!$D$15:$D$58,'3.1 Depreciated Book Value'!C17,'3.5 Depreciation amortisation'!$P$15:$P$58))-D23)</f>
        <v>-12746954.520000003</v>
      </c>
      <c r="E22" s="77">
        <v>-11806838.320000004</v>
      </c>
    </row>
    <row r="23" spans="2:7" x14ac:dyDescent="0.2">
      <c r="B23" s="418" t="s">
        <v>1153</v>
      </c>
      <c r="C23" s="58" t="s">
        <v>209</v>
      </c>
      <c r="D23" s="140">
        <f>IF(Cover!C23="Scheme pipeline","-",-ABS(SUMIF('3.4 Asset impairment'!$C$10:$C$24,'3.1 Depreciated Book Value'!C17,'3.4 Asset impairment'!$D$10:$D$24))+SUMIF('3.4 Asset impairment'!$C$30:$C$56,'3.1 Depreciated Book Value'!C17,'3.4 Asset impairment'!$G$30:$G$56))</f>
        <v>0</v>
      </c>
      <c r="E23" s="77">
        <v>0</v>
      </c>
    </row>
    <row r="24" spans="2:7" x14ac:dyDescent="0.2">
      <c r="B24" s="418" t="s">
        <v>1153</v>
      </c>
      <c r="C24" s="58" t="s">
        <v>210</v>
      </c>
      <c r="D24" s="140">
        <f>IF(Cover!C23="Scheme pipeline","-",SUMIF('3.5 Depreciation amortisation'!$D$15:$D$58,'3.1 Depreciated Book Value'!C17,'3.5 Depreciation amortisation'!$K$15:$K$58))</f>
        <v>0</v>
      </c>
      <c r="E24" s="77">
        <v>0</v>
      </c>
      <c r="F24" s="253"/>
    </row>
    <row r="25" spans="2:7" x14ac:dyDescent="0.2">
      <c r="B25" s="419"/>
      <c r="C25" s="95" t="s">
        <v>211</v>
      </c>
      <c r="D25" s="140">
        <f>IF(Cover!C23="Scheme pipeline","-",SUM(D21:D24))</f>
        <v>22251469.5</v>
      </c>
      <c r="E25" s="140">
        <f>SUM(E21:E24)</f>
        <v>23191585.699999999</v>
      </c>
    </row>
    <row r="26" spans="2:7" x14ac:dyDescent="0.2">
      <c r="B26" s="419"/>
      <c r="C26" s="59" t="s">
        <v>212</v>
      </c>
      <c r="D26" s="141"/>
      <c r="E26" s="141"/>
      <c r="G26" s="171"/>
    </row>
    <row r="27" spans="2:7" x14ac:dyDescent="0.2">
      <c r="B27" s="418" t="s">
        <v>1153</v>
      </c>
      <c r="C27" s="58" t="s">
        <v>204</v>
      </c>
      <c r="D27" s="140">
        <f>IF(Cover!C23="Scheme pipeline","-",SUMIF('3.5 Depreciation amortisation'!$D$15:$D$58,'3.1 Depreciated Book Value'!C26,'3.5 Depreciation amortisation'!$H$15:$H$58))</f>
        <v>0</v>
      </c>
      <c r="E27" s="77">
        <v>0</v>
      </c>
      <c r="G27" s="171"/>
    </row>
    <row r="28" spans="2:7" x14ac:dyDescent="0.2">
      <c r="B28" s="418" t="s">
        <v>1153</v>
      </c>
      <c r="C28" s="58" t="s">
        <v>205</v>
      </c>
      <c r="D28" s="140">
        <f>IF(Cover!C23="Scheme pipeline","-",SUMIF('3.5 Depreciation amortisation'!$D$15:$D$58,'3.1 Depreciated Book Value'!C26,'3.5 Depreciation amortisation'!$I$15:$I$58))</f>
        <v>0</v>
      </c>
      <c r="E28" s="77">
        <v>0</v>
      </c>
      <c r="G28" s="171"/>
    </row>
    <row r="29" spans="2:7" x14ac:dyDescent="0.2">
      <c r="B29" s="418" t="s">
        <v>1153</v>
      </c>
      <c r="C29" s="58" t="s">
        <v>206</v>
      </c>
      <c r="D29" s="140">
        <f>IF(Cover!C23="Scheme pipeline","-",SUMIF('3.5 Depreciation amortisation'!$D$15:$D$58,'3.1 Depreciated Book Value'!C26,'3.5 Depreciation amortisation'!$J$15:$J$58))</f>
        <v>0</v>
      </c>
      <c r="E29" s="77">
        <v>0</v>
      </c>
      <c r="G29" s="171"/>
    </row>
    <row r="30" spans="2:7" x14ac:dyDescent="0.2">
      <c r="B30" s="418" t="s">
        <v>1153</v>
      </c>
      <c r="C30" s="58" t="s">
        <v>208</v>
      </c>
      <c r="D30" s="140">
        <f>IF(Cover!C23="Scheme pipeline","-",-ABS(SUMIF('3.5 Depreciation amortisation'!$D$15:$D$58,'3.1 Depreciated Book Value'!C26,'3.5 Depreciation amortisation'!$O$15:$O$58)+SUMIF('3.5 Depreciation amortisation'!$D$15:$D$58,'3.1 Depreciated Book Value'!C26,'3.5 Depreciation amortisation'!$P$15:$P$58))-D31)</f>
        <v>0</v>
      </c>
      <c r="E30" s="77">
        <v>0</v>
      </c>
      <c r="F30" s="253"/>
      <c r="G30" s="171"/>
    </row>
    <row r="31" spans="2:7" x14ac:dyDescent="0.2">
      <c r="B31" s="418" t="s">
        <v>1153</v>
      </c>
      <c r="C31" s="58" t="s">
        <v>209</v>
      </c>
      <c r="D31" s="140">
        <f>IF(Cover!C23="Scheme pipeline","-",-ABS(SUMIF('3.4 Asset impairment'!$C$10:$C$24,'3.1 Depreciated Book Value'!C26,'3.4 Asset impairment'!$D$10:$D$24))+SUMIF('3.4 Asset impairment'!$C$30:$C$56,C26,'3.4 Asset impairment'!$G$30:$G$56))</f>
        <v>0</v>
      </c>
      <c r="E31" s="77">
        <v>0</v>
      </c>
      <c r="F31" s="253"/>
      <c r="G31" s="171"/>
    </row>
    <row r="32" spans="2:7" ht="11.25" customHeight="1" x14ac:dyDescent="0.2">
      <c r="B32" s="418" t="s">
        <v>1153</v>
      </c>
      <c r="C32" s="58" t="s">
        <v>210</v>
      </c>
      <c r="D32" s="140">
        <f>IF(Cover!C23="Scheme pipeline","-",SUMIF('3.5 Depreciation amortisation'!$D$15:$D$58,'3.1 Depreciated Book Value'!C26,'3.5 Depreciation amortisation'!$K$15:$K$58))</f>
        <v>0</v>
      </c>
      <c r="E32" s="77">
        <v>0</v>
      </c>
      <c r="G32" s="171"/>
    </row>
    <row r="33" spans="2:7" x14ac:dyDescent="0.2">
      <c r="B33" s="419"/>
      <c r="C33" s="95" t="s">
        <v>213</v>
      </c>
      <c r="D33" s="140">
        <f>IF(Cover!C23="Scheme pipeline","-",SUM(D27:D32))</f>
        <v>0</v>
      </c>
      <c r="E33" s="140">
        <f>SUM(E27:E32)</f>
        <v>0</v>
      </c>
      <c r="G33" s="171"/>
    </row>
    <row r="34" spans="2:7" x14ac:dyDescent="0.2">
      <c r="B34" s="419"/>
      <c r="C34" s="59" t="s">
        <v>214</v>
      </c>
      <c r="D34" s="141"/>
      <c r="E34" s="141"/>
      <c r="G34" s="170"/>
    </row>
    <row r="35" spans="2:7" x14ac:dyDescent="0.2">
      <c r="B35" s="418" t="s">
        <v>1153</v>
      </c>
      <c r="C35" s="58" t="s">
        <v>204</v>
      </c>
      <c r="D35" s="140">
        <f>IF(Cover!C23="Scheme pipeline","-",SUMIF('3.5 Depreciation amortisation'!$D$15:$D$58,'3.1 Depreciated Book Value'!C34,'3.5 Depreciation amortisation'!$H$15:$H$58))</f>
        <v>0</v>
      </c>
      <c r="E35" s="77">
        <v>0</v>
      </c>
    </row>
    <row r="36" spans="2:7" x14ac:dyDescent="0.2">
      <c r="B36" s="418" t="s">
        <v>1153</v>
      </c>
      <c r="C36" s="58" t="s">
        <v>205</v>
      </c>
      <c r="D36" s="140">
        <f>IF(Cover!C23="Scheme pipeline","-",SUMIF('3.5 Depreciation amortisation'!$D$15:$D$58,'3.1 Depreciated Book Value'!C34,'3.5 Depreciation amortisation'!$I$15:$I$58))</f>
        <v>0</v>
      </c>
      <c r="E36" s="77">
        <v>0</v>
      </c>
    </row>
    <row r="37" spans="2:7" x14ac:dyDescent="0.2">
      <c r="B37" s="418" t="s">
        <v>1153</v>
      </c>
      <c r="C37" s="58" t="s">
        <v>206</v>
      </c>
      <c r="D37" s="140">
        <f>IF(Cover!C23="Scheme pipeline","-",SUMIF('3.5 Depreciation amortisation'!$D$15:$D$58,'3.1 Depreciated Book Value'!C34,'3.5 Depreciation amortisation'!$J$15:$J$58))</f>
        <v>0</v>
      </c>
      <c r="E37" s="77">
        <v>0</v>
      </c>
    </row>
    <row r="38" spans="2:7" x14ac:dyDescent="0.2">
      <c r="B38" s="418" t="s">
        <v>1153</v>
      </c>
      <c r="C38" s="58" t="s">
        <v>208</v>
      </c>
      <c r="D38" s="140">
        <f>IF(Cover!C23="Scheme pipeline","-",-ABS(SUMIF('3.5 Depreciation amortisation'!$D$15:$D$58,'3.1 Depreciated Book Value'!C34,'3.5 Depreciation amortisation'!$O$15:$O$58)+SUMIF('3.5 Depreciation amortisation'!$D$15:$D$58,'3.1 Depreciated Book Value'!C34,'3.5 Depreciation amortisation'!$P$15:$P$58))-D39)</f>
        <v>0</v>
      </c>
      <c r="E38" s="77">
        <v>0</v>
      </c>
      <c r="F38" s="253"/>
    </row>
    <row r="39" spans="2:7" x14ac:dyDescent="0.2">
      <c r="B39" s="418" t="s">
        <v>1153</v>
      </c>
      <c r="C39" s="58" t="s">
        <v>209</v>
      </c>
      <c r="D39" s="140">
        <f>IF(Cover!C23="Scheme pipeline","-",-ABS(SUMIF('3.4 Asset impairment'!$C$10:$C$24,'3.1 Depreciated Book Value'!C34,'3.4 Asset impairment'!$D$10:$D$24))+SUMIF('3.4 Asset impairment'!$C$30:$C$56,'3.1 Depreciated Book Value'!C34,'3.4 Asset impairment'!$G$30:$G$56))</f>
        <v>0</v>
      </c>
      <c r="E39" s="77">
        <v>0</v>
      </c>
      <c r="F39" s="253"/>
    </row>
    <row r="40" spans="2:7" ht="11.25" customHeight="1" x14ac:dyDescent="0.2">
      <c r="B40" s="418" t="s">
        <v>1153</v>
      </c>
      <c r="C40" s="58" t="s">
        <v>210</v>
      </c>
      <c r="D40" s="140">
        <f>IF(Cover!C23="Scheme pipeline","-",SUMIF('3.5 Depreciation amortisation'!$D$15:$D$58,'3.1 Depreciated Book Value'!C34,'3.5 Depreciation amortisation'!$K$15:$K$58))</f>
        <v>0</v>
      </c>
      <c r="E40" s="77">
        <v>0</v>
      </c>
    </row>
    <row r="41" spans="2:7" x14ac:dyDescent="0.2">
      <c r="B41" s="419"/>
      <c r="C41" s="95" t="s">
        <v>215</v>
      </c>
      <c r="D41" s="140">
        <f>SUM(D35:D40)</f>
        <v>0</v>
      </c>
      <c r="E41" s="140">
        <f>SUM(E35:E40)</f>
        <v>0</v>
      </c>
    </row>
    <row r="42" spans="2:7" x14ac:dyDescent="0.2">
      <c r="B42" s="419"/>
      <c r="C42" s="59" t="s">
        <v>216</v>
      </c>
      <c r="D42" s="141"/>
      <c r="E42" s="141"/>
    </row>
    <row r="43" spans="2:7" x14ac:dyDescent="0.2">
      <c r="B43" s="418" t="s">
        <v>1153</v>
      </c>
      <c r="C43" s="58" t="s">
        <v>204</v>
      </c>
      <c r="D43" s="140">
        <f>IF(Cover!C23="Scheme pipeline","-",SUMIF('3.5 Depreciation amortisation'!$D$15:$D$58,'3.1 Depreciated Book Value'!C42,'3.5 Depreciation amortisation'!$H$15:$H$58))</f>
        <v>409447.02</v>
      </c>
      <c r="E43" s="77">
        <v>409447.02</v>
      </c>
    </row>
    <row r="44" spans="2:7" x14ac:dyDescent="0.2">
      <c r="B44" s="418" t="s">
        <v>1153</v>
      </c>
      <c r="C44" s="58" t="s">
        <v>217</v>
      </c>
      <c r="D44" s="140">
        <f>IF(Cover!C23="Scheme pipeline","-",SUMIF('3.5 Depreciation amortisation'!$D$15:$D$58,'3.1 Depreciated Book Value'!C42,'3.5 Depreciation amortisation'!$I$15:$I$58))</f>
        <v>0</v>
      </c>
      <c r="E44" s="77">
        <v>0</v>
      </c>
    </row>
    <row r="45" spans="2:7" x14ac:dyDescent="0.2">
      <c r="B45" s="418" t="s">
        <v>1153</v>
      </c>
      <c r="C45" s="58" t="s">
        <v>206</v>
      </c>
      <c r="D45" s="140">
        <f>IF(Cover!C23="Scheme pipeline","-",SUMIF('3.5 Depreciation amortisation'!$D$15:$D$58,'3.1 Depreciated Book Value'!C42,'3.5 Depreciation amortisation'!$J$15:$J$58))</f>
        <v>0</v>
      </c>
      <c r="E45" s="77">
        <v>0</v>
      </c>
    </row>
    <row r="46" spans="2:7" x14ac:dyDescent="0.2">
      <c r="B46" s="418" t="s">
        <v>1153</v>
      </c>
      <c r="C46" s="58" t="s">
        <v>208</v>
      </c>
      <c r="D46" s="140">
        <f>IF(Cover!C23="Scheme pipeline","-",-ABS(SUMIF('3.5 Depreciation amortisation'!$D$15:$D$58,'3.1 Depreciated Book Value'!C42,'3.5 Depreciation amortisation'!$O$15:$O$58)+SUMIF('3.5 Depreciation amortisation'!$D$15:$D$58,'3.1 Depreciated Book Value'!C42,'3.5 Depreciation amortisation'!$P$15:$P$58))-D47)</f>
        <v>-409447.02</v>
      </c>
      <c r="E46" s="77">
        <v>-409447.02</v>
      </c>
      <c r="F46" s="253"/>
    </row>
    <row r="47" spans="2:7" x14ac:dyDescent="0.2">
      <c r="B47" s="418" t="s">
        <v>1153</v>
      </c>
      <c r="C47" s="58" t="s">
        <v>209</v>
      </c>
      <c r="D47" s="140">
        <f>IF(Cover!C23="Scheme pipeline","-",-ABS(SUMIF('3.4 Asset impairment'!$C$10:$C$24,'3.1 Depreciated Book Value'!C42,'3.4 Asset impairment'!$D$10:$D$24))+SUMIF('3.4 Asset impairment'!$C$30:$C$56,'3.1 Depreciated Book Value'!C42,'3.4 Asset impairment'!$G$30:$G$56))</f>
        <v>0</v>
      </c>
      <c r="E47" s="77">
        <v>0</v>
      </c>
      <c r="F47" s="253"/>
    </row>
    <row r="48" spans="2:7" ht="11.25" customHeight="1" x14ac:dyDescent="0.2">
      <c r="B48" s="418" t="s">
        <v>1153</v>
      </c>
      <c r="C48" s="58" t="s">
        <v>210</v>
      </c>
      <c r="D48" s="140">
        <f>IF(Cover!C23="Scheme pipeline","-",SUMIF('3.5 Depreciation amortisation'!$D$15:$D$58,'3.1 Depreciated Book Value'!C42,'3.5 Depreciation amortisation'!$K$15:$K$58))</f>
        <v>0</v>
      </c>
      <c r="E48" s="77">
        <v>0</v>
      </c>
    </row>
    <row r="49" spans="2:6" x14ac:dyDescent="0.2">
      <c r="B49" s="419"/>
      <c r="C49" s="95" t="s">
        <v>218</v>
      </c>
      <c r="D49" s="140">
        <f>SUM(D43:D48)</f>
        <v>0</v>
      </c>
      <c r="E49" s="140">
        <f>SUM(E43:E48)</f>
        <v>0</v>
      </c>
    </row>
    <row r="50" spans="2:6" x14ac:dyDescent="0.2">
      <c r="B50" s="419"/>
      <c r="C50" s="59" t="s">
        <v>219</v>
      </c>
      <c r="D50" s="141"/>
      <c r="E50" s="141"/>
    </row>
    <row r="51" spans="2:6" x14ac:dyDescent="0.2">
      <c r="B51" s="418" t="s">
        <v>1153</v>
      </c>
      <c r="C51" s="58" t="s">
        <v>204</v>
      </c>
      <c r="D51" s="140">
        <f>IF(Cover!C23="Scheme pipeline","-",SUMIF('3.5 Depreciation amortisation'!$D$15:$D$58,'3.1 Depreciated Book Value'!C50,'3.5 Depreciation amortisation'!$H$15:$H$58))</f>
        <v>1455200.4100000001</v>
      </c>
      <c r="E51" s="77">
        <v>1455200.4100000001</v>
      </c>
    </row>
    <row r="52" spans="2:6" x14ac:dyDescent="0.2">
      <c r="B52" s="418" t="s">
        <v>1153</v>
      </c>
      <c r="C52" s="58" t="s">
        <v>205</v>
      </c>
      <c r="D52" s="140">
        <f>IF(Cover!C23="Scheme pipeline","-",SUMIF('3.5 Depreciation amortisation'!$D$15:$D$58,'3.1 Depreciated Book Value'!C50,'3.5 Depreciation amortisation'!$I$15:$I$58))</f>
        <v>0</v>
      </c>
      <c r="E52" s="77">
        <v>0</v>
      </c>
    </row>
    <row r="53" spans="2:6" x14ac:dyDescent="0.2">
      <c r="B53" s="418" t="s">
        <v>1153</v>
      </c>
      <c r="C53" s="58" t="s">
        <v>206</v>
      </c>
      <c r="D53" s="140">
        <f>IF(Cover!C23="Scheme pipeline","-",SUMIF('3.5 Depreciation amortisation'!$D$15:$D$58,'3.1 Depreciated Book Value'!C50,'3.5 Depreciation amortisation'!$J$15:$J$58))</f>
        <v>0</v>
      </c>
      <c r="E53" s="77">
        <v>0</v>
      </c>
    </row>
    <row r="54" spans="2:6" x14ac:dyDescent="0.2">
      <c r="B54" s="418" t="s">
        <v>1153</v>
      </c>
      <c r="C54" s="58" t="s">
        <v>208</v>
      </c>
      <c r="D54" s="140">
        <f>IF(Cover!C23="Scheme pipeline","-",-ABS(SUMIF('3.5 Depreciation amortisation'!$D$15:$D$58,'3.1 Depreciated Book Value'!C50,'3.5 Depreciation amortisation'!$O$15:$O$58)+SUMIF('3.5 Depreciation amortisation'!$D$15:$D$58,'3.1 Depreciated Book Value'!C50,'3.5 Depreciation amortisation'!$P$15:$P$58))-D55)</f>
        <v>-325439.03999999998</v>
      </c>
      <c r="E54" s="77">
        <v>-253110.12</v>
      </c>
      <c r="F54" s="253"/>
    </row>
    <row r="55" spans="2:6" x14ac:dyDescent="0.2">
      <c r="B55" s="418" t="s">
        <v>1153</v>
      </c>
      <c r="C55" s="58" t="s">
        <v>209</v>
      </c>
      <c r="D55" s="140">
        <f>IF(Cover!C23="Scheme pipeline","-",-ABS(SUMIF('3.4 Asset impairment'!$C$10:$C$24,'3.1 Depreciated Book Value'!C50,'3.4 Asset impairment'!$D$10:$D$24))+SUMIF('3.4 Asset impairment'!$C$30:$C$56,'3.1 Depreciated Book Value'!C50,'3.4 Asset impairment'!$G$30:$G$56))</f>
        <v>0</v>
      </c>
      <c r="E55" s="77">
        <v>0</v>
      </c>
      <c r="F55" s="253"/>
    </row>
    <row r="56" spans="2:6" ht="11.25" customHeight="1" x14ac:dyDescent="0.2">
      <c r="B56" s="418" t="s">
        <v>1153</v>
      </c>
      <c r="C56" s="58" t="s">
        <v>210</v>
      </c>
      <c r="D56" s="140">
        <f>IF(Cover!C23="Scheme pipeline","-",SUMIF('3.5 Depreciation amortisation'!$D$15:$D$58,'3.1 Depreciated Book Value'!C50,'3.5 Depreciation amortisation'!$K$15:$K$58))</f>
        <v>0</v>
      </c>
      <c r="E56" s="77">
        <v>0</v>
      </c>
    </row>
    <row r="57" spans="2:6" x14ac:dyDescent="0.2">
      <c r="B57" s="419"/>
      <c r="C57" s="95" t="s">
        <v>220</v>
      </c>
      <c r="D57" s="140">
        <f>SUM(D51:D56)</f>
        <v>1129761.3700000001</v>
      </c>
      <c r="E57" s="140">
        <f>SUM(E51:E56)</f>
        <v>1202090.29</v>
      </c>
    </row>
    <row r="58" spans="2:6" x14ac:dyDescent="0.2">
      <c r="B58" s="419"/>
      <c r="C58" s="59" t="s">
        <v>221</v>
      </c>
      <c r="D58" s="141"/>
      <c r="E58" s="141"/>
    </row>
    <row r="59" spans="2:6" x14ac:dyDescent="0.2">
      <c r="B59" s="418" t="s">
        <v>1153</v>
      </c>
      <c r="C59" s="58" t="s">
        <v>204</v>
      </c>
      <c r="D59" s="140">
        <f>IF(Cover!C23="Scheme pipeline","-",SUMIF('3.5 Depreciation amortisation'!$D$15:$D$58,'3.1 Depreciated Book Value'!C58,'3.5 Depreciation amortisation'!$H$15:$H$58))</f>
        <v>313275.90999999997</v>
      </c>
      <c r="E59" s="77">
        <v>313275.90999999997</v>
      </c>
    </row>
    <row r="60" spans="2:6" x14ac:dyDescent="0.2">
      <c r="B60" s="418" t="s">
        <v>1153</v>
      </c>
      <c r="C60" s="58" t="s">
        <v>205</v>
      </c>
      <c r="D60" s="140">
        <f>IF(Cover!C23="Scheme pipeline","-",SUMIF('3.5 Depreciation amortisation'!$D$15:$D$58,'3.1 Depreciated Book Value'!C58,'3.5 Depreciation amortisation'!$I$15:$I$58))</f>
        <v>0</v>
      </c>
      <c r="E60" s="77">
        <v>0</v>
      </c>
    </row>
    <row r="61" spans="2:6" x14ac:dyDescent="0.2">
      <c r="B61" s="418" t="s">
        <v>1153</v>
      </c>
      <c r="C61" s="58" t="s">
        <v>206</v>
      </c>
      <c r="D61" s="140">
        <f>IF(Cover!C23="Scheme pipeline","-",SUMIF('3.5 Depreciation amortisation'!$D$15:$D$58,'3.1 Depreciated Book Value'!C58,'3.5 Depreciation amortisation'!$J$15:$J$58))</f>
        <v>0</v>
      </c>
      <c r="E61" s="77">
        <v>0</v>
      </c>
    </row>
    <row r="62" spans="2:6" ht="11.25" customHeight="1" x14ac:dyDescent="0.2">
      <c r="B62" s="418" t="s">
        <v>1153</v>
      </c>
      <c r="C62" s="58" t="s">
        <v>208</v>
      </c>
      <c r="D62" s="140">
        <f>IF(Cover!C23="Scheme pipeline","-",-ABS(SUMIF('3.5 Depreciation amortisation'!$D$15:$D$58,'3.1 Depreciated Book Value'!C58,'3.5 Depreciation amortisation'!$O$15:$O$58)+SUMIF('3.5 Depreciation amortisation'!$D$15:$D$58,'3.1 Depreciated Book Value'!C58,'3.5 Depreciation amortisation'!$P$15:$P$58))-D63)</f>
        <v>-225033.52000000002</v>
      </c>
      <c r="E62" s="77">
        <v>-194888.71000000002</v>
      </c>
      <c r="F62" s="253"/>
    </row>
    <row r="63" spans="2:6" ht="11.25" customHeight="1" x14ac:dyDescent="0.2">
      <c r="B63" s="418" t="s">
        <v>1153</v>
      </c>
      <c r="C63" s="58" t="s">
        <v>209</v>
      </c>
      <c r="D63" s="140">
        <f>IF(Cover!C23="Scheme pipeline","-",-ABS(SUMIF('3.4 Asset impairment'!$C$10:$C$24,'3.1 Depreciated Book Value'!C58,'3.4 Asset impairment'!$D$10:$D$24))+SUMIF('3.4 Asset impairment'!$C$30:$C$56,'3.1 Depreciated Book Value'!C58,'3.4 Asset impairment'!$G$30:$G$56))</f>
        <v>0</v>
      </c>
      <c r="E63" s="77">
        <v>0</v>
      </c>
      <c r="F63" s="253"/>
    </row>
    <row r="64" spans="2:6" ht="11.25" customHeight="1" x14ac:dyDescent="0.2">
      <c r="B64" s="418" t="s">
        <v>1153</v>
      </c>
      <c r="C64" s="58" t="s">
        <v>210</v>
      </c>
      <c r="D64" s="140">
        <f>IF(Cover!C23="Scheme pipeline","-",SUMIF('3.5 Depreciation amortisation'!$D$15:$D$58,'3.1 Depreciated Book Value'!C58,'3.5 Depreciation amortisation'!$K$15:$K$58))</f>
        <v>0</v>
      </c>
      <c r="E64" s="77">
        <v>0</v>
      </c>
    </row>
    <row r="65" spans="2:6" x14ac:dyDescent="0.2">
      <c r="B65" s="419"/>
      <c r="C65" s="95" t="s">
        <v>222</v>
      </c>
      <c r="D65" s="140">
        <f>SUM(D59:D64)</f>
        <v>88242.389999999956</v>
      </c>
      <c r="E65" s="140">
        <f>SUM(E59:E64)</f>
        <v>118387.19999999995</v>
      </c>
    </row>
    <row r="66" spans="2:6" x14ac:dyDescent="0.2">
      <c r="B66" s="419"/>
      <c r="C66" s="59" t="s">
        <v>223</v>
      </c>
      <c r="D66" s="141"/>
      <c r="E66" s="141"/>
    </row>
    <row r="67" spans="2:6" x14ac:dyDescent="0.2">
      <c r="B67" s="418" t="s">
        <v>1153</v>
      </c>
      <c r="C67" s="58" t="s">
        <v>204</v>
      </c>
      <c r="D67" s="140">
        <f>IF(Cover!C23="Scheme pipeline","-",SUMIF('3.5 Depreciation amortisation'!$D$15:$D$58,'3.1 Depreciated Book Value'!C66,'3.5 Depreciation amortisation'!$H$15:$H$58))</f>
        <v>0</v>
      </c>
      <c r="E67" s="77">
        <v>0</v>
      </c>
    </row>
    <row r="68" spans="2:6" x14ac:dyDescent="0.2">
      <c r="B68" s="418" t="s">
        <v>1153</v>
      </c>
      <c r="C68" s="58" t="s">
        <v>205</v>
      </c>
      <c r="D68" s="140">
        <f>IF(Cover!C23="Scheme pipeline","-",SUMIF('3.5 Depreciation amortisation'!$D$15:$D$58,'3.1 Depreciated Book Value'!C66,'3.5 Depreciation amortisation'!$I$15:$I$58))</f>
        <v>0</v>
      </c>
      <c r="E68" s="77">
        <v>0</v>
      </c>
    </row>
    <row r="69" spans="2:6" x14ac:dyDescent="0.2">
      <c r="B69" s="418" t="s">
        <v>1153</v>
      </c>
      <c r="C69" s="58" t="s">
        <v>206</v>
      </c>
      <c r="D69" s="140">
        <f>IF(Cover!C23="Scheme pipeline","-",SUMIF('3.5 Depreciation amortisation'!$D$15:$D$58,'3.1 Depreciated Book Value'!C66,'3.5 Depreciation amortisation'!$J$15:$J$58))</f>
        <v>0</v>
      </c>
      <c r="E69" s="77">
        <v>0</v>
      </c>
    </row>
    <row r="70" spans="2:6" x14ac:dyDescent="0.2">
      <c r="B70" s="418" t="s">
        <v>1153</v>
      </c>
      <c r="C70" s="58" t="s">
        <v>208</v>
      </c>
      <c r="D70" s="140">
        <f>IF(Cover!C23="Scheme pipeline","-",-ABS(SUMIF('3.5 Depreciation amortisation'!$D$15:$D$58,'3.1 Depreciated Book Value'!C66,'3.5 Depreciation amortisation'!$O$15:$O$58)+SUMIF('3.5 Depreciation amortisation'!$D$15:$D$58,'3.1 Depreciated Book Value'!C66,'3.5 Depreciation amortisation'!$P$15:$P$58))-D71)</f>
        <v>0</v>
      </c>
      <c r="E70" s="77">
        <v>0</v>
      </c>
      <c r="F70" s="253"/>
    </row>
    <row r="71" spans="2:6" x14ac:dyDescent="0.2">
      <c r="B71" s="418" t="s">
        <v>1153</v>
      </c>
      <c r="C71" s="58" t="s">
        <v>209</v>
      </c>
      <c r="D71" s="140">
        <f>IF(Cover!C23="Scheme pipeline","-",-ABS(SUMIF('3.4 Asset impairment'!$C$10:$C$24,'3.1 Depreciated Book Value'!C66,'3.4 Asset impairment'!$D$10:$D$24))+SUMIF('3.4 Asset impairment'!$C$30:$C$56,'3.1 Depreciated Book Value'!C66,'3.4 Asset impairment'!$G$30:$G$56))</f>
        <v>0</v>
      </c>
      <c r="E71" s="77">
        <v>0</v>
      </c>
      <c r="F71" s="253"/>
    </row>
    <row r="72" spans="2:6" ht="11.25" customHeight="1" x14ac:dyDescent="0.2">
      <c r="B72" s="418" t="s">
        <v>1153</v>
      </c>
      <c r="C72" s="58" t="s">
        <v>210</v>
      </c>
      <c r="D72" s="140">
        <f>IF(Cover!C23="Scheme pipeline","-",SUMIF('3.5 Depreciation amortisation'!$D$15:$D$58,'3.1 Depreciated Book Value'!C66,'3.5 Depreciation amortisation'!$K$15:$K$58))</f>
        <v>0</v>
      </c>
      <c r="E72" s="77">
        <v>0</v>
      </c>
    </row>
    <row r="73" spans="2:6" x14ac:dyDescent="0.2">
      <c r="B73" s="419"/>
      <c r="C73" s="95" t="s">
        <v>224</v>
      </c>
      <c r="D73" s="140">
        <f>SUM(D67:D72)</f>
        <v>0</v>
      </c>
      <c r="E73" s="140">
        <f>SUM(E67:E72)</f>
        <v>0</v>
      </c>
    </row>
    <row r="74" spans="2:6" x14ac:dyDescent="0.2">
      <c r="B74" s="419"/>
      <c r="C74" s="59" t="s">
        <v>225</v>
      </c>
      <c r="D74" s="141"/>
      <c r="E74" s="141"/>
    </row>
    <row r="75" spans="2:6" x14ac:dyDescent="0.2">
      <c r="B75" s="418" t="s">
        <v>1153</v>
      </c>
      <c r="C75" s="58" t="s">
        <v>204</v>
      </c>
      <c r="D75" s="140">
        <f>IF(Cover!C23="Scheme pipeline","-",SUMIF('3.5 Depreciation amortisation'!$D$15:$D$58,'3.1 Depreciated Book Value'!C74,'3.5 Depreciation amortisation'!$H$15:$H$58))</f>
        <v>10000</v>
      </c>
      <c r="E75" s="77">
        <v>10000</v>
      </c>
    </row>
    <row r="76" spans="2:6" x14ac:dyDescent="0.2">
      <c r="B76" s="418" t="s">
        <v>1153</v>
      </c>
      <c r="C76" s="58" t="s">
        <v>205</v>
      </c>
      <c r="D76" s="140">
        <f>IF(Cover!C23="Scheme pipeline","-",SUMIF('3.5 Depreciation amortisation'!$D$15:$D$58,'3.1 Depreciated Book Value'!C74,'3.5 Depreciation amortisation'!$I$15:$I$58))</f>
        <v>0</v>
      </c>
      <c r="E76" s="77">
        <v>0</v>
      </c>
    </row>
    <row r="77" spans="2:6" x14ac:dyDescent="0.2">
      <c r="B77" s="418" t="s">
        <v>1153</v>
      </c>
      <c r="C77" s="58" t="s">
        <v>206</v>
      </c>
      <c r="D77" s="140">
        <f>IF(Cover!C23="Scheme pipeline","-",SUMIF('3.5 Depreciation amortisation'!$D$15:$D$58,'3.1 Depreciated Book Value'!C74,'3.5 Depreciation amortisation'!$J$15:$J$58))</f>
        <v>0</v>
      </c>
      <c r="E77" s="77">
        <v>0</v>
      </c>
    </row>
    <row r="78" spans="2:6" x14ac:dyDescent="0.2">
      <c r="B78" s="418" t="s">
        <v>1153</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x14ac:dyDescent="0.2">
      <c r="B79" s="418" t="s">
        <v>1153</v>
      </c>
      <c r="C79" s="58" t="s">
        <v>210</v>
      </c>
      <c r="D79" s="140">
        <f>IF(Cover!C23="Scheme pipeline","-",SUMIF('3.5 Depreciation amortisation'!$D$15:$D$58,'3.1 Depreciated Book Value'!C74,'3.5 Depreciation amortisation'!$K$15:$K$58))</f>
        <v>0</v>
      </c>
      <c r="E79" s="77">
        <v>0</v>
      </c>
    </row>
    <row r="80" spans="2:6" x14ac:dyDescent="0.2">
      <c r="B80" s="419"/>
      <c r="C80" s="95" t="s">
        <v>226</v>
      </c>
      <c r="D80" s="140">
        <f>SUM(D75:D79)</f>
        <v>10000</v>
      </c>
      <c r="E80" s="140">
        <f>SUM(E75:E79)</f>
        <v>10000</v>
      </c>
    </row>
    <row r="81" spans="2:8" x14ac:dyDescent="0.2">
      <c r="B81" s="419"/>
      <c r="C81" s="59" t="s">
        <v>227</v>
      </c>
      <c r="D81" s="141"/>
      <c r="E81" s="141"/>
      <c r="G81" s="274"/>
      <c r="H81" s="274"/>
    </row>
    <row r="82" spans="2:8" s="274" customFormat="1" x14ac:dyDescent="0.2">
      <c r="B82" s="418" t="s">
        <v>1153</v>
      </c>
      <c r="C82" s="58" t="s">
        <v>204</v>
      </c>
      <c r="D82" s="140">
        <f>IF(Cover!C23="Scheme pipeline","-",SUMIF('3.5 Depreciation amortisation'!$D$15:$D$58,'3.1 Depreciated Book Value'!C81,'3.5 Depreciation amortisation'!$H$15:$H$58))</f>
        <v>19307.21</v>
      </c>
      <c r="E82" s="142">
        <v>19307.21</v>
      </c>
      <c r="F82" s="275"/>
    </row>
    <row r="83" spans="2:8" s="274" customFormat="1" x14ac:dyDescent="0.2">
      <c r="B83" s="418" t="s">
        <v>1153</v>
      </c>
      <c r="C83" s="58" t="s">
        <v>205</v>
      </c>
      <c r="D83" s="140">
        <f>IF(Cover!C23="Scheme pipeline","-",SUMIF('3.5 Depreciation amortisation'!$D$15:$D$58,'3.1 Depreciated Book Value'!C81,'3.5 Depreciation amortisation'!$I$15:$I$58))</f>
        <v>0</v>
      </c>
      <c r="E83" s="142">
        <v>0</v>
      </c>
      <c r="F83" s="275"/>
    </row>
    <row r="84" spans="2:8" s="274" customFormat="1" x14ac:dyDescent="0.2">
      <c r="B84" s="418" t="s">
        <v>1153</v>
      </c>
      <c r="C84" s="58" t="s">
        <v>206</v>
      </c>
      <c r="D84" s="140">
        <f>IF(Cover!C23="Scheme pipeline","-",SUMIF('3.5 Depreciation amortisation'!$D$15:$D$58,'3.1 Depreciated Book Value'!C81,'3.5 Depreciation amortisation'!$J$15:$J$58))</f>
        <v>0</v>
      </c>
      <c r="E84" s="142">
        <v>0</v>
      </c>
      <c r="F84" s="275"/>
    </row>
    <row r="85" spans="2:8" s="274" customFormat="1" x14ac:dyDescent="0.2">
      <c r="B85" s="418" t="s">
        <v>1153</v>
      </c>
      <c r="C85" s="58" t="s">
        <v>208</v>
      </c>
      <c r="D85" s="140">
        <f>IF(Cover!C23="Scheme pipeline","-",-ABS(SUMIF('3.5 Depreciation amortisation'!$D$15:$D$58,'3.1 Depreciated Book Value'!C81,'3.5 Depreciation amortisation'!$O$15:$O$58)+SUMIF('3.5 Depreciation amortisation'!$D$15:$D$58,'3.1 Depreciated Book Value'!C81,'3.5 Depreciation amortisation'!$P$15:$P$58))-D86)</f>
        <v>-19307.21</v>
      </c>
      <c r="E85" s="142">
        <v>-19307.21</v>
      </c>
      <c r="F85" s="275"/>
    </row>
    <row r="86" spans="2:8" s="274" customFormat="1" x14ac:dyDescent="0.2">
      <c r="B86" s="418" t="s">
        <v>1153</v>
      </c>
      <c r="C86" s="58" t="s">
        <v>209</v>
      </c>
      <c r="D86" s="140">
        <f>IF(Cover!C23="Scheme pipeline","-",-ABS(SUMIF('3.4 Asset impairment'!$C$10:$C$24,'3.1 Depreciated Book Value'!C81,'3.4 Asset impairment'!$D$10:$D$24))+SUMIF('3.4 Asset impairment'!$C$30:$C$56,'3.1 Depreciated Book Value'!C81,'3.4 Asset impairment'!$G$30:$G$56))</f>
        <v>0</v>
      </c>
      <c r="E86" s="142">
        <v>0</v>
      </c>
      <c r="F86" s="275"/>
    </row>
    <row r="87" spans="2:8" s="274" customFormat="1" x14ac:dyDescent="0.2">
      <c r="B87" s="418" t="s">
        <v>1153</v>
      </c>
      <c r="C87" s="58" t="s">
        <v>210</v>
      </c>
      <c r="D87" s="140">
        <f>IF(Cover!C23="Scheme pipeline","-",SUMIF('3.5 Depreciation amortisation'!$D$15:$D$58,'3.1 Depreciated Book Value'!C81,'3.5 Depreciation amortisation'!$K$15:$K$58))</f>
        <v>0</v>
      </c>
      <c r="E87" s="142">
        <v>0</v>
      </c>
      <c r="G87" s="4"/>
      <c r="H87" s="4"/>
    </row>
    <row r="88" spans="2:8" x14ac:dyDescent="0.2">
      <c r="B88" s="419"/>
      <c r="C88" s="95" t="s">
        <v>228</v>
      </c>
      <c r="D88" s="140">
        <f>SUM(D82:D87)</f>
        <v>0</v>
      </c>
      <c r="E88" s="140">
        <f>SUM(E82:E87)</f>
        <v>0</v>
      </c>
    </row>
    <row r="89" spans="2:8" x14ac:dyDescent="0.2">
      <c r="B89" s="419"/>
      <c r="C89" s="59" t="s">
        <v>229</v>
      </c>
      <c r="D89" s="141"/>
      <c r="E89" s="141"/>
      <c r="F89" s="111"/>
    </row>
    <row r="90" spans="2:8" x14ac:dyDescent="0.2">
      <c r="B90" s="418" t="s">
        <v>1153</v>
      </c>
      <c r="C90" s="58" t="s">
        <v>204</v>
      </c>
      <c r="D90" s="140">
        <f>IF(Cover!C23="Scheme pipeline","-",SUMIF('3.5 Depreciation amortisation'!$D$15:$D$58,'3.1 Depreciated Book Value'!C89,'3.5 Depreciation amortisation'!$H$15:$H$58))</f>
        <v>0</v>
      </c>
      <c r="E90" s="77">
        <v>0</v>
      </c>
      <c r="F90" s="111"/>
    </row>
    <row r="91" spans="2:8" x14ac:dyDescent="0.2">
      <c r="B91" s="418" t="s">
        <v>1153</v>
      </c>
      <c r="C91" s="58" t="s">
        <v>205</v>
      </c>
      <c r="D91" s="140">
        <f>IF(Cover!C23="Scheme pipeline","-",SUMIF('3.5 Depreciation amortisation'!$D$15:$D$58,'3.1 Depreciated Book Value'!C89,'3.5 Depreciation amortisation'!$I$15:$I$58))</f>
        <v>0</v>
      </c>
      <c r="E91" s="77">
        <v>0</v>
      </c>
      <c r="F91" s="111"/>
    </row>
    <row r="92" spans="2:8" x14ac:dyDescent="0.2">
      <c r="B92" s="418" t="s">
        <v>1153</v>
      </c>
      <c r="C92" s="58" t="s">
        <v>206</v>
      </c>
      <c r="D92" s="140">
        <f>IF(Cover!C23="Scheme pipeline","-",SUMIF('3.5 Depreciation amortisation'!$D$15:$D$58,'3.1 Depreciated Book Value'!C89,'3.5 Depreciation amortisation'!$J$15:$J$58))</f>
        <v>0</v>
      </c>
      <c r="E92" s="77">
        <v>0</v>
      </c>
      <c r="F92" s="111"/>
    </row>
    <row r="93" spans="2:8" x14ac:dyDescent="0.2">
      <c r="B93" s="418" t="s">
        <v>1153</v>
      </c>
      <c r="C93" s="58" t="s">
        <v>230</v>
      </c>
      <c r="D93" s="140">
        <f>IF(Cover!C23="Scheme pipeline","-",-ABS(SUMIF('3.5 Depreciation amortisation'!$D$15:$D$58,'3.1 Depreciated Book Value'!C89,'3.5 Depreciation amortisation'!$O$15:$O$58)+SUMIF('3.5 Depreciation amortisation'!$D$15:$D$58,'3.1 Depreciated Book Value'!C89,'3.5 Depreciation amortisation'!$P$15:$P$58))-D94)</f>
        <v>0</v>
      </c>
      <c r="E93" s="77">
        <v>0</v>
      </c>
      <c r="F93" s="111"/>
      <c r="G93" s="111"/>
    </row>
    <row r="94" spans="2:8" x14ac:dyDescent="0.2">
      <c r="B94" s="418" t="s">
        <v>1153</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x14ac:dyDescent="0.2">
      <c r="B95" s="418" t="s">
        <v>1153</v>
      </c>
      <c r="C95" s="58" t="s">
        <v>210</v>
      </c>
      <c r="D95" s="140">
        <f>IF(Cover!C23="Scheme pipeline","-",SUMIF('3.5 Depreciation amortisation'!$D$15:$D$58,'3.1 Depreciated Book Value'!C89,'3.5 Depreciation amortisation'!$K$15:$K$58))</f>
        <v>0</v>
      </c>
      <c r="E95" s="77">
        <v>0</v>
      </c>
      <c r="F95" s="111"/>
    </row>
    <row r="96" spans="2:8" x14ac:dyDescent="0.2">
      <c r="B96" s="419"/>
      <c r="C96" s="95" t="s">
        <v>231</v>
      </c>
      <c r="D96" s="140">
        <f>SUM(D90:D95)</f>
        <v>0</v>
      </c>
      <c r="E96" s="140">
        <f>SUM(E90:E95)</f>
        <v>0</v>
      </c>
      <c r="F96" s="111"/>
    </row>
    <row r="97" spans="2:7" x14ac:dyDescent="0.2">
      <c r="B97" s="418" t="s">
        <v>1153</v>
      </c>
      <c r="C97" s="59" t="s">
        <v>232</v>
      </c>
      <c r="D97" s="141"/>
      <c r="E97" s="141"/>
    </row>
    <row r="98" spans="2:7" x14ac:dyDescent="0.2">
      <c r="B98" s="418" t="s">
        <v>1153</v>
      </c>
      <c r="C98" s="58" t="s">
        <v>204</v>
      </c>
      <c r="D98" s="77">
        <v>0</v>
      </c>
      <c r="E98" s="77">
        <v>0</v>
      </c>
      <c r="F98" s="111"/>
    </row>
    <row r="99" spans="2:7" x14ac:dyDescent="0.2">
      <c r="B99" s="418" t="s">
        <v>1153</v>
      </c>
      <c r="C99" s="58" t="s">
        <v>205</v>
      </c>
      <c r="D99" s="77">
        <v>0</v>
      </c>
      <c r="E99" s="77">
        <v>0</v>
      </c>
      <c r="F99" s="111"/>
    </row>
    <row r="100" spans="2:7" x14ac:dyDescent="0.2">
      <c r="B100" s="418" t="s">
        <v>1153</v>
      </c>
      <c r="C100" s="58" t="s">
        <v>206</v>
      </c>
      <c r="D100" s="77">
        <v>0</v>
      </c>
      <c r="E100" s="77">
        <v>0</v>
      </c>
      <c r="F100" s="111"/>
    </row>
    <row r="101" spans="2:7" x14ac:dyDescent="0.2">
      <c r="B101" s="418" t="s">
        <v>1153</v>
      </c>
      <c r="C101" s="58" t="s">
        <v>210</v>
      </c>
      <c r="D101" s="77">
        <v>0</v>
      </c>
      <c r="E101" s="77">
        <v>0</v>
      </c>
      <c r="F101" s="111"/>
      <c r="G101" s="111"/>
    </row>
    <row r="102" spans="2:7" x14ac:dyDescent="0.2">
      <c r="B102" s="419"/>
      <c r="C102" s="95" t="s">
        <v>233</v>
      </c>
      <c r="D102" s="140">
        <f>SUM(D98:D101)</f>
        <v>0</v>
      </c>
      <c r="E102" s="140">
        <f>SUM(E98:E101)</f>
        <v>0</v>
      </c>
      <c r="F102" s="111"/>
    </row>
    <row r="103" spans="2:7" x14ac:dyDescent="0.2">
      <c r="B103" s="419"/>
      <c r="C103" s="96" t="s">
        <v>234</v>
      </c>
      <c r="D103" s="140">
        <f>SUM(D25,D33,D41,D49,D57,D65,D73,D80,D88,D102,D96)</f>
        <v>23479473.260000002</v>
      </c>
      <c r="E103" s="140">
        <f>SUM(E25,E33,E41,E49,E57,E65,E73,E80,E88,E102,E96)</f>
        <v>24522063.189999998</v>
      </c>
      <c r="F103" s="111"/>
    </row>
    <row r="104" spans="2:7" x14ac:dyDescent="0.2">
      <c r="B104" s="419"/>
      <c r="C104" s="57" t="s">
        <v>235</v>
      </c>
      <c r="D104" s="141"/>
      <c r="E104" s="141"/>
    </row>
    <row r="105" spans="2:7" x14ac:dyDescent="0.2">
      <c r="B105" s="419"/>
      <c r="C105" s="59" t="s">
        <v>236</v>
      </c>
      <c r="D105" s="141"/>
      <c r="E105" s="141"/>
    </row>
    <row r="106" spans="2:7" x14ac:dyDescent="0.2">
      <c r="B106" s="418" t="s">
        <v>1153</v>
      </c>
      <c r="C106" s="58" t="s">
        <v>204</v>
      </c>
      <c r="D106" s="140">
        <f>IF(Cover!C23="Scheme pipeline","-",SUMIF('3.5 Depreciation amortisation'!$D$66:$D$83,$C$105,'3.5 Depreciation amortisation'!$G$66:$G$83))</f>
        <v>1417537.6534859827</v>
      </c>
      <c r="E106" s="77">
        <v>1403725.02648</v>
      </c>
      <c r="F106" s="111"/>
    </row>
    <row r="107" spans="2:7" x14ac:dyDescent="0.2">
      <c r="B107" s="418" t="s">
        <v>1153</v>
      </c>
      <c r="C107" s="58" t="s">
        <v>205</v>
      </c>
      <c r="D107" s="140">
        <f>IF(Cover!C23="Scheme pipeline","-",SUMIF('3.5 Depreciation amortisation'!$D$66:$D$83,$C$105,'3.5 Depreciation amortisation'!$H$66:$H$83))</f>
        <v>255468.77645369933</v>
      </c>
      <c r="E107" s="77">
        <v>22947.050097279709</v>
      </c>
      <c r="F107" s="111"/>
    </row>
    <row r="108" spans="2:7" x14ac:dyDescent="0.2">
      <c r="B108" s="418" t="s">
        <v>1153</v>
      </c>
      <c r="C108" s="58" t="s">
        <v>206</v>
      </c>
      <c r="D108" s="140">
        <f>IF(Cover!C23="Scheme pipeline","-",SUMIF('3.5 Depreciation amortisation'!$D$66:$D$83,$C$105,'3.5 Depreciation amortisation'!$I$66:$I$83))</f>
        <v>0</v>
      </c>
      <c r="E108" s="77">
        <v>0</v>
      </c>
    </row>
    <row r="109" spans="2:7" x14ac:dyDescent="0.2">
      <c r="B109" s="418" t="s">
        <v>1153</v>
      </c>
      <c r="C109" s="58" t="s">
        <v>208</v>
      </c>
      <c r="D109" s="140">
        <f>IF(Cover!C23="Scheme pipeline","-",-ABS(SUMIF('3.5 Depreciation amortisation'!$D$66:$D$83,$C$105,'3.5 Depreciation amortisation'!$N$66:$N$83)+SUMIF('3.5 Depreciation amortisation'!$D$66:$D$83,$C$105,'3.5 Depreciation amortisation'!$O$66:$O$83))-D110)</f>
        <v>-1175513.8342489267</v>
      </c>
      <c r="E109" s="77">
        <v>-1029728.881755367</v>
      </c>
      <c r="F109" s="111"/>
    </row>
    <row r="110" spans="2:7" x14ac:dyDescent="0.2">
      <c r="B110" s="418" t="s">
        <v>1153</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418" t="s">
        <v>1153</v>
      </c>
      <c r="C111" s="58" t="s">
        <v>210</v>
      </c>
      <c r="D111" s="140">
        <f>IF(Cover!C23="Scheme pipeline","-",SUMIF('3.5 Depreciation amortisation'!$D$66:$D$83,$C$105,'3.5 Depreciation amortisation'!$J$66:$J$83))</f>
        <v>-2806.7362389603927</v>
      </c>
      <c r="E111" s="77">
        <v>-9134.4230912970506</v>
      </c>
      <c r="F111" s="111"/>
    </row>
    <row r="112" spans="2:7" x14ac:dyDescent="0.2">
      <c r="B112" s="419"/>
      <c r="C112" s="95" t="s">
        <v>237</v>
      </c>
      <c r="D112" s="140">
        <f>SUM(D106:D111)</f>
        <v>494685.859451795</v>
      </c>
      <c r="E112" s="140">
        <f>SUM(E106:E111)</f>
        <v>387808.77173061564</v>
      </c>
    </row>
    <row r="113" spans="2:7" x14ac:dyDescent="0.2">
      <c r="B113" s="419"/>
      <c r="C113" s="59" t="s">
        <v>238</v>
      </c>
      <c r="D113" s="141"/>
      <c r="E113" s="141"/>
      <c r="F113" s="111"/>
    </row>
    <row r="114" spans="2:7" x14ac:dyDescent="0.2">
      <c r="B114" s="418" t="s">
        <v>1153</v>
      </c>
      <c r="C114" s="58" t="s">
        <v>204</v>
      </c>
      <c r="D114" s="140">
        <f>IF(Cover!C23="Scheme pipeline","-",SUMIF('3.5 Depreciation amortisation'!$D$66:$D$83,$C$113,'3.5 Depreciation amortisation'!$G$66:$G$83))</f>
        <v>218198.48749349543</v>
      </c>
      <c r="E114" s="77">
        <v>169542.99306161731</v>
      </c>
      <c r="F114" s="111"/>
    </row>
    <row r="115" spans="2:7" x14ac:dyDescent="0.2">
      <c r="B115" s="418" t="s">
        <v>1153</v>
      </c>
      <c r="C115" s="58" t="s">
        <v>205</v>
      </c>
      <c r="D115" s="140">
        <f>IF(Cover!C23="Scheme pipeline","-",SUMIF('3.5 Depreciation amortisation'!$D$66:$D$83,$C$113,'3.5 Depreciation amortisation'!$H$66:$H$83))</f>
        <v>34291.606102414211</v>
      </c>
      <c r="E115" s="77">
        <v>48561.078235066409</v>
      </c>
      <c r="F115" s="111"/>
    </row>
    <row r="116" spans="2:7" x14ac:dyDescent="0.2">
      <c r="B116" s="418" t="s">
        <v>1153</v>
      </c>
      <c r="C116" s="58" t="s">
        <v>206</v>
      </c>
      <c r="D116" s="140">
        <f>IF(Cover!C23="Scheme pipeline","-",SUMIF('3.5 Depreciation amortisation'!$D$66:$D$83,$C$113,'3.5 Depreciation amortisation'!$I$66:$I$83))</f>
        <v>0</v>
      </c>
      <c r="E116" s="77">
        <v>0</v>
      </c>
      <c r="F116" s="111"/>
    </row>
    <row r="117" spans="2:7" x14ac:dyDescent="0.2">
      <c r="B117" s="418" t="s">
        <v>1153</v>
      </c>
      <c r="C117" s="58" t="s">
        <v>230</v>
      </c>
      <c r="D117" s="140">
        <f>IF(Cover!C23="Scheme pipeline","-",-ABS(SUMIF('3.5 Depreciation amortisation'!$D$66:$D$83,$C$113,'3.5 Depreciation amortisation'!$N$66:$N$83)+SUMIF('3.5 Depreciation amortisation'!$D$66:$D$83,$C$113,'3.5 Depreciation amortisation'!$O$66:$O$83))-D118)</f>
        <v>-144630.28654402017</v>
      </c>
      <c r="E117" s="77">
        <v>-111928.51712828252</v>
      </c>
      <c r="F117" s="111"/>
      <c r="G117" s="111"/>
    </row>
    <row r="118" spans="2:7" x14ac:dyDescent="0.2">
      <c r="B118" s="418" t="s">
        <v>1153</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x14ac:dyDescent="0.2">
      <c r="B119" s="418" t="s">
        <v>1153</v>
      </c>
      <c r="C119" s="58" t="s">
        <v>210</v>
      </c>
      <c r="D119" s="140">
        <f>IF(Cover!C23="Scheme pipeline","-",SUMIF('3.5 Depreciation amortisation'!$D$66:$D$83,$C$113,'3.5 Depreciation amortisation'!$J$66:$J$83))</f>
        <v>-774.81167006771386</v>
      </c>
      <c r="E119" s="77">
        <v>94.416196811691975</v>
      </c>
      <c r="F119" s="111"/>
    </row>
    <row r="120" spans="2:7" x14ac:dyDescent="0.2">
      <c r="B120" s="419"/>
      <c r="C120" s="95" t="s">
        <v>239</v>
      </c>
      <c r="D120" s="140">
        <f>SUM(D114:D119)</f>
        <v>107084.99538182176</v>
      </c>
      <c r="E120" s="140">
        <f>SUM(E114:E119)</f>
        <v>106269.9703652129</v>
      </c>
      <c r="F120" s="111"/>
    </row>
    <row r="121" spans="2:7" x14ac:dyDescent="0.2">
      <c r="B121" s="418" t="s">
        <v>1153</v>
      </c>
      <c r="C121" s="59" t="s">
        <v>240</v>
      </c>
      <c r="D121" s="77">
        <v>0</v>
      </c>
      <c r="E121" s="77">
        <v>0</v>
      </c>
      <c r="F121" s="111"/>
    </row>
    <row r="122" spans="2:7" x14ac:dyDescent="0.2">
      <c r="B122" s="418" t="s">
        <v>1153</v>
      </c>
      <c r="C122" s="59" t="s">
        <v>241</v>
      </c>
      <c r="D122" s="77">
        <v>0</v>
      </c>
      <c r="E122" s="77">
        <v>0</v>
      </c>
    </row>
    <row r="123" spans="2:7" x14ac:dyDescent="0.2">
      <c r="B123" s="418" t="s">
        <v>1153</v>
      </c>
      <c r="C123" s="59" t="s">
        <v>242</v>
      </c>
      <c r="D123" s="77">
        <v>3436689.69</v>
      </c>
      <c r="E123" s="77">
        <v>3307720.86</v>
      </c>
    </row>
    <row r="124" spans="2:7" x14ac:dyDescent="0.2">
      <c r="B124" s="293"/>
      <c r="C124" s="97" t="s">
        <v>243</v>
      </c>
      <c r="D124" s="140">
        <f>SUM(D112,D120:D123)</f>
        <v>4038460.5448336168</v>
      </c>
      <c r="E124" s="140">
        <f>SUM(E112,E120:E123)</f>
        <v>3801799.6020958284</v>
      </c>
      <c r="F124" s="111"/>
    </row>
    <row r="125" spans="2:7" ht="12.75" customHeight="1" x14ac:dyDescent="0.2">
      <c r="B125" s="293"/>
      <c r="C125" s="97" t="s">
        <v>244</v>
      </c>
      <c r="D125" s="143">
        <f>SUM(D103,D124)</f>
        <v>27517933.804833617</v>
      </c>
      <c r="E125" s="143">
        <f>SUM(E103,E124)</f>
        <v>28323862.792095825</v>
      </c>
    </row>
    <row r="128" spans="2:7" ht="15.75" x14ac:dyDescent="0.25">
      <c r="B128" s="225" t="s">
        <v>245</v>
      </c>
    </row>
    <row r="129" spans="2:4" ht="12.75" customHeight="1" x14ac:dyDescent="0.25">
      <c r="B129" s="225"/>
    </row>
    <row r="130" spans="2:4" ht="25.5" x14ac:dyDescent="0.2">
      <c r="B130" s="55" t="s">
        <v>113</v>
      </c>
      <c r="C130" s="56" t="s">
        <v>114</v>
      </c>
      <c r="D130" s="313" t="str">
        <f>IFERROR(VLOOKUP(C132,rInitialyears,2,FALSE),"")</f>
        <v>Acquisition year</v>
      </c>
    </row>
    <row r="131" spans="2:4" x14ac:dyDescent="0.2">
      <c r="B131" s="55"/>
      <c r="C131" s="97" t="s">
        <v>244</v>
      </c>
      <c r="D131" s="313"/>
    </row>
    <row r="132" spans="2:4" x14ac:dyDescent="0.2">
      <c r="B132" s="418" t="s">
        <v>1153</v>
      </c>
      <c r="C132" s="304" t="s">
        <v>482</v>
      </c>
      <c r="D132" s="358">
        <v>29690600.899999999</v>
      </c>
    </row>
  </sheetData>
  <sheetProtection sheet="1"/>
  <mergeCells count="3">
    <mergeCell ref="B13:C13"/>
    <mergeCell ref="B4:C4"/>
    <mergeCell ref="B6:F10"/>
  </mergeCells>
  <phoneticPr fontId="33" type="noConversion"/>
  <dataValidations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85546875" style="4" customWidth="1"/>
    <col min="9" max="16384" width="9.140625" style="4"/>
  </cols>
  <sheetData>
    <row r="1" spans="2:8" ht="20.25" x14ac:dyDescent="0.2">
      <c r="B1" s="146" t="s">
        <v>53</v>
      </c>
      <c r="C1" s="146"/>
    </row>
    <row r="2" spans="2:8" ht="20.25" x14ac:dyDescent="0.2">
      <c r="B2" s="146" t="str">
        <f>IF(Tradingname=0," ",Tradingname)</f>
        <v>APT PIPELINES (NSW) PTY LIMITED</v>
      </c>
      <c r="C2" s="146"/>
      <c r="E2" s="272"/>
    </row>
    <row r="3" spans="2:8" ht="20.25" x14ac:dyDescent="0.3">
      <c r="B3" s="146" t="s">
        <v>30</v>
      </c>
      <c r="C3" s="110">
        <f>IF(Yearending=0, "01/01/2000", Yearending)</f>
        <v>45838</v>
      </c>
    </row>
    <row r="4" spans="2:8" ht="20.25" x14ac:dyDescent="0.3">
      <c r="B4" s="146" t="s">
        <v>246</v>
      </c>
      <c r="C4" s="110">
        <f>'1. Pipeline information'!C15</f>
        <v>0</v>
      </c>
    </row>
    <row r="5" spans="2:8" ht="20.25" x14ac:dyDescent="0.2">
      <c r="B5" s="102" t="s">
        <v>247</v>
      </c>
      <c r="C5" s="102"/>
      <c r="D5" s="255"/>
    </row>
    <row r="6" spans="2:8" x14ac:dyDescent="0.2">
      <c r="D6" s="273"/>
    </row>
    <row r="7" spans="2:8" x14ac:dyDescent="0.2">
      <c r="B7" s="502" t="s">
        <v>248</v>
      </c>
      <c r="C7" s="502"/>
      <c r="D7" s="502"/>
    </row>
    <row r="8" spans="2:8" x14ac:dyDescent="0.2">
      <c r="B8" s="502"/>
      <c r="C8" s="502"/>
      <c r="D8" s="502"/>
    </row>
    <row r="9" spans="2:8" x14ac:dyDescent="0.2">
      <c r="B9" s="502"/>
      <c r="C9" s="502"/>
      <c r="D9" s="502"/>
    </row>
    <row r="12" spans="2:8" ht="15.75" x14ac:dyDescent="0.2">
      <c r="B12" s="505" t="s">
        <v>249</v>
      </c>
      <c r="C12" s="505"/>
      <c r="D12" s="273"/>
    </row>
    <row r="14" spans="2:8" x14ac:dyDescent="0.2">
      <c r="B14" s="273"/>
      <c r="C14" s="273"/>
      <c r="D14" s="507" t="s">
        <v>250</v>
      </c>
      <c r="E14" s="507"/>
      <c r="F14" s="507"/>
      <c r="G14" s="507"/>
      <c r="H14" s="507"/>
    </row>
    <row r="15" spans="2:8" x14ac:dyDescent="0.2">
      <c r="B15" s="55" t="s">
        <v>113</v>
      </c>
      <c r="C15" s="313" t="s">
        <v>114</v>
      </c>
      <c r="D15" s="313" t="str">
        <f>YEAR(Yearstart)-4&amp;"-"&amp;RIGHT(YEAR(Yearstart)-3,2)</f>
        <v>2020-21</v>
      </c>
      <c r="E15" s="313" t="str">
        <f>YEAR(Yearstart)-3&amp;"-"&amp;RIGHT(YEAR(Yearstart)-2,2)</f>
        <v>2021-22</v>
      </c>
      <c r="F15" s="56" t="str">
        <f>YEAR(Yearstart)-2&amp;"-"&amp;RIGHT(YEAR(Yearstart)-1,2)</f>
        <v>2022-23</v>
      </c>
      <c r="G15" s="56" t="str">
        <f>YEAR(Yearstart)-1&amp;"-"&amp;RIGHT(YEAR(Yearstart),2)</f>
        <v>2023-24</v>
      </c>
      <c r="H15" s="313" t="str">
        <f>YEAR(Yearstart)&amp;"-"&amp;RIGHT(YEAR(Yearstart)+1,2)</f>
        <v>2024-25</v>
      </c>
    </row>
    <row r="16" spans="2:8" x14ac:dyDescent="0.2">
      <c r="B16" s="297"/>
      <c r="C16" s="56"/>
      <c r="D16" s="56"/>
      <c r="E16" s="56"/>
      <c r="F16" s="56"/>
      <c r="G16" s="56"/>
      <c r="H16" s="313"/>
    </row>
    <row r="17" spans="2:12" x14ac:dyDescent="0.2">
      <c r="B17" s="296"/>
      <c r="C17" s="59" t="s">
        <v>251</v>
      </c>
      <c r="D17" s="173" t="s">
        <v>252</v>
      </c>
      <c r="E17" s="173" t="s">
        <v>252</v>
      </c>
      <c r="F17" s="173" t="s">
        <v>252</v>
      </c>
      <c r="G17" s="173" t="s">
        <v>252</v>
      </c>
      <c r="H17" s="173" t="s">
        <v>252</v>
      </c>
    </row>
    <row r="18" spans="2:12" x14ac:dyDescent="0.2">
      <c r="B18" s="418" t="s">
        <v>1154</v>
      </c>
      <c r="C18" s="174" t="s">
        <v>253</v>
      </c>
      <c r="D18" s="77"/>
      <c r="E18" s="140">
        <f>D23</f>
        <v>0</v>
      </c>
      <c r="F18" s="140">
        <f>E23</f>
        <v>0</v>
      </c>
      <c r="G18" s="140">
        <f>F23</f>
        <v>0</v>
      </c>
      <c r="H18" s="140">
        <f>G23</f>
        <v>0</v>
      </c>
    </row>
    <row r="19" spans="2:12" x14ac:dyDescent="0.2">
      <c r="B19" s="420" t="s">
        <v>1154</v>
      </c>
      <c r="C19" s="174" t="s">
        <v>254</v>
      </c>
      <c r="D19" s="77"/>
      <c r="E19" s="77"/>
      <c r="F19" s="77"/>
      <c r="G19" s="77"/>
      <c r="H19" s="77"/>
    </row>
    <row r="20" spans="2:12" x14ac:dyDescent="0.2">
      <c r="B20" s="296"/>
      <c r="C20" s="95" t="s">
        <v>255</v>
      </c>
      <c r="D20" s="140">
        <f>SUM(D18:D19)</f>
        <v>0</v>
      </c>
      <c r="E20" s="140">
        <f>SUM(E18:E19)</f>
        <v>0</v>
      </c>
      <c r="F20" s="140">
        <f>SUM(F18:F19)</f>
        <v>0</v>
      </c>
      <c r="G20" s="140">
        <f>SUM(G18:G19)</f>
        <v>0</v>
      </c>
      <c r="H20" s="140">
        <f>SUM(H18:H19)</f>
        <v>0</v>
      </c>
    </row>
    <row r="21" spans="2:12" x14ac:dyDescent="0.2">
      <c r="B21" s="420" t="s">
        <v>1154</v>
      </c>
      <c r="C21" s="174" t="s">
        <v>256</v>
      </c>
      <c r="D21" s="77"/>
      <c r="E21" s="77"/>
      <c r="F21" s="77"/>
      <c r="G21" s="77"/>
      <c r="H21" s="77"/>
    </row>
    <row r="22" spans="2:12" x14ac:dyDescent="0.2">
      <c r="B22" s="420" t="s">
        <v>1154</v>
      </c>
      <c r="C22" s="174" t="s">
        <v>257</v>
      </c>
      <c r="D22" s="77"/>
      <c r="E22" s="77"/>
      <c r="F22" s="77"/>
      <c r="G22" s="77"/>
      <c r="H22" s="77"/>
      <c r="L22" s="20"/>
    </row>
    <row r="23" spans="2:12" x14ac:dyDescent="0.2">
      <c r="B23" s="296"/>
      <c r="C23" s="95" t="s">
        <v>258</v>
      </c>
      <c r="D23" s="140">
        <f>SUM(D20:D22)</f>
        <v>0</v>
      </c>
      <c r="E23" s="140">
        <f>SUM(E20:E22)</f>
        <v>0</v>
      </c>
      <c r="F23" s="140">
        <f>SUM(F20:F22)</f>
        <v>0</v>
      </c>
      <c r="G23" s="140">
        <f>SUM(G20:G22)</f>
        <v>0</v>
      </c>
      <c r="H23" s="140">
        <f>SUM(H20:H22)</f>
        <v>0</v>
      </c>
    </row>
    <row r="24" spans="2:12" x14ac:dyDescent="0.2">
      <c r="B24" s="296"/>
      <c r="C24" s="59" t="s">
        <v>259</v>
      </c>
      <c r="D24" s="313"/>
      <c r="E24" s="313"/>
      <c r="F24" s="313"/>
      <c r="G24" s="313"/>
      <c r="H24" s="313"/>
    </row>
    <row r="25" spans="2:12" x14ac:dyDescent="0.2">
      <c r="B25" s="420" t="s">
        <v>1154</v>
      </c>
      <c r="C25" s="174" t="s">
        <v>253</v>
      </c>
      <c r="D25" s="77"/>
      <c r="E25" s="140">
        <f>D29</f>
        <v>0</v>
      </c>
      <c r="F25" s="140">
        <f>E29</f>
        <v>0</v>
      </c>
      <c r="G25" s="140">
        <f>F29</f>
        <v>0</v>
      </c>
      <c r="H25" s="140">
        <f>G29</f>
        <v>0</v>
      </c>
    </row>
    <row r="26" spans="2:12" x14ac:dyDescent="0.2">
      <c r="B26" s="420" t="s">
        <v>1154</v>
      </c>
      <c r="C26" s="174" t="s">
        <v>260</v>
      </c>
      <c r="D26" s="77"/>
      <c r="E26" s="77"/>
      <c r="F26" s="77"/>
      <c r="G26" s="77"/>
      <c r="H26" s="77"/>
    </row>
    <row r="27" spans="2:12" x14ac:dyDescent="0.2">
      <c r="B27" s="420" t="s">
        <v>1154</v>
      </c>
      <c r="C27" s="174" t="s">
        <v>261</v>
      </c>
      <c r="D27" s="77"/>
      <c r="E27" s="77"/>
      <c r="F27" s="77"/>
      <c r="G27" s="77"/>
      <c r="H27" s="77"/>
    </row>
    <row r="28" spans="2:12" x14ac:dyDescent="0.2">
      <c r="B28" s="420" t="s">
        <v>1154</v>
      </c>
      <c r="C28" s="174" t="s">
        <v>262</v>
      </c>
      <c r="D28" s="77"/>
      <c r="E28" s="77"/>
      <c r="F28" s="77"/>
      <c r="G28" s="77"/>
      <c r="H28" s="77"/>
    </row>
    <row r="29" spans="2:12" x14ac:dyDescent="0.2">
      <c r="B29" s="296"/>
      <c r="C29" s="95" t="s">
        <v>263</v>
      </c>
      <c r="D29" s="140">
        <f>SUM(D25:D28)</f>
        <v>0</v>
      </c>
      <c r="E29" s="140">
        <f>SUM(E25:E28)</f>
        <v>0</v>
      </c>
      <c r="F29" s="140">
        <f>SUM(F25:F28)</f>
        <v>0</v>
      </c>
      <c r="G29" s="140">
        <f>SUM(G25:G28)</f>
        <v>0</v>
      </c>
      <c r="H29" s="140">
        <f>SUM(H25:H28)</f>
        <v>0</v>
      </c>
    </row>
    <row r="30" spans="2:12" x14ac:dyDescent="0.2">
      <c r="B30" s="296"/>
      <c r="C30" s="59" t="s">
        <v>264</v>
      </c>
      <c r="D30" s="313"/>
      <c r="E30" s="313"/>
      <c r="F30" s="313"/>
      <c r="G30" s="313"/>
      <c r="H30" s="313"/>
    </row>
    <row r="31" spans="2:12" x14ac:dyDescent="0.2">
      <c r="B31" s="420" t="s">
        <v>1154</v>
      </c>
      <c r="C31" s="174" t="s">
        <v>253</v>
      </c>
      <c r="D31" s="77"/>
      <c r="E31" s="140">
        <f>D35</f>
        <v>0</v>
      </c>
      <c r="F31" s="140">
        <f>E35</f>
        <v>0</v>
      </c>
      <c r="G31" s="140">
        <f>F35</f>
        <v>0</v>
      </c>
      <c r="H31" s="140">
        <f>G35</f>
        <v>0</v>
      </c>
    </row>
    <row r="32" spans="2:12" x14ac:dyDescent="0.2">
      <c r="B32" s="420" t="s">
        <v>1154</v>
      </c>
      <c r="C32" s="174" t="s">
        <v>265</v>
      </c>
      <c r="D32" s="77"/>
      <c r="E32" s="77"/>
      <c r="F32" s="77"/>
      <c r="G32" s="77"/>
      <c r="H32" s="77"/>
    </row>
    <row r="33" spans="2:8" ht="11.25" customHeight="1" x14ac:dyDescent="0.2">
      <c r="B33" s="420" t="s">
        <v>1154</v>
      </c>
      <c r="C33" s="174" t="s">
        <v>266</v>
      </c>
      <c r="D33" s="77"/>
      <c r="E33" s="77"/>
      <c r="F33" s="77"/>
      <c r="G33" s="77"/>
      <c r="H33" s="77"/>
    </row>
    <row r="34" spans="2:8" x14ac:dyDescent="0.2">
      <c r="B34" s="420" t="s">
        <v>1154</v>
      </c>
      <c r="C34" s="174" t="s">
        <v>262</v>
      </c>
      <c r="D34" s="77"/>
      <c r="E34" s="77"/>
      <c r="F34" s="77"/>
      <c r="G34" s="77"/>
      <c r="H34" s="77"/>
    </row>
    <row r="35" spans="2:8" x14ac:dyDescent="0.2">
      <c r="B35" s="296"/>
      <c r="C35" s="95" t="s">
        <v>267</v>
      </c>
      <c r="D35" s="140">
        <f>SUM(D31:D34)</f>
        <v>0</v>
      </c>
      <c r="E35" s="140">
        <f>SUM(E31:E34)</f>
        <v>0</v>
      </c>
      <c r="F35" s="140">
        <f>SUM(F31:F34)</f>
        <v>0</v>
      </c>
      <c r="G35" s="140">
        <f>SUM(G31:G34)</f>
        <v>0</v>
      </c>
      <c r="H35" s="140">
        <f>SUM(H31:H34)</f>
        <v>0</v>
      </c>
    </row>
    <row r="36" spans="2:8" x14ac:dyDescent="0.2">
      <c r="B36" s="296"/>
      <c r="C36" s="59" t="s">
        <v>268</v>
      </c>
      <c r="D36" s="313"/>
      <c r="E36" s="313"/>
      <c r="F36" s="313"/>
      <c r="G36" s="313"/>
      <c r="H36" s="313"/>
    </row>
    <row r="37" spans="2:8" x14ac:dyDescent="0.2">
      <c r="B37" s="420" t="s">
        <v>1154</v>
      </c>
      <c r="C37" s="174" t="s">
        <v>253</v>
      </c>
      <c r="D37" s="77"/>
      <c r="E37" s="140">
        <f>D41</f>
        <v>0</v>
      </c>
      <c r="F37" s="140">
        <f>E41</f>
        <v>0</v>
      </c>
      <c r="G37" s="140">
        <f>F41</f>
        <v>0</v>
      </c>
      <c r="H37" s="140">
        <f>G41</f>
        <v>0</v>
      </c>
    </row>
    <row r="38" spans="2:8" x14ac:dyDescent="0.2">
      <c r="B38" s="420" t="s">
        <v>1154</v>
      </c>
      <c r="C38" s="174" t="s">
        <v>260</v>
      </c>
      <c r="D38" s="77"/>
      <c r="E38" s="77"/>
      <c r="F38" s="77"/>
      <c r="G38" s="77"/>
      <c r="H38" s="77"/>
    </row>
    <row r="39" spans="2:8" x14ac:dyDescent="0.2">
      <c r="B39" s="420" t="s">
        <v>1154</v>
      </c>
      <c r="C39" s="174" t="s">
        <v>269</v>
      </c>
      <c r="D39" s="77"/>
      <c r="E39" s="77"/>
      <c r="F39" s="77"/>
      <c r="G39" s="77"/>
      <c r="H39" s="77"/>
    </row>
    <row r="40" spans="2:8" x14ac:dyDescent="0.2">
      <c r="B40" s="420" t="s">
        <v>1154</v>
      </c>
      <c r="C40" s="174" t="s">
        <v>262</v>
      </c>
      <c r="D40" s="77"/>
      <c r="E40" s="77"/>
      <c r="F40" s="77"/>
      <c r="G40" s="77"/>
      <c r="H40" s="77"/>
    </row>
    <row r="41" spans="2:8" ht="11.25" customHeight="1" x14ac:dyDescent="0.2">
      <c r="B41" s="296"/>
      <c r="C41" s="95" t="s">
        <v>270</v>
      </c>
      <c r="D41" s="140">
        <f>SUM(D37:D40)</f>
        <v>0</v>
      </c>
      <c r="E41" s="140">
        <f>SUM(E37:E40)</f>
        <v>0</v>
      </c>
      <c r="F41" s="140">
        <f>SUM(F37:F40)</f>
        <v>0</v>
      </c>
      <c r="G41" s="140">
        <f>SUM(G37:G40)</f>
        <v>0</v>
      </c>
      <c r="H41" s="140">
        <f>SUM(H37:H40)</f>
        <v>0</v>
      </c>
    </row>
    <row r="42" spans="2:8" x14ac:dyDescent="0.2">
      <c r="B42" s="296"/>
      <c r="C42" s="59" t="s">
        <v>271</v>
      </c>
      <c r="D42" s="313"/>
      <c r="E42" s="313"/>
      <c r="F42" s="313"/>
      <c r="G42" s="313"/>
      <c r="H42" s="313"/>
    </row>
    <row r="43" spans="2:8" x14ac:dyDescent="0.2">
      <c r="B43" s="420" t="s">
        <v>1154</v>
      </c>
      <c r="C43" s="174" t="s">
        <v>253</v>
      </c>
      <c r="D43" s="77"/>
      <c r="E43" s="140">
        <f>D47</f>
        <v>0</v>
      </c>
      <c r="F43" s="140">
        <f>E47</f>
        <v>0</v>
      </c>
      <c r="G43" s="140">
        <f>F47</f>
        <v>0</v>
      </c>
      <c r="H43" s="140">
        <f>G47</f>
        <v>0</v>
      </c>
    </row>
    <row r="44" spans="2:8" x14ac:dyDescent="0.2">
      <c r="B44" s="420" t="s">
        <v>1154</v>
      </c>
      <c r="C44" s="174" t="s">
        <v>260</v>
      </c>
      <c r="D44" s="77"/>
      <c r="E44" s="77"/>
      <c r="F44" s="77"/>
      <c r="G44" s="77"/>
      <c r="H44" s="77"/>
    </row>
    <row r="45" spans="2:8" x14ac:dyDescent="0.2">
      <c r="B45" s="420" t="s">
        <v>1154</v>
      </c>
      <c r="C45" s="174" t="s">
        <v>272</v>
      </c>
      <c r="D45" s="77"/>
      <c r="E45" s="77"/>
      <c r="F45" s="77"/>
      <c r="G45" s="77"/>
      <c r="H45" s="77"/>
    </row>
    <row r="46" spans="2:8" x14ac:dyDescent="0.2">
      <c r="B46" s="420" t="s">
        <v>1154</v>
      </c>
      <c r="C46" s="174" t="s">
        <v>262</v>
      </c>
      <c r="D46" s="77"/>
      <c r="E46" s="77"/>
      <c r="F46" s="77"/>
      <c r="G46" s="77"/>
      <c r="H46" s="77"/>
    </row>
    <row r="47" spans="2:8" x14ac:dyDescent="0.2">
      <c r="B47" s="296"/>
      <c r="C47" s="95" t="s">
        <v>273</v>
      </c>
      <c r="D47" s="140">
        <f>SUM(D43:D46)</f>
        <v>0</v>
      </c>
      <c r="E47" s="140">
        <f>SUM(E43:E46)</f>
        <v>0</v>
      </c>
      <c r="F47" s="140">
        <f>SUM(F43:F46)</f>
        <v>0</v>
      </c>
      <c r="G47" s="140">
        <f>SUM(G43:G46)</f>
        <v>0</v>
      </c>
      <c r="H47" s="140">
        <f>SUM(H43:H46)</f>
        <v>0</v>
      </c>
    </row>
    <row r="48" spans="2:8" x14ac:dyDescent="0.2">
      <c r="B48" s="296"/>
      <c r="C48" s="59" t="s">
        <v>274</v>
      </c>
      <c r="D48" s="313"/>
      <c r="E48" s="313"/>
      <c r="F48" s="313"/>
      <c r="G48" s="313"/>
      <c r="H48" s="313"/>
    </row>
    <row r="49" spans="2:8" ht="11.25" customHeight="1" x14ac:dyDescent="0.2">
      <c r="B49" s="420" t="s">
        <v>1154</v>
      </c>
      <c r="C49" s="174" t="s">
        <v>253</v>
      </c>
      <c r="D49" s="77"/>
      <c r="E49" s="140">
        <f>D53</f>
        <v>0</v>
      </c>
      <c r="F49" s="140">
        <f>E53</f>
        <v>0</v>
      </c>
      <c r="G49" s="140">
        <f>F53</f>
        <v>0</v>
      </c>
      <c r="H49" s="140">
        <f>G53</f>
        <v>0</v>
      </c>
    </row>
    <row r="50" spans="2:8" x14ac:dyDescent="0.2">
      <c r="B50" s="420" t="s">
        <v>1154</v>
      </c>
      <c r="C50" s="174" t="s">
        <v>260</v>
      </c>
      <c r="D50" s="77"/>
      <c r="E50" s="77"/>
      <c r="F50" s="77"/>
      <c r="G50" s="77"/>
      <c r="H50" s="77"/>
    </row>
    <row r="51" spans="2:8" x14ac:dyDescent="0.2">
      <c r="B51" s="420" t="s">
        <v>1154</v>
      </c>
      <c r="C51" s="174" t="s">
        <v>275</v>
      </c>
      <c r="D51" s="77"/>
      <c r="E51" s="77"/>
      <c r="F51" s="77"/>
      <c r="G51" s="77"/>
      <c r="H51" s="77"/>
    </row>
    <row r="52" spans="2:8" x14ac:dyDescent="0.2">
      <c r="B52" s="420" t="s">
        <v>1154</v>
      </c>
      <c r="C52" s="174" t="s">
        <v>262</v>
      </c>
      <c r="D52" s="77"/>
      <c r="E52" s="77"/>
      <c r="F52" s="77"/>
      <c r="G52" s="77"/>
      <c r="H52" s="77"/>
    </row>
    <row r="53" spans="2:8" x14ac:dyDescent="0.2">
      <c r="B53" s="296"/>
      <c r="C53" s="95" t="s">
        <v>276</v>
      </c>
      <c r="D53" s="140">
        <f>SUM(D49:D52)</f>
        <v>0</v>
      </c>
      <c r="E53" s="140">
        <f>SUM(E49:E52)</f>
        <v>0</v>
      </c>
      <c r="F53" s="140">
        <f>SUM(F49:F52)</f>
        <v>0</v>
      </c>
      <c r="G53" s="140">
        <f>SUM(G49:G52)</f>
        <v>0</v>
      </c>
      <c r="H53" s="140">
        <f>SUM(H49:H52)</f>
        <v>0</v>
      </c>
    </row>
    <row r="54" spans="2:8" x14ac:dyDescent="0.2">
      <c r="B54" s="296"/>
      <c r="C54" s="59" t="s">
        <v>277</v>
      </c>
      <c r="D54" s="313"/>
      <c r="E54" s="313"/>
      <c r="F54" s="313"/>
      <c r="G54" s="313"/>
      <c r="H54" s="313"/>
    </row>
    <row r="55" spans="2:8" x14ac:dyDescent="0.2">
      <c r="B55" s="420" t="s">
        <v>1154</v>
      </c>
      <c r="C55" s="174" t="s">
        <v>253</v>
      </c>
      <c r="D55" s="77"/>
      <c r="E55" s="140">
        <f>D59</f>
        <v>0</v>
      </c>
      <c r="F55" s="140">
        <f>E59</f>
        <v>0</v>
      </c>
      <c r="G55" s="140">
        <f>F59</f>
        <v>0</v>
      </c>
      <c r="H55" s="140">
        <f>G59</f>
        <v>0</v>
      </c>
    </row>
    <row r="56" spans="2:8" x14ac:dyDescent="0.2">
      <c r="B56" s="420" t="s">
        <v>1154</v>
      </c>
      <c r="C56" s="174" t="s">
        <v>260</v>
      </c>
      <c r="D56" s="77"/>
      <c r="E56" s="77"/>
      <c r="F56" s="77"/>
      <c r="G56" s="77"/>
      <c r="H56" s="77"/>
    </row>
    <row r="57" spans="2:8" ht="11.25" customHeight="1" x14ac:dyDescent="0.2">
      <c r="B57" s="420" t="s">
        <v>1154</v>
      </c>
      <c r="C57" s="174" t="s">
        <v>278</v>
      </c>
      <c r="D57" s="77"/>
      <c r="E57" s="77"/>
      <c r="F57" s="77"/>
      <c r="G57" s="77"/>
      <c r="H57" s="77"/>
    </row>
    <row r="58" spans="2:8" x14ac:dyDescent="0.2">
      <c r="B58" s="420" t="s">
        <v>1154</v>
      </c>
      <c r="C58" s="174" t="s">
        <v>262</v>
      </c>
      <c r="D58" s="77"/>
      <c r="E58" s="77"/>
      <c r="F58" s="77"/>
      <c r="G58" s="77"/>
      <c r="H58" s="77"/>
    </row>
    <row r="59" spans="2:8" x14ac:dyDescent="0.2">
      <c r="B59" s="296"/>
      <c r="C59" s="95" t="s">
        <v>279</v>
      </c>
      <c r="D59" s="140">
        <f>SUM(D55:D58)</f>
        <v>0</v>
      </c>
      <c r="E59" s="140">
        <f>SUM(E55:E58)</f>
        <v>0</v>
      </c>
      <c r="F59" s="140">
        <f>SUM(F55:F58)</f>
        <v>0</v>
      </c>
      <c r="G59" s="140">
        <f>SUM(G55:G58)</f>
        <v>0</v>
      </c>
      <c r="H59" s="140">
        <f>SUM(H55:H58)</f>
        <v>0</v>
      </c>
    </row>
    <row r="60" spans="2:8" x14ac:dyDescent="0.2">
      <c r="B60" s="296"/>
      <c r="C60" s="59" t="s">
        <v>280</v>
      </c>
      <c r="D60" s="313"/>
      <c r="E60" s="313"/>
      <c r="F60" s="313"/>
      <c r="G60" s="313"/>
      <c r="H60" s="313"/>
    </row>
    <row r="61" spans="2:8" x14ac:dyDescent="0.2">
      <c r="B61" s="420" t="s">
        <v>1154</v>
      </c>
      <c r="C61" s="174" t="s">
        <v>253</v>
      </c>
      <c r="D61" s="77"/>
      <c r="E61" s="140">
        <f>D65</f>
        <v>0</v>
      </c>
      <c r="F61" s="140">
        <f>E65</f>
        <v>0</v>
      </c>
      <c r="G61" s="140">
        <f>F65</f>
        <v>0</v>
      </c>
      <c r="H61" s="140">
        <f>G65</f>
        <v>0</v>
      </c>
    </row>
    <row r="62" spans="2:8" x14ac:dyDescent="0.2">
      <c r="B62" s="420" t="s">
        <v>1154</v>
      </c>
      <c r="C62" s="174" t="s">
        <v>260</v>
      </c>
      <c r="D62" s="77"/>
      <c r="E62" s="77"/>
      <c r="F62" s="77"/>
      <c r="G62" s="77"/>
      <c r="H62" s="77"/>
    </row>
    <row r="63" spans="2:8" ht="11.25" customHeight="1" x14ac:dyDescent="0.2">
      <c r="B63" s="420" t="s">
        <v>1154</v>
      </c>
      <c r="C63" s="174" t="s">
        <v>281</v>
      </c>
      <c r="D63" s="77"/>
      <c r="E63" s="77"/>
      <c r="F63" s="77"/>
      <c r="G63" s="77"/>
      <c r="H63" s="77"/>
    </row>
    <row r="64" spans="2:8" ht="11.25" customHeight="1" x14ac:dyDescent="0.2">
      <c r="B64" s="420" t="s">
        <v>1154</v>
      </c>
      <c r="C64" s="174" t="s">
        <v>262</v>
      </c>
      <c r="D64" s="77"/>
      <c r="E64" s="77"/>
      <c r="F64" s="77"/>
      <c r="G64" s="77"/>
      <c r="H64" s="77"/>
    </row>
    <row r="65" spans="2:8" ht="11.25" customHeight="1" x14ac:dyDescent="0.2">
      <c r="B65" s="296"/>
      <c r="C65" s="95" t="s">
        <v>282</v>
      </c>
      <c r="D65" s="140">
        <f>SUM(D61:D64)</f>
        <v>0</v>
      </c>
      <c r="E65" s="140">
        <f>SUM(E61:E64)</f>
        <v>0</v>
      </c>
      <c r="F65" s="140">
        <f>SUM(F61:F64)</f>
        <v>0</v>
      </c>
      <c r="G65" s="140">
        <f>SUM(G61:G64)</f>
        <v>0</v>
      </c>
      <c r="H65" s="140">
        <f>SUM(H61:H64)</f>
        <v>0</v>
      </c>
    </row>
    <row r="66" spans="2:8" x14ac:dyDescent="0.2">
      <c r="B66" s="296"/>
      <c r="C66" s="59" t="s">
        <v>283</v>
      </c>
      <c r="D66" s="313"/>
      <c r="E66" s="313"/>
      <c r="F66" s="313"/>
      <c r="G66" s="313"/>
      <c r="H66" s="313"/>
    </row>
    <row r="67" spans="2:8" x14ac:dyDescent="0.2">
      <c r="B67" s="420" t="s">
        <v>1154</v>
      </c>
      <c r="C67" s="174" t="s">
        <v>253</v>
      </c>
      <c r="D67" s="77"/>
      <c r="E67" s="140">
        <f>D71</f>
        <v>0</v>
      </c>
      <c r="F67" s="140">
        <f>E71</f>
        <v>0</v>
      </c>
      <c r="G67" s="140">
        <f>F71</f>
        <v>0</v>
      </c>
      <c r="H67" s="140">
        <f>G71</f>
        <v>0</v>
      </c>
    </row>
    <row r="68" spans="2:8" x14ac:dyDescent="0.2">
      <c r="B68" s="420" t="s">
        <v>1154</v>
      </c>
      <c r="C68" s="174" t="s">
        <v>260</v>
      </c>
      <c r="D68" s="77"/>
      <c r="E68" s="77"/>
      <c r="F68" s="77"/>
      <c r="G68" s="77"/>
      <c r="H68" s="77"/>
    </row>
    <row r="69" spans="2:8" x14ac:dyDescent="0.2">
      <c r="B69" s="420" t="s">
        <v>1154</v>
      </c>
      <c r="C69" s="174" t="s">
        <v>284</v>
      </c>
      <c r="D69" s="77"/>
      <c r="E69" s="77"/>
      <c r="F69" s="77"/>
      <c r="G69" s="77"/>
      <c r="H69" s="77"/>
    </row>
    <row r="70" spans="2:8" x14ac:dyDescent="0.2">
      <c r="B70" s="420" t="s">
        <v>1154</v>
      </c>
      <c r="C70" s="174" t="s">
        <v>262</v>
      </c>
      <c r="D70" s="77"/>
      <c r="E70" s="77"/>
      <c r="F70" s="77"/>
      <c r="G70" s="77"/>
      <c r="H70" s="77"/>
    </row>
    <row r="71" spans="2:8" x14ac:dyDescent="0.2">
      <c r="B71" s="296"/>
      <c r="C71" s="95" t="s">
        <v>285</v>
      </c>
      <c r="D71" s="140">
        <f>SUM(D67:D70)</f>
        <v>0</v>
      </c>
      <c r="E71" s="140">
        <f>SUM(E67:E70)</f>
        <v>0</v>
      </c>
      <c r="F71" s="140">
        <f>SUM(F67:F70)</f>
        <v>0</v>
      </c>
      <c r="G71" s="140">
        <f>SUM(G67:G70)</f>
        <v>0</v>
      </c>
      <c r="H71" s="140">
        <f>SUM(H67:H70)</f>
        <v>0</v>
      </c>
    </row>
    <row r="72" spans="2:8" x14ac:dyDescent="0.2">
      <c r="B72" s="296"/>
      <c r="C72" s="59" t="s">
        <v>286</v>
      </c>
      <c r="D72" s="313"/>
      <c r="E72" s="313"/>
      <c r="F72" s="313"/>
      <c r="G72" s="313"/>
      <c r="H72" s="313"/>
    </row>
    <row r="73" spans="2:8" ht="11.25" customHeight="1" x14ac:dyDescent="0.2">
      <c r="B73" s="420" t="s">
        <v>1154</v>
      </c>
      <c r="C73" s="174" t="s">
        <v>253</v>
      </c>
      <c r="D73" s="77"/>
      <c r="E73" s="140">
        <f>D77</f>
        <v>0</v>
      </c>
      <c r="F73" s="140">
        <f>E77</f>
        <v>0</v>
      </c>
      <c r="G73" s="140">
        <f>F77</f>
        <v>0</v>
      </c>
      <c r="H73" s="140">
        <f>G77</f>
        <v>0</v>
      </c>
    </row>
    <row r="74" spans="2:8" x14ac:dyDescent="0.2">
      <c r="B74" s="420" t="s">
        <v>1154</v>
      </c>
      <c r="C74" s="174" t="s">
        <v>260</v>
      </c>
      <c r="D74" s="77"/>
      <c r="E74" s="77"/>
      <c r="F74" s="77"/>
      <c r="G74" s="77"/>
      <c r="H74" s="77"/>
    </row>
    <row r="75" spans="2:8" x14ac:dyDescent="0.2">
      <c r="B75" s="420" t="s">
        <v>1154</v>
      </c>
      <c r="C75" s="174" t="s">
        <v>284</v>
      </c>
      <c r="D75" s="77"/>
      <c r="E75" s="77"/>
      <c r="F75" s="77"/>
      <c r="G75" s="77"/>
      <c r="H75" s="77"/>
    </row>
    <row r="76" spans="2:8" x14ac:dyDescent="0.2">
      <c r="B76" s="420" t="s">
        <v>1154</v>
      </c>
      <c r="C76" s="174" t="s">
        <v>262</v>
      </c>
      <c r="D76" s="77"/>
      <c r="E76" s="77"/>
      <c r="F76" s="77"/>
      <c r="G76" s="77"/>
      <c r="H76" s="77"/>
    </row>
    <row r="77" spans="2:8" x14ac:dyDescent="0.2">
      <c r="B77" s="296"/>
      <c r="C77" s="95" t="s">
        <v>287</v>
      </c>
      <c r="D77" s="140">
        <f>SUM(D73:D76)</f>
        <v>0</v>
      </c>
      <c r="E77" s="140">
        <f>SUM(E73:E76)</f>
        <v>0</v>
      </c>
      <c r="F77" s="140">
        <f>SUM(F73:F76)</f>
        <v>0</v>
      </c>
      <c r="G77" s="140">
        <f>SUM(G73:G76)</f>
        <v>0</v>
      </c>
      <c r="H77" s="140">
        <f>SUM(H73:H76)</f>
        <v>0</v>
      </c>
    </row>
    <row r="78" spans="2:8" x14ac:dyDescent="0.2">
      <c r="B78" s="296"/>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6"/>
      <c r="C79" s="59" t="s">
        <v>289</v>
      </c>
      <c r="D79" s="313"/>
      <c r="E79" s="313"/>
      <c r="F79" s="313"/>
      <c r="G79" s="313"/>
      <c r="H79" s="313"/>
    </row>
    <row r="80" spans="2:8" ht="11.25" customHeight="1" x14ac:dyDescent="0.2">
      <c r="B80" s="420" t="s">
        <v>1154</v>
      </c>
      <c r="C80" s="174" t="s">
        <v>253</v>
      </c>
      <c r="D80" s="77"/>
      <c r="E80" s="140">
        <f>D84</f>
        <v>0</v>
      </c>
      <c r="F80" s="140">
        <f>E84</f>
        <v>0</v>
      </c>
      <c r="G80" s="140">
        <f>F84</f>
        <v>0</v>
      </c>
      <c r="H80" s="140">
        <f>G84</f>
        <v>0</v>
      </c>
    </row>
    <row r="81" spans="2:8" x14ac:dyDescent="0.2">
      <c r="B81" s="420" t="s">
        <v>1154</v>
      </c>
      <c r="C81" s="174" t="s">
        <v>260</v>
      </c>
      <c r="D81" s="77"/>
      <c r="E81" s="77"/>
      <c r="F81" s="77"/>
      <c r="G81" s="77"/>
      <c r="H81" s="77"/>
    </row>
    <row r="82" spans="2:8" x14ac:dyDescent="0.2">
      <c r="B82" s="420" t="s">
        <v>1154</v>
      </c>
      <c r="C82" s="174" t="s">
        <v>290</v>
      </c>
      <c r="D82" s="77"/>
      <c r="E82" s="77"/>
      <c r="F82" s="77"/>
      <c r="G82" s="77"/>
      <c r="H82" s="77"/>
    </row>
    <row r="83" spans="2:8" s="274" customFormat="1" x14ac:dyDescent="0.2">
      <c r="B83" s="420" t="s">
        <v>1154</v>
      </c>
      <c r="C83" s="174" t="s">
        <v>291</v>
      </c>
      <c r="D83" s="77"/>
      <c r="E83" s="77"/>
      <c r="F83" s="77"/>
      <c r="G83" s="77"/>
      <c r="H83" s="77"/>
    </row>
    <row r="84" spans="2:8" s="274" customFormat="1" x14ac:dyDescent="0.2">
      <c r="B84" s="296"/>
      <c r="C84" s="95" t="s">
        <v>292</v>
      </c>
      <c r="D84" s="140">
        <f>SUM(D80:D83)</f>
        <v>0</v>
      </c>
      <c r="E84" s="140">
        <f>SUM(E80:E83)</f>
        <v>0</v>
      </c>
      <c r="F84" s="140">
        <f>SUM(F80:F83)</f>
        <v>0</v>
      </c>
      <c r="G84" s="140">
        <f>SUM(G80:G83)</f>
        <v>0</v>
      </c>
      <c r="H84" s="140">
        <f>SUM(H80:H83)</f>
        <v>0</v>
      </c>
    </row>
    <row r="85" spans="2:8" s="274" customFormat="1" x14ac:dyDescent="0.2">
      <c r="B85" s="296"/>
      <c r="C85" s="59" t="s">
        <v>293</v>
      </c>
      <c r="D85" s="313"/>
      <c r="E85" s="313"/>
      <c r="F85" s="313"/>
      <c r="G85" s="313"/>
      <c r="H85" s="313"/>
    </row>
    <row r="86" spans="2:8" s="274" customFormat="1" x14ac:dyDescent="0.2">
      <c r="B86" s="420" t="s">
        <v>1154</v>
      </c>
      <c r="C86" s="174" t="s">
        <v>253</v>
      </c>
      <c r="D86" s="77"/>
      <c r="E86" s="140">
        <f>D90</f>
        <v>0</v>
      </c>
      <c r="F86" s="140">
        <f>E90</f>
        <v>0</v>
      </c>
      <c r="G86" s="140">
        <f>F90</f>
        <v>0</v>
      </c>
      <c r="H86" s="140">
        <f>G90</f>
        <v>0</v>
      </c>
    </row>
    <row r="87" spans="2:8" s="274" customFormat="1" x14ac:dyDescent="0.2">
      <c r="B87" s="420" t="s">
        <v>1154</v>
      </c>
      <c r="C87" s="174" t="s">
        <v>260</v>
      </c>
      <c r="D87" s="77"/>
      <c r="E87" s="77"/>
      <c r="F87" s="77"/>
      <c r="G87" s="77"/>
      <c r="H87" s="77"/>
    </row>
    <row r="88" spans="2:8" s="274" customFormat="1" x14ac:dyDescent="0.2">
      <c r="B88" s="420" t="s">
        <v>1154</v>
      </c>
      <c r="C88" s="174" t="s">
        <v>284</v>
      </c>
      <c r="D88" s="77"/>
      <c r="E88" s="77"/>
      <c r="F88" s="77"/>
      <c r="G88" s="77"/>
      <c r="H88" s="77"/>
    </row>
    <row r="89" spans="2:8" x14ac:dyDescent="0.2">
      <c r="B89" s="420" t="s">
        <v>1154</v>
      </c>
      <c r="C89" s="174" t="s">
        <v>262</v>
      </c>
      <c r="D89" s="77"/>
      <c r="E89" s="77"/>
      <c r="F89" s="77"/>
      <c r="G89" s="77"/>
      <c r="H89" s="77"/>
    </row>
    <row r="90" spans="2:8" x14ac:dyDescent="0.2">
      <c r="B90" s="296"/>
      <c r="C90" s="95" t="s">
        <v>294</v>
      </c>
      <c r="D90" s="140">
        <f>SUM(D86:D89)</f>
        <v>0</v>
      </c>
      <c r="E90" s="140">
        <f>SUM(E86:E89)</f>
        <v>0</v>
      </c>
      <c r="F90" s="140">
        <f>SUM(F86:F89)</f>
        <v>0</v>
      </c>
      <c r="G90" s="140">
        <f>SUM(G86:G89)</f>
        <v>0</v>
      </c>
      <c r="H90" s="140">
        <f>SUM(H86:H89)</f>
        <v>0</v>
      </c>
    </row>
    <row r="91" spans="2:8" x14ac:dyDescent="0.2">
      <c r="B91" s="420" t="s">
        <v>1154</v>
      </c>
      <c r="C91" s="174" t="s">
        <v>295</v>
      </c>
      <c r="D91" s="77"/>
      <c r="E91" s="140">
        <f>D93</f>
        <v>0</v>
      </c>
      <c r="F91" s="140">
        <f>E93</f>
        <v>0</v>
      </c>
      <c r="G91" s="140">
        <f>F93</f>
        <v>0</v>
      </c>
      <c r="H91" s="140">
        <f>G93</f>
        <v>0</v>
      </c>
    </row>
    <row r="92" spans="2:8" x14ac:dyDescent="0.2">
      <c r="B92" s="420" t="s">
        <v>1154</v>
      </c>
      <c r="C92" s="174" t="s">
        <v>296</v>
      </c>
      <c r="D92" s="77"/>
      <c r="E92" s="77"/>
      <c r="F92" s="77"/>
      <c r="G92" s="77"/>
      <c r="H92" s="77"/>
    </row>
    <row r="93" spans="2:8" x14ac:dyDescent="0.2">
      <c r="B93" s="296"/>
      <c r="C93" s="95" t="s">
        <v>297</v>
      </c>
      <c r="D93" s="140">
        <f>SUM(D91:D92)</f>
        <v>0</v>
      </c>
      <c r="E93" s="140">
        <f>SUM(E91:E92)</f>
        <v>0</v>
      </c>
      <c r="F93" s="140">
        <f>SUM(F91:F92)</f>
        <v>0</v>
      </c>
      <c r="G93" s="140">
        <f>SUM(G91:G92)</f>
        <v>0</v>
      </c>
      <c r="H93" s="140">
        <f>SUM(H91:H92)</f>
        <v>0</v>
      </c>
    </row>
    <row r="94" spans="2:8" x14ac:dyDescent="0.2">
      <c r="B94" s="296"/>
      <c r="C94" s="95" t="s">
        <v>298</v>
      </c>
      <c r="D94" s="140">
        <f>SUM(D84,D90,D93)</f>
        <v>0</v>
      </c>
      <c r="E94" s="140">
        <f>SUM(E84,E90,E93)</f>
        <v>0</v>
      </c>
      <c r="F94" s="140">
        <f>SUM(F84,F90,F93)</f>
        <v>0</v>
      </c>
      <c r="G94" s="140">
        <f>SUM(G84,G90,G93)</f>
        <v>0</v>
      </c>
      <c r="H94" s="140">
        <f>SUM(H84,H90,H93)</f>
        <v>0</v>
      </c>
    </row>
    <row r="95" spans="2:8" x14ac:dyDescent="0.2">
      <c r="B95" s="296"/>
      <c r="C95" s="95" t="s">
        <v>299</v>
      </c>
      <c r="D95" s="140">
        <f>D78+D94</f>
        <v>0</v>
      </c>
      <c r="E95" s="140">
        <f>E78+E94</f>
        <v>0</v>
      </c>
      <c r="F95" s="140">
        <f>F78+F94</f>
        <v>0</v>
      </c>
      <c r="G95" s="140">
        <f>G78+G94</f>
        <v>0</v>
      </c>
      <c r="H95" s="140">
        <f>H78+H94</f>
        <v>0</v>
      </c>
    </row>
    <row r="119" spans="3:3" x14ac:dyDescent="0.2">
      <c r="C119" s="276"/>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6" customWidth="1"/>
    <col min="2" max="2" width="21" style="216" customWidth="1"/>
    <col min="3" max="6" width="42.140625" style="216" customWidth="1"/>
    <col min="7" max="7" width="9.42578125" style="216" customWidth="1"/>
    <col min="8" max="8" width="25.140625" style="216" customWidth="1"/>
    <col min="9" max="16384" width="9.140625" style="216"/>
  </cols>
  <sheetData>
    <row r="1" spans="2:6" ht="20.25" customHeight="1" x14ac:dyDescent="0.2">
      <c r="B1" s="146" t="s">
        <v>53</v>
      </c>
      <c r="C1" s="146"/>
    </row>
    <row r="2" spans="2:6" ht="20.25" x14ac:dyDescent="0.2">
      <c r="B2" s="146" t="str">
        <f>IF(Tradingname=0," ",Tradingname)</f>
        <v>APT PIPELINES (NSW) PTY LIMITED</v>
      </c>
      <c r="C2" s="146"/>
    </row>
    <row r="3" spans="2:6" ht="20.25" x14ac:dyDescent="0.3">
      <c r="B3" s="146" t="s">
        <v>30</v>
      </c>
      <c r="C3" s="110">
        <f>IF(Yearending=0, "01/01/2000", Yearending)</f>
        <v>45838</v>
      </c>
    </row>
    <row r="4" spans="2:6" ht="20.25" x14ac:dyDescent="0.2">
      <c r="B4" s="102" t="s">
        <v>300</v>
      </c>
      <c r="C4" s="102"/>
    </row>
    <row r="7" spans="2:6" ht="15.75" x14ac:dyDescent="0.25">
      <c r="B7" s="218" t="s">
        <v>301</v>
      </c>
      <c r="C7" s="219"/>
      <c r="D7" s="219"/>
      <c r="E7" s="219"/>
    </row>
    <row r="8" spans="2:6" ht="15.75" x14ac:dyDescent="0.25">
      <c r="B8" s="218"/>
      <c r="C8" s="219"/>
      <c r="D8" s="219"/>
      <c r="E8" s="219"/>
    </row>
    <row r="9" spans="2:6" ht="25.5" x14ac:dyDescent="0.2">
      <c r="B9" s="48" t="s">
        <v>113</v>
      </c>
      <c r="C9" s="48" t="s">
        <v>302</v>
      </c>
      <c r="D9" s="48" t="s">
        <v>303</v>
      </c>
      <c r="E9" s="48" t="s">
        <v>304</v>
      </c>
      <c r="F9" s="60" t="s">
        <v>305</v>
      </c>
    </row>
    <row r="10" spans="2:6" x14ac:dyDescent="0.2">
      <c r="B10" s="50"/>
      <c r="C10" s="50"/>
      <c r="D10" s="53"/>
      <c r="E10" s="277" t="s">
        <v>306</v>
      </c>
      <c r="F10" s="278"/>
    </row>
    <row r="11" spans="2:6" ht="25.5" x14ac:dyDescent="0.2">
      <c r="B11" s="421" t="s">
        <v>1155</v>
      </c>
      <c r="C11" s="24" t="str">
        <f>'3.1 Depreciated Book Value'!C17</f>
        <v xml:space="preserve">Pipelines </v>
      </c>
      <c r="D11" s="330" t="s">
        <v>1139</v>
      </c>
      <c r="E11" s="144">
        <v>38.37892956364422</v>
      </c>
      <c r="F11" s="328" t="s">
        <v>1165</v>
      </c>
    </row>
    <row r="12" spans="2:6" x14ac:dyDescent="0.2">
      <c r="B12" s="421" t="s">
        <v>1155</v>
      </c>
      <c r="C12" s="24" t="str">
        <f>'3.1 Depreciated Book Value'!C26</f>
        <v xml:space="preserve">Compressors </v>
      </c>
      <c r="D12" s="411" t="s">
        <v>731</v>
      </c>
      <c r="E12" s="392" t="s">
        <v>731</v>
      </c>
      <c r="F12" s="145" t="s">
        <v>731</v>
      </c>
    </row>
    <row r="13" spans="2:6" x14ac:dyDescent="0.2">
      <c r="B13" s="421" t="s">
        <v>1155</v>
      </c>
      <c r="C13" s="24" t="str">
        <f>'3.1 Depreciated Book Value'!C34</f>
        <v xml:space="preserve">City Gates, supply regulators and valve stations </v>
      </c>
      <c r="D13" s="330" t="s">
        <v>731</v>
      </c>
      <c r="E13" s="144" t="s">
        <v>731</v>
      </c>
      <c r="F13" s="145" t="s">
        <v>731</v>
      </c>
    </row>
    <row r="14" spans="2:6" ht="25.5" x14ac:dyDescent="0.2">
      <c r="B14" s="421" t="s">
        <v>1155</v>
      </c>
      <c r="C14" s="24" t="str">
        <f>'3.1 Depreciated Book Value'!C42</f>
        <v xml:space="preserve">Metering </v>
      </c>
      <c r="D14" s="330" t="s">
        <v>1140</v>
      </c>
      <c r="E14" s="144" t="s">
        <v>731</v>
      </c>
      <c r="F14" s="145" t="s">
        <v>1165</v>
      </c>
    </row>
    <row r="15" spans="2:6" ht="25.5" x14ac:dyDescent="0.2">
      <c r="B15" s="421" t="s">
        <v>1155</v>
      </c>
      <c r="C15" s="24" t="str">
        <f>'3.1 Depreciated Book Value'!C50</f>
        <v xml:space="preserve">Odorant plants </v>
      </c>
      <c r="D15" s="85" t="s">
        <v>1141</v>
      </c>
      <c r="E15" s="392">
        <v>20</v>
      </c>
      <c r="F15" s="145" t="s">
        <v>1165</v>
      </c>
    </row>
    <row r="16" spans="2:6" ht="25.5" x14ac:dyDescent="0.2">
      <c r="B16" s="421" t="s">
        <v>1155</v>
      </c>
      <c r="C16" s="24" t="str">
        <f>'3.1 Depreciated Book Value'!C58</f>
        <v xml:space="preserve">SCADA (Communications) </v>
      </c>
      <c r="D16" s="330" t="s">
        <v>1142</v>
      </c>
      <c r="E16" s="144">
        <v>9.6320177534509224</v>
      </c>
      <c r="F16" s="145" t="s">
        <v>1165</v>
      </c>
    </row>
    <row r="17" spans="2:7" x14ac:dyDescent="0.2">
      <c r="B17" s="421" t="s">
        <v>1155</v>
      </c>
      <c r="C17" s="24" t="str">
        <f>'3.1 Depreciated Book Value'!C66</f>
        <v xml:space="preserve">Buildings </v>
      </c>
      <c r="D17" s="330" t="s">
        <v>731</v>
      </c>
      <c r="E17" s="144" t="s">
        <v>731</v>
      </c>
      <c r="F17" s="145" t="s">
        <v>731</v>
      </c>
    </row>
    <row r="18" spans="2:7" ht="25.5" x14ac:dyDescent="0.2">
      <c r="B18" s="421" t="s">
        <v>1155</v>
      </c>
      <c r="C18" s="24" t="str">
        <f>'3.1 Depreciated Book Value'!C81</f>
        <v>Other depreciable pipeline assets</v>
      </c>
      <c r="D18" s="85" t="s">
        <v>1143</v>
      </c>
      <c r="E18" s="144">
        <v>1.1866618739838641</v>
      </c>
      <c r="F18" s="145" t="s">
        <v>1165</v>
      </c>
    </row>
    <row r="19" spans="2:7" ht="25.5" x14ac:dyDescent="0.2">
      <c r="B19" s="294"/>
      <c r="C19" s="410" t="s">
        <v>225</v>
      </c>
      <c r="D19" s="411" t="s">
        <v>1145</v>
      </c>
      <c r="E19" s="144" t="s">
        <v>731</v>
      </c>
      <c r="F19" s="328" t="s">
        <v>1165</v>
      </c>
    </row>
    <row r="20" spans="2:7" x14ac:dyDescent="0.2">
      <c r="B20" s="294"/>
      <c r="C20" s="84" t="s">
        <v>307</v>
      </c>
      <c r="D20" s="85"/>
      <c r="E20" s="144"/>
      <c r="F20" s="145"/>
    </row>
    <row r="21" spans="2:7" x14ac:dyDescent="0.2">
      <c r="B21" s="294"/>
      <c r="C21" s="84" t="s">
        <v>307</v>
      </c>
      <c r="D21" s="85"/>
      <c r="E21" s="144"/>
      <c r="F21" s="145"/>
      <c r="G21" s="279"/>
    </row>
    <row r="22" spans="2:7" x14ac:dyDescent="0.2">
      <c r="B22" s="294"/>
      <c r="C22" s="84" t="s">
        <v>307</v>
      </c>
      <c r="D22" s="85"/>
      <c r="E22" s="144"/>
      <c r="F22" s="145"/>
      <c r="G22" s="279"/>
    </row>
    <row r="23" spans="2:7" ht="25.5" x14ac:dyDescent="0.2">
      <c r="B23" s="427" t="s">
        <v>1155</v>
      </c>
      <c r="C23" s="24" t="str">
        <f>'3.1 Depreciated Book Value'!C89</f>
        <v xml:space="preserve">Leased assets </v>
      </c>
      <c r="D23" s="85" t="s">
        <v>731</v>
      </c>
      <c r="E23" s="144" t="s">
        <v>731</v>
      </c>
      <c r="F23" s="145" t="s">
        <v>1165</v>
      </c>
      <c r="G23" s="279"/>
    </row>
    <row r="24" spans="2:7" x14ac:dyDescent="0.2">
      <c r="B24" s="294"/>
      <c r="C24" s="84" t="s">
        <v>307</v>
      </c>
      <c r="D24" s="85"/>
      <c r="E24" s="144"/>
      <c r="F24" s="145"/>
      <c r="G24" s="279"/>
    </row>
    <row r="25" spans="2:7" x14ac:dyDescent="0.2">
      <c r="B25" s="294"/>
      <c r="C25" s="84" t="s">
        <v>307</v>
      </c>
      <c r="D25" s="85"/>
      <c r="E25" s="144"/>
      <c r="F25" s="145"/>
      <c r="G25" s="279"/>
    </row>
    <row r="26" spans="2:7" x14ac:dyDescent="0.2">
      <c r="B26" s="294"/>
      <c r="C26" s="84" t="s">
        <v>307</v>
      </c>
      <c r="D26" s="85"/>
      <c r="E26" s="144"/>
      <c r="F26" s="145"/>
    </row>
    <row r="27" spans="2:7" x14ac:dyDescent="0.2">
      <c r="B27" s="294"/>
      <c r="C27" s="84" t="s">
        <v>307</v>
      </c>
      <c r="D27" s="85"/>
      <c r="E27" s="144"/>
      <c r="F27" s="145"/>
    </row>
    <row r="28" spans="2:7" ht="25.5" x14ac:dyDescent="0.2">
      <c r="B28" s="427" t="s">
        <v>1155</v>
      </c>
      <c r="C28" s="24" t="str">
        <f>'3.1 Depreciated Book Value'!C105</f>
        <v>Shared property, plant and equipment</v>
      </c>
      <c r="D28" s="85" t="s">
        <v>1180</v>
      </c>
      <c r="E28" s="144">
        <v>3.4323791017076388</v>
      </c>
      <c r="F28" s="145" t="s">
        <v>1165</v>
      </c>
    </row>
    <row r="29" spans="2:7" x14ac:dyDescent="0.2">
      <c r="B29" s="294"/>
      <c r="C29" s="84" t="s">
        <v>307</v>
      </c>
      <c r="D29" s="85"/>
      <c r="E29" s="144"/>
      <c r="F29" s="145"/>
    </row>
    <row r="30" spans="2:7" x14ac:dyDescent="0.2">
      <c r="B30" s="294"/>
      <c r="C30" s="84" t="s">
        <v>307</v>
      </c>
      <c r="D30" s="85"/>
      <c r="E30" s="144"/>
      <c r="F30" s="145"/>
    </row>
    <row r="31" spans="2:7" x14ac:dyDescent="0.2">
      <c r="B31" s="294"/>
      <c r="C31" s="84" t="s">
        <v>307</v>
      </c>
      <c r="D31" s="85"/>
      <c r="E31" s="144"/>
      <c r="F31" s="145"/>
    </row>
    <row r="32" spans="2:7" x14ac:dyDescent="0.2">
      <c r="B32" s="294"/>
      <c r="C32" s="84" t="s">
        <v>307</v>
      </c>
      <c r="D32" s="85"/>
      <c r="E32" s="144"/>
      <c r="F32" s="145"/>
      <c r="G32" s="279"/>
    </row>
    <row r="33" spans="2:7" x14ac:dyDescent="0.2">
      <c r="B33" s="294"/>
      <c r="C33" s="84" t="s">
        <v>307</v>
      </c>
      <c r="D33" s="85"/>
      <c r="E33" s="144"/>
      <c r="F33" s="145"/>
      <c r="G33" s="279"/>
    </row>
    <row r="34" spans="2:7" ht="25.5" x14ac:dyDescent="0.2">
      <c r="B34" s="427" t="s">
        <v>1155</v>
      </c>
      <c r="C34" s="24" t="str">
        <f>'3.1 Depreciated Book Value'!C113</f>
        <v>Shared leased assets</v>
      </c>
      <c r="D34" s="85" t="s">
        <v>1181</v>
      </c>
      <c r="E34" s="144" t="s">
        <v>1144</v>
      </c>
      <c r="F34" s="145" t="s">
        <v>1165</v>
      </c>
      <c r="G34" s="279"/>
    </row>
    <row r="35" spans="2:7" x14ac:dyDescent="0.2">
      <c r="B35" s="294"/>
      <c r="C35" s="84" t="s">
        <v>307</v>
      </c>
      <c r="D35" s="85"/>
      <c r="E35" s="144"/>
      <c r="F35" s="145"/>
      <c r="G35" s="279"/>
    </row>
    <row r="36" spans="2:7" x14ac:dyDescent="0.2">
      <c r="B36" s="294"/>
      <c r="C36" s="84" t="s">
        <v>307</v>
      </c>
      <c r="D36" s="85"/>
      <c r="E36" s="144"/>
      <c r="F36" s="145"/>
      <c r="G36" s="279"/>
    </row>
    <row r="37" spans="2:7" x14ac:dyDescent="0.2">
      <c r="B37" s="294"/>
      <c r="C37" s="84" t="s">
        <v>307</v>
      </c>
      <c r="D37" s="85"/>
      <c r="E37" s="144"/>
      <c r="F37" s="145"/>
      <c r="G37" s="279"/>
    </row>
    <row r="38" spans="2:7" x14ac:dyDescent="0.2">
      <c r="B38" s="294"/>
      <c r="C38" s="84" t="s">
        <v>307</v>
      </c>
      <c r="D38" s="85"/>
      <c r="E38" s="144"/>
      <c r="F38" s="145"/>
    </row>
    <row r="39" spans="2:7" x14ac:dyDescent="0.2">
      <c r="B39" s="294"/>
      <c r="C39" s="84" t="s">
        <v>307</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1.85546875" style="4" customWidth="1"/>
    <col min="3" max="3" width="41.85546875" style="4" bestFit="1" customWidth="1"/>
    <col min="4" max="4" width="27.140625" style="4" customWidth="1"/>
    <col min="5" max="5" width="32.85546875" style="4" customWidth="1"/>
    <col min="6" max="6" width="21.85546875" style="4" customWidth="1"/>
    <col min="7" max="7" width="24.42578125" style="4" customWidth="1"/>
    <col min="8" max="8" width="45" style="4" customWidth="1"/>
    <col min="9" max="10" width="19.85546875" style="4" customWidth="1"/>
    <col min="11" max="11" width="18.140625" style="4" customWidth="1"/>
    <col min="12" max="16384" width="9.140625" style="4"/>
  </cols>
  <sheetData>
    <row r="1" spans="2:10" ht="20.25" x14ac:dyDescent="0.3">
      <c r="B1" s="146" t="s">
        <v>53</v>
      </c>
      <c r="C1" s="146"/>
      <c r="D1" s="215"/>
      <c r="E1" s="215"/>
      <c r="F1" s="215"/>
      <c r="G1" s="215"/>
      <c r="H1" s="215"/>
      <c r="I1" s="215"/>
      <c r="J1" s="215"/>
    </row>
    <row r="2" spans="2:10" ht="20.25" x14ac:dyDescent="0.2">
      <c r="B2" s="146" t="str">
        <f>IF(Tradingname=0," ",Tradingname)</f>
        <v>APT PIPELINES (NSW) PTY LIMITED</v>
      </c>
      <c r="C2" s="146"/>
    </row>
    <row r="3" spans="2:10" ht="18" customHeight="1" x14ac:dyDescent="0.45">
      <c r="B3" s="146" t="s">
        <v>30</v>
      </c>
      <c r="C3" s="110">
        <f>IF(Yearending=0, "01/01/2000", Yearending)</f>
        <v>45838</v>
      </c>
      <c r="F3" s="249"/>
    </row>
    <row r="4" spans="2:10" ht="20.25" x14ac:dyDescent="0.2">
      <c r="B4" s="102" t="s">
        <v>308</v>
      </c>
      <c r="C4" s="102"/>
    </row>
    <row r="6" spans="2:10" ht="15.75" x14ac:dyDescent="0.25">
      <c r="B6" s="225"/>
    </row>
    <row r="7" spans="2:10" ht="15.75" x14ac:dyDescent="0.25">
      <c r="B7" s="225" t="s">
        <v>309</v>
      </c>
    </row>
    <row r="8" spans="2:10" x14ac:dyDescent="0.2">
      <c r="B8" s="226"/>
      <c r="C8" s="227"/>
      <c r="D8" s="227"/>
      <c r="E8" s="227"/>
      <c r="F8" s="227"/>
      <c r="G8" s="251"/>
      <c r="H8" s="252"/>
      <c r="I8" s="253"/>
      <c r="J8" s="253"/>
    </row>
    <row r="9" spans="2:10" ht="32.1" customHeight="1" x14ac:dyDescent="0.2">
      <c r="B9" s="41" t="s">
        <v>310</v>
      </c>
      <c r="C9" s="62" t="s">
        <v>311</v>
      </c>
      <c r="D9" s="41" t="s">
        <v>312</v>
      </c>
      <c r="E9" s="41" t="s">
        <v>313</v>
      </c>
      <c r="F9" s="41" t="s">
        <v>314</v>
      </c>
    </row>
    <row r="10" spans="2:10" ht="14.1" customHeight="1" x14ac:dyDescent="0.2">
      <c r="B10" s="78"/>
      <c r="C10" s="87"/>
      <c r="D10" s="79"/>
      <c r="E10" s="86"/>
      <c r="F10" s="80"/>
    </row>
    <row r="11" spans="2:10" ht="14.1" customHeight="1" x14ac:dyDescent="0.2">
      <c r="B11" s="78"/>
      <c r="C11" s="87"/>
      <c r="D11" s="79"/>
      <c r="E11" s="86"/>
      <c r="F11" s="80"/>
    </row>
    <row r="12" spans="2:10" ht="14.1" customHeight="1" x14ac:dyDescent="0.2">
      <c r="B12" s="78"/>
      <c r="C12" s="87"/>
      <c r="D12" s="79"/>
      <c r="E12" s="86"/>
      <c r="F12" s="80"/>
    </row>
    <row r="13" spans="2:10" ht="14.1" customHeight="1" x14ac:dyDescent="0.2">
      <c r="B13" s="78"/>
      <c r="C13" s="87"/>
      <c r="D13" s="79"/>
      <c r="E13" s="86"/>
      <c r="F13" s="80"/>
    </row>
    <row r="14" spans="2:10" ht="14.1" customHeight="1" x14ac:dyDescent="0.2">
      <c r="B14" s="78"/>
      <c r="C14" s="87"/>
      <c r="D14" s="79"/>
      <c r="E14" s="86"/>
      <c r="F14" s="80"/>
    </row>
    <row r="15" spans="2:10" ht="14.1" customHeight="1" x14ac:dyDescent="0.2">
      <c r="B15" s="78"/>
      <c r="C15" s="87"/>
      <c r="D15" s="79"/>
      <c r="E15" s="86"/>
      <c r="F15" s="80"/>
    </row>
    <row r="16" spans="2:10" ht="14.1" customHeight="1" x14ac:dyDescent="0.2">
      <c r="B16" s="78"/>
      <c r="C16" s="87"/>
      <c r="D16" s="79"/>
      <c r="E16" s="86"/>
      <c r="F16" s="80"/>
    </row>
    <row r="17" spans="2:9" ht="14.1" customHeight="1" x14ac:dyDescent="0.2">
      <c r="B17" s="78"/>
      <c r="C17" s="87"/>
      <c r="D17" s="79"/>
      <c r="E17" s="86"/>
      <c r="F17" s="80"/>
    </row>
    <row r="18" spans="2:9" ht="14.1" customHeight="1" x14ac:dyDescent="0.2">
      <c r="B18" s="78"/>
      <c r="C18" s="87"/>
      <c r="D18" s="79"/>
      <c r="E18" s="86"/>
      <c r="F18" s="80"/>
    </row>
    <row r="19" spans="2:9" ht="14.1" customHeight="1" x14ac:dyDescent="0.2">
      <c r="B19" s="78"/>
      <c r="C19" s="87"/>
      <c r="D19" s="79"/>
      <c r="E19" s="86"/>
      <c r="F19" s="80"/>
    </row>
    <row r="20" spans="2:9" ht="14.1" customHeight="1" x14ac:dyDescent="0.2">
      <c r="B20" s="78"/>
      <c r="C20" s="87"/>
      <c r="D20" s="79"/>
      <c r="E20" s="86"/>
      <c r="F20" s="80"/>
    </row>
    <row r="21" spans="2:9" ht="14.1" customHeight="1" x14ac:dyDescent="0.2">
      <c r="B21" s="78"/>
      <c r="C21" s="87"/>
      <c r="D21" s="79"/>
      <c r="E21" s="86"/>
      <c r="F21" s="80"/>
    </row>
    <row r="22" spans="2:9" ht="14.1" customHeight="1" x14ac:dyDescent="0.2">
      <c r="B22" s="78"/>
      <c r="C22" s="87"/>
      <c r="D22" s="79"/>
      <c r="E22" s="86"/>
      <c r="F22" s="80"/>
    </row>
    <row r="23" spans="2:9" ht="14.1" customHeight="1" x14ac:dyDescent="0.2">
      <c r="B23" s="78"/>
      <c r="C23" s="87"/>
      <c r="D23" s="79"/>
      <c r="E23" s="86"/>
      <c r="F23" s="80"/>
    </row>
    <row r="24" spans="2:9" ht="14.1" customHeight="1" x14ac:dyDescent="0.2">
      <c r="B24" s="78"/>
      <c r="C24" s="87"/>
      <c r="D24" s="79"/>
      <c r="E24" s="86"/>
      <c r="F24" s="80"/>
    </row>
    <row r="27" spans="2:9" ht="15.75" x14ac:dyDescent="0.25">
      <c r="B27" s="225" t="s">
        <v>315</v>
      </c>
    </row>
    <row r="28" spans="2:9" x14ac:dyDescent="0.2">
      <c r="B28" s="226"/>
      <c r="C28" s="227"/>
      <c r="D28" s="227"/>
      <c r="E28" s="227"/>
    </row>
    <row r="29" spans="2:9" ht="37.35" customHeight="1" x14ac:dyDescent="0.2">
      <c r="B29" s="41" t="s">
        <v>310</v>
      </c>
      <c r="C29" s="62" t="s">
        <v>311</v>
      </c>
      <c r="D29" s="41" t="s">
        <v>316</v>
      </c>
      <c r="E29" s="41" t="s">
        <v>313</v>
      </c>
      <c r="F29" s="41" t="s">
        <v>314</v>
      </c>
      <c r="G29" s="41" t="s">
        <v>317</v>
      </c>
      <c r="H29" s="41" t="s">
        <v>318</v>
      </c>
      <c r="I29" s="41" t="s">
        <v>319</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8.85546875" defaultRowHeight="12.75" x14ac:dyDescent="0.2"/>
  <cols>
    <col min="1" max="1" width="11.42578125" customWidth="1"/>
    <col min="2" max="2" width="32.42578125" customWidth="1"/>
    <col min="3" max="3" width="40.85546875" customWidth="1"/>
    <col min="4" max="4" width="44.140625" bestFit="1" customWidth="1"/>
    <col min="5" max="5" width="36.85546875" customWidth="1"/>
    <col min="6" max="8" width="20.85546875" customWidth="1"/>
    <col min="9" max="9" width="30.85546875" customWidth="1"/>
    <col min="10" max="10" width="32.85546875" customWidth="1"/>
    <col min="11" max="11" width="20.85546875" customWidth="1"/>
    <col min="12" max="12" width="24" customWidth="1"/>
    <col min="13" max="13" width="31" customWidth="1"/>
    <col min="14" max="17" width="20.85546875" customWidth="1"/>
  </cols>
  <sheetData>
    <row r="1" spans="2:17" ht="20.25" customHeight="1" x14ac:dyDescent="0.2">
      <c r="B1" s="146" t="s">
        <v>53</v>
      </c>
      <c r="C1" s="146"/>
    </row>
    <row r="2" spans="2:17" ht="20.25" x14ac:dyDescent="0.2">
      <c r="B2" s="146" t="str">
        <f>IF(Tradingname=0," ",Tradingname)</f>
        <v>APT PIPELINES (NSW) PTY LIMITED</v>
      </c>
      <c r="C2" s="146"/>
    </row>
    <row r="3" spans="2:17" ht="20.25" customHeight="1" x14ac:dyDescent="0.3">
      <c r="B3" s="146" t="s">
        <v>30</v>
      </c>
      <c r="C3" s="110">
        <f>IF(Yearending=0, "01/01/2000", Yearending)</f>
        <v>45838</v>
      </c>
    </row>
    <row r="4" spans="2:17" ht="20.25" x14ac:dyDescent="0.2">
      <c r="B4" s="102" t="s">
        <v>320</v>
      </c>
      <c r="C4" s="102"/>
    </row>
    <row r="5" spans="2:17" ht="12.75" customHeight="1" x14ac:dyDescent="0.2"/>
    <row r="6" spans="2:17" x14ac:dyDescent="0.2">
      <c r="B6" s="508" t="s">
        <v>321</v>
      </c>
      <c r="C6" s="508"/>
      <c r="D6" s="508"/>
      <c r="E6" s="508"/>
    </row>
    <row r="7" spans="2:17" ht="15.75" customHeight="1" x14ac:dyDescent="0.2">
      <c r="B7" s="508"/>
      <c r="C7" s="508"/>
      <c r="D7" s="508"/>
      <c r="E7" s="508"/>
      <c r="G7" s="171"/>
    </row>
    <row r="8" spans="2:17" ht="15.75" customHeight="1" x14ac:dyDescent="0.2">
      <c r="B8" s="508"/>
      <c r="C8" s="508"/>
      <c r="D8" s="508"/>
      <c r="E8" s="508"/>
      <c r="G8" s="171"/>
    </row>
    <row r="9" spans="2:17" x14ac:dyDescent="0.2">
      <c r="G9" s="171"/>
    </row>
    <row r="11" spans="2:17" ht="15.75" x14ac:dyDescent="0.25">
      <c r="B11" s="208" t="s">
        <v>322</v>
      </c>
    </row>
    <row r="13" spans="2:17" ht="45" customHeight="1" x14ac:dyDescent="0.2">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x14ac:dyDescent="0.2">
      <c r="B14" s="298"/>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x14ac:dyDescent="0.2">
      <c r="B15" s="422" t="s">
        <v>1156</v>
      </c>
      <c r="C15" s="87"/>
      <c r="D15" s="281" t="s">
        <v>203</v>
      </c>
      <c r="E15" s="334" t="str">
        <f>'3.3 Asset useful life'!D11</f>
        <v>1/7/1999 to 30/6/2024</v>
      </c>
      <c r="F15" s="340">
        <f>'3.3 Asset useful life'!E11</f>
        <v>38.37892956364422</v>
      </c>
      <c r="G15" s="90"/>
      <c r="H15" s="90">
        <v>34998424.020000003</v>
      </c>
      <c r="I15" s="90">
        <v>0</v>
      </c>
      <c r="J15" s="90">
        <v>0</v>
      </c>
      <c r="K15" s="90">
        <v>0</v>
      </c>
      <c r="L15" s="25">
        <f>SUM(H15:K15)</f>
        <v>34998424.020000003</v>
      </c>
      <c r="M15" s="83">
        <v>1</v>
      </c>
      <c r="N15" s="101">
        <f>L15*M15</f>
        <v>34998424.020000003</v>
      </c>
      <c r="O15" s="90">
        <v>-11806838.320000004</v>
      </c>
      <c r="P15" s="90">
        <v>-940116.20000000019</v>
      </c>
      <c r="Q15" s="21">
        <f>SUM(N15:P15)</f>
        <v>22251469.5</v>
      </c>
    </row>
    <row r="16" spans="2:17" x14ac:dyDescent="0.2">
      <c r="B16" s="422" t="s">
        <v>1156</v>
      </c>
      <c r="C16" s="87"/>
      <c r="D16" s="281" t="s">
        <v>212</v>
      </c>
      <c r="E16" s="334" t="str">
        <f>'3.3 Asset useful life'!D12</f>
        <v>N/A</v>
      </c>
      <c r="F16" s="340" t="str">
        <f>'3.3 Asset useful life'!E12</f>
        <v>N/A</v>
      </c>
      <c r="G16" s="90"/>
      <c r="H16" s="90">
        <v>0</v>
      </c>
      <c r="I16" s="90">
        <v>0</v>
      </c>
      <c r="J16" s="90">
        <v>0</v>
      </c>
      <c r="K16" s="90">
        <v>0</v>
      </c>
      <c r="L16" s="25">
        <f>SUM(H16:K16)</f>
        <v>0</v>
      </c>
      <c r="M16" s="83">
        <v>1</v>
      </c>
      <c r="N16" s="101">
        <f t="shared" ref="N16:N58" si="0">L16*M16</f>
        <v>0</v>
      </c>
      <c r="O16" s="90">
        <v>0</v>
      </c>
      <c r="P16" s="90">
        <v>0</v>
      </c>
      <c r="Q16" s="21">
        <f t="shared" ref="Q16:Q58" si="1">SUM(N16:P16)</f>
        <v>0</v>
      </c>
    </row>
    <row r="17" spans="2:17" x14ac:dyDescent="0.2">
      <c r="B17" s="422" t="s">
        <v>1156</v>
      </c>
      <c r="C17" s="87"/>
      <c r="D17" s="281" t="s">
        <v>214</v>
      </c>
      <c r="E17" s="334" t="str">
        <f>'3.3 Asset useful life'!D13</f>
        <v>N/A</v>
      </c>
      <c r="F17" s="340" t="str">
        <f>'3.3 Asset useful life'!E13</f>
        <v>N/A</v>
      </c>
      <c r="G17" s="90"/>
      <c r="H17" s="90">
        <v>0</v>
      </c>
      <c r="I17" s="90">
        <v>0</v>
      </c>
      <c r="J17" s="90">
        <v>0</v>
      </c>
      <c r="K17" s="90">
        <v>0</v>
      </c>
      <c r="L17" s="25">
        <f t="shared" ref="L17:L58" si="2">SUM(H17:K17)</f>
        <v>0</v>
      </c>
      <c r="M17" s="83">
        <v>1</v>
      </c>
      <c r="N17" s="101">
        <f t="shared" si="0"/>
        <v>0</v>
      </c>
      <c r="O17" s="90">
        <v>0</v>
      </c>
      <c r="P17" s="90">
        <v>0</v>
      </c>
      <c r="Q17" s="21">
        <f t="shared" si="1"/>
        <v>0</v>
      </c>
    </row>
    <row r="18" spans="2:17" x14ac:dyDescent="0.2">
      <c r="B18" s="422" t="s">
        <v>1156</v>
      </c>
      <c r="C18" s="87"/>
      <c r="D18" s="281" t="s">
        <v>216</v>
      </c>
      <c r="E18" s="334" t="str">
        <f>'3.3 Asset useful life'!D14</f>
        <v>1/7/2005 to 30/6/2007</v>
      </c>
      <c r="F18" s="340" t="str">
        <f>'3.3 Asset useful life'!E14</f>
        <v>N/A</v>
      </c>
      <c r="G18" s="90"/>
      <c r="H18" s="90">
        <v>409447.02</v>
      </c>
      <c r="I18" s="90">
        <v>0</v>
      </c>
      <c r="J18" s="90">
        <v>0</v>
      </c>
      <c r="K18" s="90">
        <v>0</v>
      </c>
      <c r="L18" s="25">
        <f t="shared" si="2"/>
        <v>409447.02</v>
      </c>
      <c r="M18" s="83">
        <v>1</v>
      </c>
      <c r="N18" s="101">
        <f t="shared" si="0"/>
        <v>409447.02</v>
      </c>
      <c r="O18" s="90">
        <v>-409447.02</v>
      </c>
      <c r="P18" s="90">
        <v>0</v>
      </c>
      <c r="Q18" s="21">
        <f t="shared" si="1"/>
        <v>0</v>
      </c>
    </row>
    <row r="19" spans="2:17" x14ac:dyDescent="0.2">
      <c r="B19" s="422" t="s">
        <v>1156</v>
      </c>
      <c r="C19" s="87"/>
      <c r="D19" s="281" t="s">
        <v>219</v>
      </c>
      <c r="E19" s="334" t="str">
        <f>'3.3 Asset useful life'!D15</f>
        <v>1/7/2011 to 30/6/2023</v>
      </c>
      <c r="F19" s="340">
        <f>'3.3 Asset useful life'!E15</f>
        <v>20</v>
      </c>
      <c r="G19" s="90"/>
      <c r="H19" s="90">
        <v>1455200.4100000001</v>
      </c>
      <c r="I19" s="90">
        <v>0</v>
      </c>
      <c r="J19" s="90">
        <v>0</v>
      </c>
      <c r="K19" s="90">
        <v>0</v>
      </c>
      <c r="L19" s="25">
        <f t="shared" si="2"/>
        <v>1455200.4100000001</v>
      </c>
      <c r="M19" s="83">
        <v>1</v>
      </c>
      <c r="N19" s="101">
        <f t="shared" si="0"/>
        <v>1455200.4100000001</v>
      </c>
      <c r="O19" s="90">
        <v>-253110.12</v>
      </c>
      <c r="P19" s="90">
        <v>-72328.92</v>
      </c>
      <c r="Q19" s="21">
        <f t="shared" si="1"/>
        <v>1129761.3700000001</v>
      </c>
    </row>
    <row r="20" spans="2:17" x14ac:dyDescent="0.2">
      <c r="B20" s="422" t="s">
        <v>1156</v>
      </c>
      <c r="C20" s="87"/>
      <c r="D20" s="281" t="s">
        <v>221</v>
      </c>
      <c r="E20" s="334" t="str">
        <f>'3.3 Asset useful life'!D16</f>
        <v>1/7/2002 to 30/6/2022</v>
      </c>
      <c r="F20" s="340">
        <f>'3.3 Asset useful life'!E16</f>
        <v>9.6320177534509224</v>
      </c>
      <c r="G20" s="90"/>
      <c r="H20" s="90">
        <v>313275.90999999997</v>
      </c>
      <c r="I20" s="90">
        <v>0</v>
      </c>
      <c r="J20" s="90">
        <v>0</v>
      </c>
      <c r="K20" s="90">
        <v>0</v>
      </c>
      <c r="L20" s="25">
        <f t="shared" si="2"/>
        <v>313275.90999999997</v>
      </c>
      <c r="M20" s="83">
        <v>1</v>
      </c>
      <c r="N20" s="101">
        <f t="shared" si="0"/>
        <v>313275.90999999997</v>
      </c>
      <c r="O20" s="90">
        <v>-194888.71000000002</v>
      </c>
      <c r="P20" s="90">
        <v>-30144.810000000005</v>
      </c>
      <c r="Q20" s="21">
        <f t="shared" si="1"/>
        <v>88242.389999999956</v>
      </c>
    </row>
    <row r="21" spans="2:17" x14ac:dyDescent="0.2">
      <c r="B21" s="422" t="s">
        <v>1156</v>
      </c>
      <c r="C21" s="87"/>
      <c r="D21" s="281" t="s">
        <v>223</v>
      </c>
      <c r="E21" s="334" t="str">
        <f>'3.3 Asset useful life'!D17</f>
        <v>N/A</v>
      </c>
      <c r="F21" s="340" t="str">
        <f>'3.3 Asset useful life'!E17</f>
        <v>N/A</v>
      </c>
      <c r="G21" s="90"/>
      <c r="H21" s="90">
        <v>0</v>
      </c>
      <c r="I21" s="90">
        <v>0</v>
      </c>
      <c r="J21" s="90">
        <v>0</v>
      </c>
      <c r="K21" s="90">
        <v>0</v>
      </c>
      <c r="L21" s="25">
        <f t="shared" si="2"/>
        <v>0</v>
      </c>
      <c r="M21" s="83">
        <v>1</v>
      </c>
      <c r="N21" s="101">
        <f t="shared" si="0"/>
        <v>0</v>
      </c>
      <c r="O21" s="90">
        <v>0</v>
      </c>
      <c r="P21" s="90">
        <v>0</v>
      </c>
      <c r="Q21" s="21">
        <f t="shared" si="1"/>
        <v>0</v>
      </c>
    </row>
    <row r="22" spans="2:17" x14ac:dyDescent="0.2">
      <c r="B22" s="422" t="s">
        <v>1156</v>
      </c>
      <c r="C22" s="87"/>
      <c r="D22" s="281" t="s">
        <v>225</v>
      </c>
      <c r="E22" s="334" t="str">
        <f>'3.3 Asset useful life'!D19</f>
        <v>1/7/1999 to 30/6/2000</v>
      </c>
      <c r="F22" s="340" t="str">
        <f>'3.3 Asset useful life'!E19</f>
        <v>N/A</v>
      </c>
      <c r="G22" s="90"/>
      <c r="H22" s="90">
        <v>10000</v>
      </c>
      <c r="I22" s="90">
        <v>0</v>
      </c>
      <c r="J22" s="90">
        <v>0</v>
      </c>
      <c r="K22" s="90">
        <v>0</v>
      </c>
      <c r="L22" s="25">
        <f t="shared" si="2"/>
        <v>10000</v>
      </c>
      <c r="M22" s="83">
        <v>1</v>
      </c>
      <c r="N22" s="101">
        <f t="shared" si="0"/>
        <v>10000</v>
      </c>
      <c r="O22" s="90">
        <v>0</v>
      </c>
      <c r="P22" s="90">
        <v>0</v>
      </c>
      <c r="Q22" s="21">
        <f t="shared" si="1"/>
        <v>10000</v>
      </c>
    </row>
    <row r="23" spans="2:17" x14ac:dyDescent="0.2">
      <c r="B23" s="422" t="s">
        <v>1156</v>
      </c>
      <c r="C23" s="87"/>
      <c r="D23" s="281" t="s">
        <v>227</v>
      </c>
      <c r="E23" s="334" t="str">
        <f>'3.3 Asset useful life'!D18</f>
        <v>1/7/2007 to 30/6/2023</v>
      </c>
      <c r="F23" s="340">
        <f>'3.3 Asset useful life'!E18</f>
        <v>1.1866618739838641</v>
      </c>
      <c r="G23" s="90"/>
      <c r="H23" s="90">
        <v>19307.21</v>
      </c>
      <c r="I23" s="90">
        <v>0</v>
      </c>
      <c r="J23" s="90">
        <v>0</v>
      </c>
      <c r="K23" s="90">
        <v>0</v>
      </c>
      <c r="L23" s="25">
        <f t="shared" si="2"/>
        <v>19307.21</v>
      </c>
      <c r="M23" s="83">
        <v>1</v>
      </c>
      <c r="N23" s="101">
        <f t="shared" si="0"/>
        <v>19307.21</v>
      </c>
      <c r="O23" s="90">
        <v>-19307.21</v>
      </c>
      <c r="P23" s="90">
        <v>0</v>
      </c>
      <c r="Q23" s="21">
        <f t="shared" si="1"/>
        <v>0</v>
      </c>
    </row>
    <row r="24" spans="2:17" x14ac:dyDescent="0.2">
      <c r="B24" s="422" t="s">
        <v>1156</v>
      </c>
      <c r="C24" s="87"/>
      <c r="D24" s="281"/>
      <c r="E24" s="334"/>
      <c r="F24" s="341"/>
      <c r="G24" s="90"/>
      <c r="H24" s="90"/>
      <c r="I24" s="90"/>
      <c r="J24" s="90"/>
      <c r="K24" s="90"/>
      <c r="L24" s="25">
        <f t="shared" si="2"/>
        <v>0</v>
      </c>
      <c r="M24" s="83">
        <v>1</v>
      </c>
      <c r="N24" s="101">
        <f t="shared" si="0"/>
        <v>0</v>
      </c>
      <c r="O24" s="90"/>
      <c r="P24" s="90"/>
      <c r="Q24" s="21">
        <f t="shared" si="1"/>
        <v>0</v>
      </c>
    </row>
    <row r="25" spans="2:17" x14ac:dyDescent="0.2">
      <c r="B25" s="299"/>
      <c r="C25" s="87"/>
      <c r="D25" s="281"/>
      <c r="E25" s="88"/>
      <c r="F25" s="89"/>
      <c r="G25" s="90"/>
      <c r="H25" s="90"/>
      <c r="I25" s="90"/>
      <c r="J25" s="90"/>
      <c r="K25" s="90"/>
      <c r="L25" s="25">
        <f t="shared" si="2"/>
        <v>0</v>
      </c>
      <c r="M25" s="83">
        <v>1</v>
      </c>
      <c r="N25" s="101">
        <f t="shared" si="0"/>
        <v>0</v>
      </c>
      <c r="O25" s="90"/>
      <c r="P25" s="90"/>
      <c r="Q25" s="21">
        <f t="shared" si="1"/>
        <v>0</v>
      </c>
    </row>
    <row r="26" spans="2:17" x14ac:dyDescent="0.2">
      <c r="B26" s="299"/>
      <c r="C26" s="87"/>
      <c r="D26" s="281"/>
      <c r="E26" s="88"/>
      <c r="F26" s="89"/>
      <c r="G26" s="90"/>
      <c r="H26" s="90"/>
      <c r="I26" s="90"/>
      <c r="J26" s="90"/>
      <c r="K26" s="90"/>
      <c r="L26" s="25">
        <f t="shared" si="2"/>
        <v>0</v>
      </c>
      <c r="M26" s="83">
        <v>1</v>
      </c>
      <c r="N26" s="101">
        <f t="shared" si="0"/>
        <v>0</v>
      </c>
      <c r="O26" s="90"/>
      <c r="P26" s="90"/>
      <c r="Q26" s="21">
        <f t="shared" si="1"/>
        <v>0</v>
      </c>
    </row>
    <row r="27" spans="2:17" x14ac:dyDescent="0.2">
      <c r="B27" s="299"/>
      <c r="C27" s="87"/>
      <c r="D27" s="281"/>
      <c r="E27" s="88"/>
      <c r="F27" s="89"/>
      <c r="G27" s="90"/>
      <c r="H27" s="90"/>
      <c r="I27" s="90"/>
      <c r="J27" s="90"/>
      <c r="K27" s="90"/>
      <c r="L27" s="25">
        <f t="shared" si="2"/>
        <v>0</v>
      </c>
      <c r="M27" s="83">
        <v>1</v>
      </c>
      <c r="N27" s="101">
        <f t="shared" si="0"/>
        <v>0</v>
      </c>
      <c r="O27" s="90"/>
      <c r="P27" s="90"/>
      <c r="Q27" s="21">
        <f t="shared" si="1"/>
        <v>0</v>
      </c>
    </row>
    <row r="28" spans="2:17" x14ac:dyDescent="0.2">
      <c r="B28" s="299"/>
      <c r="C28" s="87"/>
      <c r="D28" s="281"/>
      <c r="E28" s="88"/>
      <c r="F28" s="89"/>
      <c r="G28" s="90"/>
      <c r="H28" s="90"/>
      <c r="I28" s="90"/>
      <c r="J28" s="90"/>
      <c r="K28" s="90"/>
      <c r="L28" s="25">
        <f t="shared" si="2"/>
        <v>0</v>
      </c>
      <c r="M28" s="83">
        <v>1</v>
      </c>
      <c r="N28" s="101">
        <f t="shared" si="0"/>
        <v>0</v>
      </c>
      <c r="O28" s="90"/>
      <c r="P28" s="90"/>
      <c r="Q28" s="21">
        <f t="shared" si="1"/>
        <v>0</v>
      </c>
    </row>
    <row r="29" spans="2:17" x14ac:dyDescent="0.2">
      <c r="B29" s="299"/>
      <c r="C29" s="87"/>
      <c r="D29" s="281"/>
      <c r="E29" s="88"/>
      <c r="F29" s="89"/>
      <c r="G29" s="90"/>
      <c r="H29" s="90"/>
      <c r="I29" s="90"/>
      <c r="J29" s="90"/>
      <c r="K29" s="90"/>
      <c r="L29" s="25">
        <f t="shared" si="2"/>
        <v>0</v>
      </c>
      <c r="M29" s="83">
        <v>1</v>
      </c>
      <c r="N29" s="101">
        <f t="shared" si="0"/>
        <v>0</v>
      </c>
      <c r="O29" s="90"/>
      <c r="P29" s="90"/>
      <c r="Q29" s="21">
        <f t="shared" si="1"/>
        <v>0</v>
      </c>
    </row>
    <row r="30" spans="2:17" x14ac:dyDescent="0.2">
      <c r="B30" s="299"/>
      <c r="C30" s="87"/>
      <c r="D30" s="281"/>
      <c r="E30" s="88"/>
      <c r="F30" s="89"/>
      <c r="G30" s="90"/>
      <c r="H30" s="90"/>
      <c r="I30" s="90"/>
      <c r="J30" s="90"/>
      <c r="K30" s="90"/>
      <c r="L30" s="25">
        <f t="shared" si="2"/>
        <v>0</v>
      </c>
      <c r="M30" s="83">
        <v>1</v>
      </c>
      <c r="N30" s="101">
        <f t="shared" si="0"/>
        <v>0</v>
      </c>
      <c r="O30" s="90"/>
      <c r="P30" s="90"/>
      <c r="Q30" s="21">
        <f t="shared" si="1"/>
        <v>0</v>
      </c>
    </row>
    <row r="31" spans="2:17" x14ac:dyDescent="0.2">
      <c r="B31" s="299"/>
      <c r="C31" s="87"/>
      <c r="D31" s="281"/>
      <c r="E31" s="88"/>
      <c r="F31" s="89"/>
      <c r="G31" s="90"/>
      <c r="H31" s="90"/>
      <c r="I31" s="90"/>
      <c r="J31" s="90"/>
      <c r="K31" s="90"/>
      <c r="L31" s="25">
        <f t="shared" si="2"/>
        <v>0</v>
      </c>
      <c r="M31" s="83">
        <v>1</v>
      </c>
      <c r="N31" s="101">
        <f t="shared" si="0"/>
        <v>0</v>
      </c>
      <c r="O31" s="90"/>
      <c r="P31" s="90"/>
      <c r="Q31" s="21">
        <f t="shared" si="1"/>
        <v>0</v>
      </c>
    </row>
    <row r="32" spans="2:17" x14ac:dyDescent="0.2">
      <c r="B32" s="299"/>
      <c r="C32" s="87"/>
      <c r="D32" s="281"/>
      <c r="E32" s="88"/>
      <c r="F32" s="89"/>
      <c r="G32" s="90"/>
      <c r="H32" s="90"/>
      <c r="I32" s="90"/>
      <c r="J32" s="90"/>
      <c r="K32" s="90"/>
      <c r="L32" s="25">
        <f t="shared" si="2"/>
        <v>0</v>
      </c>
      <c r="M32" s="83">
        <v>1</v>
      </c>
      <c r="N32" s="101">
        <f t="shared" si="0"/>
        <v>0</v>
      </c>
      <c r="O32" s="90"/>
      <c r="P32" s="90"/>
      <c r="Q32" s="21">
        <f t="shared" si="1"/>
        <v>0</v>
      </c>
    </row>
    <row r="33" spans="2:17" x14ac:dyDescent="0.2">
      <c r="B33" s="299"/>
      <c r="C33" s="87"/>
      <c r="D33" s="281"/>
      <c r="E33" s="88"/>
      <c r="F33" s="89"/>
      <c r="G33" s="90"/>
      <c r="H33" s="90"/>
      <c r="I33" s="90"/>
      <c r="J33" s="90"/>
      <c r="K33" s="90"/>
      <c r="L33" s="25">
        <f t="shared" si="2"/>
        <v>0</v>
      </c>
      <c r="M33" s="83">
        <v>1</v>
      </c>
      <c r="N33" s="101">
        <f t="shared" si="0"/>
        <v>0</v>
      </c>
      <c r="O33" s="90"/>
      <c r="P33" s="90"/>
      <c r="Q33" s="21">
        <f t="shared" si="1"/>
        <v>0</v>
      </c>
    </row>
    <row r="34" spans="2:17" x14ac:dyDescent="0.2">
      <c r="B34" s="299"/>
      <c r="C34" s="87"/>
      <c r="D34" s="281"/>
      <c r="E34" s="88"/>
      <c r="F34" s="89"/>
      <c r="G34" s="90"/>
      <c r="H34" s="90"/>
      <c r="I34" s="90"/>
      <c r="J34" s="90"/>
      <c r="K34" s="90"/>
      <c r="L34" s="25">
        <f t="shared" si="2"/>
        <v>0</v>
      </c>
      <c r="M34" s="83">
        <v>1</v>
      </c>
      <c r="N34" s="101">
        <f t="shared" si="0"/>
        <v>0</v>
      </c>
      <c r="O34" s="90"/>
      <c r="P34" s="90"/>
      <c r="Q34" s="21">
        <f t="shared" si="1"/>
        <v>0</v>
      </c>
    </row>
    <row r="35" spans="2:17" x14ac:dyDescent="0.2">
      <c r="B35" s="299"/>
      <c r="C35" s="87"/>
      <c r="D35" s="281"/>
      <c r="E35" s="88"/>
      <c r="F35" s="89"/>
      <c r="G35" s="90"/>
      <c r="H35" s="90"/>
      <c r="I35" s="90"/>
      <c r="J35" s="90"/>
      <c r="K35" s="90"/>
      <c r="L35" s="25">
        <f t="shared" si="2"/>
        <v>0</v>
      </c>
      <c r="M35" s="83">
        <v>1</v>
      </c>
      <c r="N35" s="101">
        <f t="shared" si="0"/>
        <v>0</v>
      </c>
      <c r="O35" s="90"/>
      <c r="P35" s="90"/>
      <c r="Q35" s="21">
        <f t="shared" si="1"/>
        <v>0</v>
      </c>
    </row>
    <row r="36" spans="2:17" x14ac:dyDescent="0.2">
      <c r="B36" s="299"/>
      <c r="C36" s="87"/>
      <c r="D36" s="281"/>
      <c r="E36" s="88"/>
      <c r="F36" s="89"/>
      <c r="G36" s="90"/>
      <c r="H36" s="90"/>
      <c r="I36" s="90"/>
      <c r="J36" s="90"/>
      <c r="K36" s="90"/>
      <c r="L36" s="25">
        <f t="shared" si="2"/>
        <v>0</v>
      </c>
      <c r="M36" s="83">
        <v>1</v>
      </c>
      <c r="N36" s="101">
        <f t="shared" si="0"/>
        <v>0</v>
      </c>
      <c r="O36" s="90"/>
      <c r="P36" s="90"/>
      <c r="Q36" s="21">
        <f t="shared" si="1"/>
        <v>0</v>
      </c>
    </row>
    <row r="37" spans="2:17" x14ac:dyDescent="0.2">
      <c r="B37" s="299"/>
      <c r="C37" s="87"/>
      <c r="D37" s="281"/>
      <c r="E37" s="88"/>
      <c r="F37" s="89"/>
      <c r="G37" s="90"/>
      <c r="H37" s="90"/>
      <c r="I37" s="90"/>
      <c r="J37" s="90"/>
      <c r="K37" s="90"/>
      <c r="L37" s="25">
        <f t="shared" si="2"/>
        <v>0</v>
      </c>
      <c r="M37" s="83">
        <v>1</v>
      </c>
      <c r="N37" s="101">
        <f t="shared" si="0"/>
        <v>0</v>
      </c>
      <c r="O37" s="90"/>
      <c r="P37" s="90"/>
      <c r="Q37" s="21">
        <f t="shared" si="1"/>
        <v>0</v>
      </c>
    </row>
    <row r="38" spans="2:17" x14ac:dyDescent="0.2">
      <c r="B38" s="299"/>
      <c r="C38" s="87"/>
      <c r="D38" s="281"/>
      <c r="E38" s="88"/>
      <c r="F38" s="89"/>
      <c r="G38" s="90"/>
      <c r="H38" s="90"/>
      <c r="I38" s="90"/>
      <c r="J38" s="90"/>
      <c r="K38" s="90"/>
      <c r="L38" s="25">
        <f t="shared" si="2"/>
        <v>0</v>
      </c>
      <c r="M38" s="83">
        <v>1</v>
      </c>
      <c r="N38" s="101">
        <f t="shared" si="0"/>
        <v>0</v>
      </c>
      <c r="O38" s="90"/>
      <c r="P38" s="90"/>
      <c r="Q38" s="21">
        <f t="shared" si="1"/>
        <v>0</v>
      </c>
    </row>
    <row r="39" spans="2:17" x14ac:dyDescent="0.2">
      <c r="B39" s="299"/>
      <c r="C39" s="87"/>
      <c r="D39" s="281"/>
      <c r="E39" s="88"/>
      <c r="F39" s="89"/>
      <c r="G39" s="90"/>
      <c r="H39" s="90"/>
      <c r="I39" s="90"/>
      <c r="J39" s="90"/>
      <c r="K39" s="90"/>
      <c r="L39" s="25">
        <f t="shared" si="2"/>
        <v>0</v>
      </c>
      <c r="M39" s="83">
        <v>1</v>
      </c>
      <c r="N39" s="101">
        <f t="shared" si="0"/>
        <v>0</v>
      </c>
      <c r="O39" s="90"/>
      <c r="P39" s="90"/>
      <c r="Q39" s="21">
        <f t="shared" si="1"/>
        <v>0</v>
      </c>
    </row>
    <row r="40" spans="2:17" x14ac:dyDescent="0.2">
      <c r="B40" s="299"/>
      <c r="C40" s="87"/>
      <c r="D40" s="281"/>
      <c r="E40" s="88"/>
      <c r="F40" s="89"/>
      <c r="G40" s="90"/>
      <c r="H40" s="90"/>
      <c r="I40" s="90"/>
      <c r="J40" s="90"/>
      <c r="K40" s="90"/>
      <c r="L40" s="25">
        <f t="shared" si="2"/>
        <v>0</v>
      </c>
      <c r="M40" s="83">
        <v>1</v>
      </c>
      <c r="N40" s="101">
        <f t="shared" si="0"/>
        <v>0</v>
      </c>
      <c r="O40" s="90"/>
      <c r="P40" s="90"/>
      <c r="Q40" s="21">
        <f t="shared" si="1"/>
        <v>0</v>
      </c>
    </row>
    <row r="41" spans="2:17" x14ac:dyDescent="0.2">
      <c r="B41" s="299"/>
      <c r="C41" s="87"/>
      <c r="D41" s="281"/>
      <c r="E41" s="88"/>
      <c r="F41" s="89"/>
      <c r="G41" s="90"/>
      <c r="H41" s="90"/>
      <c r="I41" s="90"/>
      <c r="J41" s="90"/>
      <c r="K41" s="90"/>
      <c r="L41" s="25">
        <f t="shared" si="2"/>
        <v>0</v>
      </c>
      <c r="M41" s="83">
        <v>1</v>
      </c>
      <c r="N41" s="101">
        <f t="shared" si="0"/>
        <v>0</v>
      </c>
      <c r="O41" s="90"/>
      <c r="P41" s="90"/>
      <c r="Q41" s="21">
        <f t="shared" si="1"/>
        <v>0</v>
      </c>
    </row>
    <row r="42" spans="2:17" x14ac:dyDescent="0.2">
      <c r="B42" s="299"/>
      <c r="C42" s="87"/>
      <c r="D42" s="281"/>
      <c r="E42" s="88"/>
      <c r="F42" s="89"/>
      <c r="G42" s="90"/>
      <c r="H42" s="90"/>
      <c r="I42" s="90"/>
      <c r="J42" s="90"/>
      <c r="K42" s="90"/>
      <c r="L42" s="25">
        <f t="shared" si="2"/>
        <v>0</v>
      </c>
      <c r="M42" s="83">
        <v>1</v>
      </c>
      <c r="N42" s="101">
        <f t="shared" si="0"/>
        <v>0</v>
      </c>
      <c r="O42" s="90"/>
      <c r="P42" s="90"/>
      <c r="Q42" s="21">
        <f t="shared" si="1"/>
        <v>0</v>
      </c>
    </row>
    <row r="43" spans="2:17" x14ac:dyDescent="0.2">
      <c r="B43" s="299"/>
      <c r="C43" s="87"/>
      <c r="D43" s="281"/>
      <c r="E43" s="88"/>
      <c r="F43" s="89"/>
      <c r="G43" s="90"/>
      <c r="H43" s="90"/>
      <c r="I43" s="90"/>
      <c r="J43" s="90"/>
      <c r="K43" s="90"/>
      <c r="L43" s="25">
        <f t="shared" si="2"/>
        <v>0</v>
      </c>
      <c r="M43" s="83">
        <v>1</v>
      </c>
      <c r="N43" s="101">
        <f t="shared" si="0"/>
        <v>0</v>
      </c>
      <c r="O43" s="90"/>
      <c r="P43" s="90"/>
      <c r="Q43" s="21">
        <f t="shared" si="1"/>
        <v>0</v>
      </c>
    </row>
    <row r="44" spans="2:17" x14ac:dyDescent="0.2">
      <c r="B44" s="299"/>
      <c r="C44" s="87"/>
      <c r="D44" s="281"/>
      <c r="E44" s="88"/>
      <c r="F44" s="89"/>
      <c r="G44" s="90"/>
      <c r="H44" s="90"/>
      <c r="I44" s="90"/>
      <c r="J44" s="90"/>
      <c r="K44" s="90"/>
      <c r="L44" s="25">
        <f t="shared" si="2"/>
        <v>0</v>
      </c>
      <c r="M44" s="83">
        <v>1</v>
      </c>
      <c r="N44" s="101">
        <f t="shared" si="0"/>
        <v>0</v>
      </c>
      <c r="O44" s="90"/>
      <c r="P44" s="90"/>
      <c r="Q44" s="21">
        <f t="shared" si="1"/>
        <v>0</v>
      </c>
    </row>
    <row r="45" spans="2:17" x14ac:dyDescent="0.2">
      <c r="B45" s="299"/>
      <c r="C45" s="87"/>
      <c r="D45" s="281"/>
      <c r="E45" s="88"/>
      <c r="F45" s="89"/>
      <c r="G45" s="90"/>
      <c r="H45" s="90"/>
      <c r="I45" s="90"/>
      <c r="J45" s="90"/>
      <c r="K45" s="90"/>
      <c r="L45" s="25">
        <f t="shared" si="2"/>
        <v>0</v>
      </c>
      <c r="M45" s="83">
        <v>1</v>
      </c>
      <c r="N45" s="101">
        <f t="shared" si="0"/>
        <v>0</v>
      </c>
      <c r="O45" s="90"/>
      <c r="P45" s="90"/>
      <c r="Q45" s="21">
        <f t="shared" si="1"/>
        <v>0</v>
      </c>
    </row>
    <row r="46" spans="2:17" x14ac:dyDescent="0.2">
      <c r="B46" s="299"/>
      <c r="C46" s="87"/>
      <c r="D46" s="281"/>
      <c r="E46" s="88"/>
      <c r="F46" s="89"/>
      <c r="G46" s="90"/>
      <c r="H46" s="90"/>
      <c r="I46" s="90"/>
      <c r="J46" s="90"/>
      <c r="K46" s="90"/>
      <c r="L46" s="25">
        <f t="shared" si="2"/>
        <v>0</v>
      </c>
      <c r="M46" s="83">
        <v>1</v>
      </c>
      <c r="N46" s="101">
        <f t="shared" si="0"/>
        <v>0</v>
      </c>
      <c r="O46" s="90"/>
      <c r="P46" s="90"/>
      <c r="Q46" s="21">
        <f t="shared" si="1"/>
        <v>0</v>
      </c>
    </row>
    <row r="47" spans="2:17" x14ac:dyDescent="0.2">
      <c r="B47" s="299"/>
      <c r="C47" s="87"/>
      <c r="D47" s="281"/>
      <c r="E47" s="88"/>
      <c r="F47" s="89"/>
      <c r="G47" s="90"/>
      <c r="H47" s="90"/>
      <c r="I47" s="90"/>
      <c r="J47" s="90"/>
      <c r="K47" s="90"/>
      <c r="L47" s="25">
        <f t="shared" si="2"/>
        <v>0</v>
      </c>
      <c r="M47" s="83">
        <v>1</v>
      </c>
      <c r="N47" s="101">
        <f t="shared" si="0"/>
        <v>0</v>
      </c>
      <c r="O47" s="90"/>
      <c r="P47" s="90"/>
      <c r="Q47" s="21">
        <f t="shared" si="1"/>
        <v>0</v>
      </c>
    </row>
    <row r="48" spans="2:17" x14ac:dyDescent="0.2">
      <c r="B48" s="299"/>
      <c r="C48" s="87"/>
      <c r="D48" s="281"/>
      <c r="E48" s="88"/>
      <c r="F48" s="89"/>
      <c r="G48" s="90"/>
      <c r="H48" s="90"/>
      <c r="I48" s="90"/>
      <c r="J48" s="90"/>
      <c r="K48" s="90"/>
      <c r="L48" s="25">
        <f t="shared" si="2"/>
        <v>0</v>
      </c>
      <c r="M48" s="83">
        <v>1</v>
      </c>
      <c r="N48" s="101">
        <f t="shared" si="0"/>
        <v>0</v>
      </c>
      <c r="O48" s="90"/>
      <c r="P48" s="90"/>
      <c r="Q48" s="21">
        <f t="shared" si="1"/>
        <v>0</v>
      </c>
    </row>
    <row r="49" spans="2:17" x14ac:dyDescent="0.2">
      <c r="B49" s="299"/>
      <c r="C49" s="87"/>
      <c r="D49" s="281"/>
      <c r="E49" s="88"/>
      <c r="F49" s="89"/>
      <c r="G49" s="90"/>
      <c r="H49" s="90"/>
      <c r="I49" s="90"/>
      <c r="J49" s="90"/>
      <c r="K49" s="90"/>
      <c r="L49" s="25">
        <f t="shared" si="2"/>
        <v>0</v>
      </c>
      <c r="M49" s="83">
        <v>1</v>
      </c>
      <c r="N49" s="101">
        <f t="shared" si="0"/>
        <v>0</v>
      </c>
      <c r="O49" s="90"/>
      <c r="P49" s="90"/>
      <c r="Q49" s="21">
        <f t="shared" si="1"/>
        <v>0</v>
      </c>
    </row>
    <row r="50" spans="2:17" x14ac:dyDescent="0.2">
      <c r="B50" s="299"/>
      <c r="C50" s="87"/>
      <c r="D50" s="281"/>
      <c r="E50" s="88"/>
      <c r="F50" s="89"/>
      <c r="G50" s="90"/>
      <c r="H50" s="90"/>
      <c r="I50" s="90"/>
      <c r="J50" s="90"/>
      <c r="K50" s="90"/>
      <c r="L50" s="25">
        <f t="shared" si="2"/>
        <v>0</v>
      </c>
      <c r="M50" s="83">
        <v>1</v>
      </c>
      <c r="N50" s="101">
        <f t="shared" si="0"/>
        <v>0</v>
      </c>
      <c r="O50" s="90"/>
      <c r="P50" s="90"/>
      <c r="Q50" s="21">
        <f t="shared" si="1"/>
        <v>0</v>
      </c>
    </row>
    <row r="51" spans="2:17" x14ac:dyDescent="0.2">
      <c r="B51" s="299"/>
      <c r="C51" s="87"/>
      <c r="D51" s="281"/>
      <c r="E51" s="88"/>
      <c r="F51" s="89"/>
      <c r="G51" s="90"/>
      <c r="H51" s="90"/>
      <c r="I51" s="90"/>
      <c r="J51" s="90"/>
      <c r="K51" s="90"/>
      <c r="L51" s="25">
        <f t="shared" si="2"/>
        <v>0</v>
      </c>
      <c r="M51" s="83">
        <v>1</v>
      </c>
      <c r="N51" s="101">
        <f t="shared" si="0"/>
        <v>0</v>
      </c>
      <c r="O51" s="90"/>
      <c r="P51" s="90"/>
      <c r="Q51" s="21">
        <f t="shared" si="1"/>
        <v>0</v>
      </c>
    </row>
    <row r="52" spans="2:17" x14ac:dyDescent="0.2">
      <c r="B52" s="299"/>
      <c r="C52" s="87"/>
      <c r="D52" s="281"/>
      <c r="E52" s="88"/>
      <c r="F52" s="89"/>
      <c r="G52" s="90"/>
      <c r="H52" s="90"/>
      <c r="I52" s="90"/>
      <c r="J52" s="90"/>
      <c r="K52" s="90"/>
      <c r="L52" s="25">
        <f t="shared" si="2"/>
        <v>0</v>
      </c>
      <c r="M52" s="83">
        <v>1</v>
      </c>
      <c r="N52" s="101">
        <f t="shared" si="0"/>
        <v>0</v>
      </c>
      <c r="O52" s="90"/>
      <c r="P52" s="90"/>
      <c r="Q52" s="21">
        <f t="shared" si="1"/>
        <v>0</v>
      </c>
    </row>
    <row r="53" spans="2:17" x14ac:dyDescent="0.2">
      <c r="B53" s="299"/>
      <c r="C53" s="87"/>
      <c r="D53" s="281"/>
      <c r="E53" s="88"/>
      <c r="F53" s="89"/>
      <c r="G53" s="90"/>
      <c r="H53" s="90"/>
      <c r="I53" s="90"/>
      <c r="J53" s="90"/>
      <c r="K53" s="90"/>
      <c r="L53" s="25">
        <f t="shared" si="2"/>
        <v>0</v>
      </c>
      <c r="M53" s="83">
        <v>1</v>
      </c>
      <c r="N53" s="101">
        <f t="shared" si="0"/>
        <v>0</v>
      </c>
      <c r="O53" s="90"/>
      <c r="P53" s="90"/>
      <c r="Q53" s="21">
        <f t="shared" si="1"/>
        <v>0</v>
      </c>
    </row>
    <row r="54" spans="2:17" x14ac:dyDescent="0.2">
      <c r="B54" s="299"/>
      <c r="C54" s="87"/>
      <c r="D54" s="281"/>
      <c r="E54" s="88"/>
      <c r="F54" s="89"/>
      <c r="G54" s="90"/>
      <c r="H54" s="90"/>
      <c r="I54" s="90"/>
      <c r="J54" s="90"/>
      <c r="K54" s="90"/>
      <c r="L54" s="25">
        <f t="shared" si="2"/>
        <v>0</v>
      </c>
      <c r="M54" s="83">
        <v>1</v>
      </c>
      <c r="N54" s="101">
        <f t="shared" si="0"/>
        <v>0</v>
      </c>
      <c r="O54" s="90"/>
      <c r="P54" s="90"/>
      <c r="Q54" s="21">
        <f>SUM(N54:P54)</f>
        <v>0</v>
      </c>
    </row>
    <row r="55" spans="2:17" x14ac:dyDescent="0.2">
      <c r="B55" s="299"/>
      <c r="C55" s="87"/>
      <c r="D55" s="281"/>
      <c r="E55" s="88"/>
      <c r="F55" s="89"/>
      <c r="G55" s="90"/>
      <c r="H55" s="90"/>
      <c r="I55" s="90"/>
      <c r="J55" s="90"/>
      <c r="K55" s="90"/>
      <c r="L55" s="25">
        <f t="shared" si="2"/>
        <v>0</v>
      </c>
      <c r="M55" s="83">
        <v>1</v>
      </c>
      <c r="N55" s="101">
        <f t="shared" si="0"/>
        <v>0</v>
      </c>
      <c r="O55" s="90"/>
      <c r="P55" s="90"/>
      <c r="Q55" s="21">
        <f t="shared" si="1"/>
        <v>0</v>
      </c>
    </row>
    <row r="56" spans="2:17" x14ac:dyDescent="0.2">
      <c r="B56" s="299"/>
      <c r="C56" s="87"/>
      <c r="D56" s="281"/>
      <c r="E56" s="88"/>
      <c r="F56" s="89"/>
      <c r="G56" s="90"/>
      <c r="H56" s="90"/>
      <c r="I56" s="90"/>
      <c r="J56" s="90"/>
      <c r="K56" s="90"/>
      <c r="L56" s="25">
        <f t="shared" si="2"/>
        <v>0</v>
      </c>
      <c r="M56" s="83">
        <v>1</v>
      </c>
      <c r="N56" s="101">
        <f t="shared" si="0"/>
        <v>0</v>
      </c>
      <c r="O56" s="90"/>
      <c r="P56" s="90"/>
      <c r="Q56" s="21">
        <f t="shared" si="1"/>
        <v>0</v>
      </c>
    </row>
    <row r="57" spans="2:17" x14ac:dyDescent="0.2">
      <c r="B57" s="299"/>
      <c r="C57" s="87"/>
      <c r="D57" s="281"/>
      <c r="E57" s="88"/>
      <c r="F57" s="89"/>
      <c r="G57" s="90"/>
      <c r="H57" s="90"/>
      <c r="I57" s="90"/>
      <c r="J57" s="90"/>
      <c r="K57" s="90"/>
      <c r="L57" s="25">
        <f t="shared" si="2"/>
        <v>0</v>
      </c>
      <c r="M57" s="83">
        <v>1</v>
      </c>
      <c r="N57" s="101">
        <f t="shared" si="0"/>
        <v>0</v>
      </c>
      <c r="O57" s="90"/>
      <c r="P57" s="90"/>
      <c r="Q57" s="21">
        <f>SUM(N57:P57)</f>
        <v>0</v>
      </c>
    </row>
    <row r="58" spans="2:17" x14ac:dyDescent="0.2">
      <c r="B58" s="299"/>
      <c r="C58" s="87"/>
      <c r="D58" s="281"/>
      <c r="E58" s="88"/>
      <c r="F58" s="89"/>
      <c r="G58" s="90"/>
      <c r="H58" s="90"/>
      <c r="I58" s="90"/>
      <c r="J58" s="90"/>
      <c r="K58" s="90"/>
      <c r="L58" s="25">
        <f t="shared" si="2"/>
        <v>0</v>
      </c>
      <c r="M58" s="83">
        <v>1</v>
      </c>
      <c r="N58" s="101">
        <f t="shared" si="0"/>
        <v>0</v>
      </c>
      <c r="O58" s="90"/>
      <c r="P58" s="90"/>
      <c r="Q58" s="21">
        <f t="shared" si="1"/>
        <v>0</v>
      </c>
    </row>
    <row r="59" spans="2:17" x14ac:dyDescent="0.2">
      <c r="B59" s="300"/>
      <c r="C59" s="26" t="s">
        <v>234</v>
      </c>
      <c r="D59" s="26"/>
      <c r="E59" s="27"/>
      <c r="F59" s="28"/>
      <c r="G59" s="22">
        <f t="shared" ref="G59:L59" si="3">SUM(G15:G58)</f>
        <v>0</v>
      </c>
      <c r="H59" s="22">
        <f t="shared" si="3"/>
        <v>37205654.57</v>
      </c>
      <c r="I59" s="22">
        <f t="shared" si="3"/>
        <v>0</v>
      </c>
      <c r="J59" s="22">
        <f t="shared" si="3"/>
        <v>0</v>
      </c>
      <c r="K59" s="22">
        <f t="shared" si="3"/>
        <v>0</v>
      </c>
      <c r="L59" s="22">
        <f t="shared" si="3"/>
        <v>37205654.57</v>
      </c>
      <c r="M59" s="153"/>
      <c r="N59" s="153">
        <f>SUM(N15:N58)</f>
        <v>37205654.57</v>
      </c>
      <c r="O59" s="22">
        <f>SUM(O15:O58)</f>
        <v>-12683591.380000005</v>
      </c>
      <c r="P59" s="22">
        <f>SUM(P15:P58)</f>
        <v>-1042589.9300000003</v>
      </c>
      <c r="Q59" s="22">
        <f>SUM(Q15:Q58)</f>
        <v>23479473.260000002</v>
      </c>
    </row>
    <row r="62" spans="2:17" ht="15.75" x14ac:dyDescent="0.25">
      <c r="B62" s="208" t="s">
        <v>336</v>
      </c>
    </row>
    <row r="64" spans="2:17" ht="46.5" customHeight="1" x14ac:dyDescent="0.2">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x14ac:dyDescent="0.2">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x14ac:dyDescent="0.2">
      <c r="B66" s="429" t="s">
        <v>1166</v>
      </c>
      <c r="C66" s="412" t="s">
        <v>1146</v>
      </c>
      <c r="D66" s="87" t="s">
        <v>236</v>
      </c>
      <c r="E66" s="88" t="str">
        <f>'3.3 Asset useful life'!D28</f>
        <v>1/7/2003 to 30/6/2025</v>
      </c>
      <c r="F66" s="89">
        <f>'3.3 Asset useful life'!E28</f>
        <v>3.4323791017076388</v>
      </c>
      <c r="G66" s="90">
        <v>1417537.6534859827</v>
      </c>
      <c r="H66" s="90">
        <v>255468.77645369933</v>
      </c>
      <c r="I66" s="90">
        <v>0</v>
      </c>
      <c r="J66" s="90">
        <v>-2806.7362389603927</v>
      </c>
      <c r="K66" s="25">
        <f>SUM(G66:J66)</f>
        <v>1670199.6937007217</v>
      </c>
      <c r="L66" s="83">
        <v>1</v>
      </c>
      <c r="M66" s="101">
        <f>K66*L66</f>
        <v>1670199.6937007217</v>
      </c>
      <c r="N66" s="90">
        <v>-1029728.881755367</v>
      </c>
      <c r="O66" s="90">
        <v>-145784.95249355969</v>
      </c>
      <c r="P66" s="21">
        <f>SUM(M66:O66)</f>
        <v>494685.859451795</v>
      </c>
    </row>
    <row r="67" spans="2:16" x14ac:dyDescent="0.2">
      <c r="B67" s="429" t="s">
        <v>1166</v>
      </c>
      <c r="C67" s="87" t="s">
        <v>238</v>
      </c>
      <c r="D67" s="87" t="s">
        <v>238</v>
      </c>
      <c r="E67" s="88" t="str">
        <f>'3.3 Asset useful life'!D34</f>
        <v>1/7/2019 to 30/6/2025</v>
      </c>
      <c r="F67" s="89" t="str">
        <f>'3.3 Asset useful life'!E34</f>
        <v>Various</v>
      </c>
      <c r="G67" s="90">
        <v>218198.48749349543</v>
      </c>
      <c r="H67" s="90">
        <v>34291.606102414211</v>
      </c>
      <c r="I67" s="90">
        <v>0</v>
      </c>
      <c r="J67" s="90">
        <v>-774.81167006771386</v>
      </c>
      <c r="K67" s="25">
        <f t="shared" ref="K67:K83" si="4">SUM(G67:J67)</f>
        <v>251715.28192584193</v>
      </c>
      <c r="L67" s="83">
        <v>1</v>
      </c>
      <c r="M67" s="101">
        <f t="shared" ref="M67:M83" si="5">K67*L67</f>
        <v>251715.28192584193</v>
      </c>
      <c r="N67" s="90">
        <v>-111928.51712828252</v>
      </c>
      <c r="O67" s="90">
        <v>-32701.769415737646</v>
      </c>
      <c r="P67" s="21">
        <f t="shared" ref="P67:P82" si="6">SUM(M67:O67)</f>
        <v>107084.99538182176</v>
      </c>
    </row>
    <row r="68" spans="2:16" x14ac:dyDescent="0.2">
      <c r="B68" s="172"/>
      <c r="C68" s="87"/>
      <c r="D68" s="87"/>
      <c r="E68" s="88"/>
      <c r="F68" s="89"/>
      <c r="G68" s="90"/>
      <c r="H68" s="90"/>
      <c r="I68" s="90"/>
      <c r="J68" s="90"/>
      <c r="K68" s="25">
        <f t="shared" si="4"/>
        <v>0</v>
      </c>
      <c r="L68" s="83">
        <v>1</v>
      </c>
      <c r="M68" s="101">
        <f t="shared" si="5"/>
        <v>0</v>
      </c>
      <c r="N68" s="90"/>
      <c r="O68" s="90"/>
      <c r="P68" s="21">
        <f t="shared" si="6"/>
        <v>0</v>
      </c>
    </row>
    <row r="69" spans="2:16" x14ac:dyDescent="0.2">
      <c r="B69" s="172"/>
      <c r="C69" s="87"/>
      <c r="D69" s="87"/>
      <c r="E69" s="88"/>
      <c r="F69" s="89"/>
      <c r="G69" s="90"/>
      <c r="H69" s="90"/>
      <c r="I69" s="90"/>
      <c r="J69" s="90"/>
      <c r="K69" s="25">
        <f t="shared" si="4"/>
        <v>0</v>
      </c>
      <c r="L69" s="83">
        <v>1</v>
      </c>
      <c r="M69" s="101">
        <f t="shared" si="5"/>
        <v>0</v>
      </c>
      <c r="N69" s="90"/>
      <c r="O69" s="90"/>
      <c r="P69" s="21">
        <f t="shared" si="6"/>
        <v>0</v>
      </c>
    </row>
    <row r="70" spans="2:16" x14ac:dyDescent="0.2">
      <c r="B70" s="172"/>
      <c r="C70" s="87"/>
      <c r="D70" s="87"/>
      <c r="E70" s="88"/>
      <c r="F70" s="89"/>
      <c r="G70" s="90"/>
      <c r="H70" s="90"/>
      <c r="I70" s="90"/>
      <c r="J70" s="90"/>
      <c r="K70" s="25">
        <f t="shared" si="4"/>
        <v>0</v>
      </c>
      <c r="L70" s="83">
        <v>1</v>
      </c>
      <c r="M70" s="101">
        <f t="shared" si="5"/>
        <v>0</v>
      </c>
      <c r="N70" s="90"/>
      <c r="O70" s="90"/>
      <c r="P70" s="21">
        <f t="shared" si="6"/>
        <v>0</v>
      </c>
    </row>
    <row r="71" spans="2:16" x14ac:dyDescent="0.2">
      <c r="B71" s="172"/>
      <c r="C71" s="87"/>
      <c r="D71" s="87"/>
      <c r="E71" s="88"/>
      <c r="F71" s="89"/>
      <c r="G71" s="90"/>
      <c r="H71" s="90"/>
      <c r="I71" s="90"/>
      <c r="J71" s="90"/>
      <c r="K71" s="25">
        <f t="shared" si="4"/>
        <v>0</v>
      </c>
      <c r="L71" s="83">
        <v>1</v>
      </c>
      <c r="M71" s="101">
        <f t="shared" si="5"/>
        <v>0</v>
      </c>
      <c r="N71" s="90"/>
      <c r="O71" s="90"/>
      <c r="P71" s="21">
        <f t="shared" si="6"/>
        <v>0</v>
      </c>
    </row>
    <row r="72" spans="2:16" x14ac:dyDescent="0.2">
      <c r="B72" s="172"/>
      <c r="C72" s="87"/>
      <c r="D72" s="87"/>
      <c r="E72" s="88"/>
      <c r="F72" s="89"/>
      <c r="G72" s="90"/>
      <c r="H72" s="90"/>
      <c r="I72" s="90"/>
      <c r="J72" s="90"/>
      <c r="K72" s="25">
        <f t="shared" si="4"/>
        <v>0</v>
      </c>
      <c r="L72" s="83">
        <v>1</v>
      </c>
      <c r="M72" s="101">
        <f t="shared" si="5"/>
        <v>0</v>
      </c>
      <c r="N72" s="90"/>
      <c r="O72" s="90"/>
      <c r="P72" s="21">
        <f t="shared" si="6"/>
        <v>0</v>
      </c>
    </row>
    <row r="73" spans="2:16" x14ac:dyDescent="0.2">
      <c r="B73" s="172"/>
      <c r="C73" s="87"/>
      <c r="D73" s="87"/>
      <c r="E73" s="88"/>
      <c r="F73" s="89"/>
      <c r="G73" s="90"/>
      <c r="H73" s="90"/>
      <c r="I73" s="90"/>
      <c r="J73" s="90"/>
      <c r="K73" s="25">
        <f t="shared" si="4"/>
        <v>0</v>
      </c>
      <c r="L73" s="83">
        <v>1</v>
      </c>
      <c r="M73" s="101">
        <f t="shared" si="5"/>
        <v>0</v>
      </c>
      <c r="N73" s="90"/>
      <c r="O73" s="90"/>
      <c r="P73" s="21">
        <f t="shared" si="6"/>
        <v>0</v>
      </c>
    </row>
    <row r="74" spans="2:16" x14ac:dyDescent="0.2">
      <c r="B74" s="172"/>
      <c r="C74" s="87"/>
      <c r="D74" s="87"/>
      <c r="E74" s="88"/>
      <c r="F74" s="89"/>
      <c r="G74" s="90"/>
      <c r="H74" s="90"/>
      <c r="I74" s="90"/>
      <c r="J74" s="90"/>
      <c r="K74" s="25">
        <f t="shared" si="4"/>
        <v>0</v>
      </c>
      <c r="L74" s="83">
        <v>1</v>
      </c>
      <c r="M74" s="101">
        <f t="shared" si="5"/>
        <v>0</v>
      </c>
      <c r="N74" s="90"/>
      <c r="O74" s="90"/>
      <c r="P74" s="21">
        <f t="shared" si="6"/>
        <v>0</v>
      </c>
    </row>
    <row r="75" spans="2:16" x14ac:dyDescent="0.2">
      <c r="B75" s="172"/>
      <c r="C75" s="87"/>
      <c r="D75" s="87"/>
      <c r="E75" s="88"/>
      <c r="F75" s="89"/>
      <c r="G75" s="90"/>
      <c r="H75" s="90"/>
      <c r="I75" s="90"/>
      <c r="J75" s="90"/>
      <c r="K75" s="25">
        <f t="shared" si="4"/>
        <v>0</v>
      </c>
      <c r="L75" s="83">
        <v>1</v>
      </c>
      <c r="M75" s="101">
        <f t="shared" si="5"/>
        <v>0</v>
      </c>
      <c r="N75" s="90"/>
      <c r="O75" s="90"/>
      <c r="P75" s="21">
        <f t="shared" si="6"/>
        <v>0</v>
      </c>
    </row>
    <row r="76" spans="2:16" x14ac:dyDescent="0.2">
      <c r="B76" s="172"/>
      <c r="C76" s="87"/>
      <c r="D76" s="87"/>
      <c r="E76" s="88"/>
      <c r="F76" s="89"/>
      <c r="G76" s="90"/>
      <c r="H76" s="90"/>
      <c r="I76" s="90"/>
      <c r="J76" s="90"/>
      <c r="K76" s="25">
        <f t="shared" si="4"/>
        <v>0</v>
      </c>
      <c r="L76" s="83">
        <v>1</v>
      </c>
      <c r="M76" s="101">
        <f t="shared" si="5"/>
        <v>0</v>
      </c>
      <c r="N76" s="90"/>
      <c r="O76" s="90"/>
      <c r="P76" s="21">
        <f t="shared" si="6"/>
        <v>0</v>
      </c>
    </row>
    <row r="77" spans="2:16" x14ac:dyDescent="0.2">
      <c r="B77" s="172"/>
      <c r="C77" s="87"/>
      <c r="D77" s="87"/>
      <c r="E77" s="88"/>
      <c r="F77" s="89"/>
      <c r="G77" s="90"/>
      <c r="H77" s="90"/>
      <c r="I77" s="90"/>
      <c r="J77" s="90"/>
      <c r="K77" s="25">
        <f t="shared" si="4"/>
        <v>0</v>
      </c>
      <c r="L77" s="83">
        <v>1</v>
      </c>
      <c r="M77" s="101">
        <f t="shared" si="5"/>
        <v>0</v>
      </c>
      <c r="N77" s="90"/>
      <c r="O77" s="90"/>
      <c r="P77" s="21">
        <f t="shared" si="6"/>
        <v>0</v>
      </c>
    </row>
    <row r="78" spans="2:16" x14ac:dyDescent="0.2">
      <c r="B78" s="172"/>
      <c r="C78" s="87"/>
      <c r="D78" s="87"/>
      <c r="E78" s="88"/>
      <c r="F78" s="89"/>
      <c r="G78" s="90"/>
      <c r="H78" s="90"/>
      <c r="I78" s="90"/>
      <c r="J78" s="90"/>
      <c r="K78" s="25">
        <f t="shared" si="4"/>
        <v>0</v>
      </c>
      <c r="L78" s="83">
        <v>1</v>
      </c>
      <c r="M78" s="101">
        <f t="shared" si="5"/>
        <v>0</v>
      </c>
      <c r="N78" s="90"/>
      <c r="O78" s="90"/>
      <c r="P78" s="21">
        <f t="shared" si="6"/>
        <v>0</v>
      </c>
    </row>
    <row r="79" spans="2:16" x14ac:dyDescent="0.2">
      <c r="B79" s="172"/>
      <c r="C79" s="87"/>
      <c r="D79" s="87"/>
      <c r="E79" s="88"/>
      <c r="F79" s="89"/>
      <c r="G79" s="90"/>
      <c r="H79" s="90"/>
      <c r="I79" s="90"/>
      <c r="J79" s="90"/>
      <c r="K79" s="25">
        <f t="shared" si="4"/>
        <v>0</v>
      </c>
      <c r="L79" s="83">
        <v>1</v>
      </c>
      <c r="M79" s="101">
        <f t="shared" si="5"/>
        <v>0</v>
      </c>
      <c r="N79" s="90"/>
      <c r="O79" s="90"/>
      <c r="P79" s="21">
        <f t="shared" si="6"/>
        <v>0</v>
      </c>
    </row>
    <row r="80" spans="2:16"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80"/>
      <c r="C84" s="26" t="s">
        <v>339</v>
      </c>
      <c r="D84" s="26"/>
      <c r="E84" s="29"/>
      <c r="F84" s="29"/>
      <c r="G84" s="22">
        <f>SUM(G66:G83)</f>
        <v>1635736.1409794781</v>
      </c>
      <c r="H84" s="22">
        <f>SUM(H66:H83)</f>
        <v>289760.38255611353</v>
      </c>
      <c r="I84" s="22">
        <f>SUM(I66:I83)</f>
        <v>0</v>
      </c>
      <c r="J84" s="22">
        <f>SUM(J66:J83)</f>
        <v>-3581.5479090281065</v>
      </c>
      <c r="K84" s="22">
        <f>SUM(K66:K83)</f>
        <v>1921914.9756265637</v>
      </c>
      <c r="L84" s="153"/>
      <c r="M84" s="153">
        <f>SUM(M66:M83)</f>
        <v>1921914.9756265637</v>
      </c>
      <c r="N84" s="22">
        <f>SUM(N66:N83)</f>
        <v>-1141657.3988836496</v>
      </c>
      <c r="O84" s="22">
        <f>SUM(O66:O83)</f>
        <v>-178486.72190929734</v>
      </c>
      <c r="P84" s="22">
        <f>SUM(P66:P83)</f>
        <v>601770.85483361676</v>
      </c>
    </row>
  </sheetData>
  <sheetProtection sheet="1" insertRows="0" deleteRows="0"/>
  <mergeCells count="1">
    <mergeCell ref="B6:E8"/>
  </mergeCells>
  <phoneticPr fontId="33" type="noConversion"/>
  <dataValidations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140625" style="216" customWidth="1"/>
    <col min="2" max="2" width="22.42578125" style="216" customWidth="1"/>
    <col min="3" max="3" width="42.140625" style="216" customWidth="1"/>
    <col min="4" max="4" width="28.85546875" style="216" customWidth="1"/>
    <col min="5" max="5" width="22.5703125" style="216" customWidth="1"/>
    <col min="6" max="6" width="20.5703125" style="216" customWidth="1"/>
    <col min="7" max="7" width="22.5703125" style="216" customWidth="1"/>
    <col min="8" max="8" width="37.42578125" style="216" customWidth="1"/>
    <col min="9" max="9" width="25.140625" style="216" customWidth="1"/>
    <col min="10" max="16384" width="9.140625" style="216"/>
  </cols>
  <sheetData>
    <row r="1" spans="2:9" ht="20.25" customHeight="1" x14ac:dyDescent="0.3">
      <c r="B1" s="146" t="s">
        <v>53</v>
      </c>
      <c r="C1" s="146"/>
      <c r="D1" s="215"/>
      <c r="E1" s="215"/>
      <c r="F1" s="215"/>
      <c r="G1" s="215"/>
    </row>
    <row r="2" spans="2:9" ht="20.25" customHeight="1" x14ac:dyDescent="0.3">
      <c r="B2" s="146" t="str">
        <f>IF(Tradingname=0," ",Tradingname)</f>
        <v>APT PIPELINES (NSW) PTY LIMITED</v>
      </c>
      <c r="C2" s="146"/>
      <c r="D2" s="217"/>
    </row>
    <row r="3" spans="2:9" ht="20.25" customHeight="1" x14ac:dyDescent="0.3">
      <c r="B3" s="146" t="s">
        <v>30</v>
      </c>
      <c r="C3" s="110">
        <f>IF(Yearending=0, "01/01/2000", Yearending)</f>
        <v>45838</v>
      </c>
    </row>
    <row r="4" spans="2:9" ht="20.25" x14ac:dyDescent="0.2">
      <c r="B4" s="102" t="s">
        <v>340</v>
      </c>
      <c r="C4" s="102"/>
    </row>
    <row r="6" spans="2:9" x14ac:dyDescent="0.2">
      <c r="B6" s="502" t="s">
        <v>341</v>
      </c>
      <c r="C6" s="502"/>
      <c r="D6" s="502"/>
    </row>
    <row r="7" spans="2:9" ht="15.75" customHeight="1" x14ac:dyDescent="0.2">
      <c r="B7" s="502"/>
      <c r="C7" s="502"/>
      <c r="D7" s="502"/>
    </row>
    <row r="8" spans="2:9" ht="15.75" customHeight="1" x14ac:dyDescent="0.2">
      <c r="B8" s="502"/>
      <c r="C8" s="502"/>
      <c r="D8" s="502"/>
    </row>
    <row r="11" spans="2:9" ht="15.75" x14ac:dyDescent="0.25">
      <c r="B11" s="218" t="s">
        <v>342</v>
      </c>
      <c r="C11" s="219"/>
      <c r="D11" s="219"/>
      <c r="E11" s="219"/>
      <c r="F11" s="222"/>
      <c r="G11" s="219"/>
    </row>
    <row r="12" spans="2:9" ht="15.75" x14ac:dyDescent="0.25">
      <c r="B12" s="218"/>
      <c r="C12" s="219"/>
      <c r="D12" s="219"/>
      <c r="E12" s="219"/>
      <c r="F12" s="222"/>
      <c r="G12" s="219"/>
    </row>
    <row r="13" spans="2:9" ht="25.5" x14ac:dyDescent="0.2">
      <c r="B13" s="48" t="s">
        <v>113</v>
      </c>
      <c r="C13" s="48" t="s">
        <v>343</v>
      </c>
      <c r="D13" s="48" t="s">
        <v>344</v>
      </c>
      <c r="E13" s="60" t="s">
        <v>345</v>
      </c>
      <c r="F13" s="60" t="s">
        <v>188</v>
      </c>
      <c r="G13" s="60" t="s">
        <v>346</v>
      </c>
    </row>
    <row r="14" spans="2:9" x14ac:dyDescent="0.2">
      <c r="B14" s="50"/>
      <c r="C14" s="50"/>
      <c r="D14" s="53"/>
      <c r="E14" s="64" t="s">
        <v>116</v>
      </c>
      <c r="F14" s="64"/>
      <c r="G14" s="64" t="s">
        <v>116</v>
      </c>
    </row>
    <row r="15" spans="2:9" x14ac:dyDescent="0.2">
      <c r="B15" s="421" t="s">
        <v>1157</v>
      </c>
      <c r="C15" s="357" t="s">
        <v>1146</v>
      </c>
      <c r="D15" s="81" t="s">
        <v>236</v>
      </c>
      <c r="E15" s="82">
        <v>501746970.59000003</v>
      </c>
      <c r="F15" s="83">
        <v>3.3287688647860654E-3</v>
      </c>
      <c r="G15" s="21">
        <f>E15*F15</f>
        <v>1670199.6937007217</v>
      </c>
      <c r="H15" s="279"/>
    </row>
    <row r="16" spans="2:9" x14ac:dyDescent="0.2">
      <c r="B16" s="427" t="s">
        <v>1157</v>
      </c>
      <c r="C16" s="81" t="s">
        <v>238</v>
      </c>
      <c r="D16" s="81" t="s">
        <v>238</v>
      </c>
      <c r="E16" s="82">
        <v>86146034.725643426</v>
      </c>
      <c r="F16" s="83">
        <v>2.9219601659844345E-3</v>
      </c>
      <c r="G16" s="21">
        <f t="shared" ref="G16:G45" si="0">E16*F16</f>
        <v>251715.28192584193</v>
      </c>
      <c r="H16" s="282"/>
      <c r="I16" s="282"/>
    </row>
    <row r="17" spans="2:9" x14ac:dyDescent="0.2">
      <c r="B17" s="294"/>
      <c r="C17" s="81"/>
      <c r="D17" s="81"/>
      <c r="E17" s="82"/>
      <c r="F17" s="83"/>
      <c r="G17" s="21">
        <f t="shared" si="0"/>
        <v>0</v>
      </c>
      <c r="H17" s="283"/>
      <c r="I17" s="283"/>
    </row>
    <row r="18" spans="2:9" x14ac:dyDescent="0.2">
      <c r="B18" s="294"/>
      <c r="C18" s="81"/>
      <c r="D18" s="81"/>
      <c r="E18" s="82"/>
      <c r="F18" s="83"/>
      <c r="G18" s="21">
        <f t="shared" si="0"/>
        <v>0</v>
      </c>
      <c r="H18" s="283"/>
      <c r="I18" s="283"/>
    </row>
    <row r="19" spans="2:9" x14ac:dyDescent="0.2">
      <c r="B19" s="294"/>
      <c r="C19" s="81"/>
      <c r="D19" s="81"/>
      <c r="E19" s="82"/>
      <c r="F19" s="83"/>
      <c r="G19" s="21">
        <f t="shared" si="0"/>
        <v>0</v>
      </c>
      <c r="H19" s="282"/>
      <c r="I19" s="282"/>
    </row>
    <row r="20" spans="2:9" x14ac:dyDescent="0.2">
      <c r="B20" s="294"/>
      <c r="C20" s="81"/>
      <c r="D20" s="81"/>
      <c r="E20" s="82"/>
      <c r="F20" s="83"/>
      <c r="G20" s="21">
        <f t="shared" si="0"/>
        <v>0</v>
      </c>
      <c r="H20" s="283"/>
      <c r="I20" s="283"/>
    </row>
    <row r="21" spans="2:9" x14ac:dyDescent="0.2">
      <c r="B21" s="294"/>
      <c r="C21" s="81"/>
      <c r="D21" s="81"/>
      <c r="E21" s="82"/>
      <c r="F21" s="83"/>
      <c r="G21" s="21">
        <f t="shared" si="0"/>
        <v>0</v>
      </c>
    </row>
    <row r="22" spans="2:9" x14ac:dyDescent="0.2">
      <c r="B22" s="294"/>
      <c r="C22" s="81"/>
      <c r="D22" s="81"/>
      <c r="E22" s="82"/>
      <c r="F22" s="83"/>
      <c r="G22" s="21">
        <f t="shared" si="0"/>
        <v>0</v>
      </c>
    </row>
    <row r="23" spans="2:9" x14ac:dyDescent="0.2">
      <c r="B23" s="294"/>
      <c r="C23" s="81"/>
      <c r="D23" s="81"/>
      <c r="E23" s="82"/>
      <c r="F23" s="83"/>
      <c r="G23" s="21">
        <f t="shared" si="0"/>
        <v>0</v>
      </c>
    </row>
    <row r="24" spans="2:9" x14ac:dyDescent="0.2">
      <c r="B24" s="294"/>
      <c r="C24" s="81"/>
      <c r="D24" s="81"/>
      <c r="E24" s="82"/>
      <c r="F24" s="83"/>
      <c r="G24" s="21">
        <f t="shared" si="0"/>
        <v>0</v>
      </c>
    </row>
    <row r="25" spans="2:9" x14ac:dyDescent="0.2">
      <c r="B25" s="294"/>
      <c r="C25" s="81"/>
      <c r="D25" s="81"/>
      <c r="E25" s="82"/>
      <c r="F25" s="83"/>
      <c r="G25" s="21">
        <f t="shared" si="0"/>
        <v>0</v>
      </c>
    </row>
    <row r="26" spans="2:9" x14ac:dyDescent="0.2">
      <c r="B26" s="294"/>
      <c r="C26" s="81"/>
      <c r="D26" s="81"/>
      <c r="E26" s="82"/>
      <c r="F26" s="83"/>
      <c r="G26" s="21">
        <f t="shared" si="0"/>
        <v>0</v>
      </c>
    </row>
    <row r="27" spans="2:9" x14ac:dyDescent="0.2">
      <c r="B27" s="294"/>
      <c r="C27" s="81"/>
      <c r="D27" s="81"/>
      <c r="E27" s="82"/>
      <c r="F27" s="83"/>
      <c r="G27" s="21">
        <f t="shared" si="0"/>
        <v>0</v>
      </c>
    </row>
    <row r="28" spans="2:9" x14ac:dyDescent="0.2">
      <c r="B28" s="294"/>
      <c r="C28" s="81"/>
      <c r="D28" s="81"/>
      <c r="E28" s="82"/>
      <c r="F28" s="83"/>
      <c r="G28" s="21">
        <f t="shared" si="0"/>
        <v>0</v>
      </c>
    </row>
    <row r="29" spans="2:9" x14ac:dyDescent="0.2">
      <c r="B29" s="294"/>
      <c r="C29" s="81"/>
      <c r="D29" s="81"/>
      <c r="E29" s="82"/>
      <c r="F29" s="83"/>
      <c r="G29" s="21">
        <f t="shared" si="0"/>
        <v>0</v>
      </c>
    </row>
    <row r="30" spans="2:9" x14ac:dyDescent="0.2">
      <c r="B30" s="294"/>
      <c r="C30" s="81"/>
      <c r="D30" s="81"/>
      <c r="E30" s="82"/>
      <c r="F30" s="83"/>
      <c r="G30" s="21">
        <f t="shared" si="0"/>
        <v>0</v>
      </c>
    </row>
    <row r="31" spans="2:9" x14ac:dyDescent="0.2">
      <c r="B31" s="294"/>
      <c r="C31" s="81"/>
      <c r="D31" s="81"/>
      <c r="E31" s="82"/>
      <c r="F31" s="83"/>
      <c r="G31" s="21">
        <f t="shared" si="0"/>
        <v>0</v>
      </c>
    </row>
    <row r="32" spans="2:9" x14ac:dyDescent="0.2">
      <c r="B32" s="294"/>
      <c r="C32" s="81"/>
      <c r="D32" s="81"/>
      <c r="E32" s="82"/>
      <c r="F32" s="83"/>
      <c r="G32" s="21">
        <f t="shared" si="0"/>
        <v>0</v>
      </c>
    </row>
    <row r="33" spans="2:9" x14ac:dyDescent="0.2">
      <c r="B33" s="294"/>
      <c r="C33" s="81"/>
      <c r="D33" s="81"/>
      <c r="E33" s="82"/>
      <c r="F33" s="83"/>
      <c r="G33" s="21">
        <f t="shared" si="0"/>
        <v>0</v>
      </c>
    </row>
    <row r="34" spans="2:9" x14ac:dyDescent="0.2">
      <c r="B34" s="294"/>
      <c r="C34" s="81"/>
      <c r="D34" s="81"/>
      <c r="E34" s="82"/>
      <c r="F34" s="83"/>
      <c r="G34" s="21">
        <f t="shared" si="0"/>
        <v>0</v>
      </c>
    </row>
    <row r="35" spans="2:9" x14ac:dyDescent="0.2">
      <c r="B35" s="294"/>
      <c r="C35" s="81"/>
      <c r="D35" s="81"/>
      <c r="E35" s="82"/>
      <c r="F35" s="83"/>
      <c r="G35" s="21">
        <f t="shared" si="0"/>
        <v>0</v>
      </c>
      <c r="I35" s="284"/>
    </row>
    <row r="36" spans="2:9" x14ac:dyDescent="0.2">
      <c r="B36" s="294"/>
      <c r="C36" s="81"/>
      <c r="D36" s="81"/>
      <c r="E36" s="82"/>
      <c r="F36" s="83"/>
      <c r="G36" s="21">
        <f t="shared" si="0"/>
        <v>0</v>
      </c>
      <c r="I36" s="284"/>
    </row>
    <row r="37" spans="2:9" x14ac:dyDescent="0.2">
      <c r="B37" s="294"/>
      <c r="C37" s="81"/>
      <c r="D37" s="81"/>
      <c r="E37" s="82"/>
      <c r="F37" s="83"/>
      <c r="G37" s="21">
        <f t="shared" si="0"/>
        <v>0</v>
      </c>
      <c r="H37" s="284"/>
      <c r="I37" s="284"/>
    </row>
    <row r="38" spans="2:9" x14ac:dyDescent="0.2">
      <c r="B38" s="294"/>
      <c r="C38" s="81"/>
      <c r="D38" s="81"/>
      <c r="E38" s="82"/>
      <c r="F38" s="83"/>
      <c r="G38" s="21">
        <f t="shared" si="0"/>
        <v>0</v>
      </c>
      <c r="H38" s="284"/>
      <c r="I38" s="284"/>
    </row>
    <row r="39" spans="2:9" x14ac:dyDescent="0.2">
      <c r="B39" s="294"/>
      <c r="C39" s="81"/>
      <c r="D39" s="81"/>
      <c r="E39" s="82"/>
      <c r="F39" s="83"/>
      <c r="G39" s="21">
        <f t="shared" si="0"/>
        <v>0</v>
      </c>
      <c r="H39" s="284"/>
      <c r="I39" s="284"/>
    </row>
    <row r="40" spans="2:9" x14ac:dyDescent="0.2">
      <c r="B40" s="294"/>
      <c r="C40" s="81"/>
      <c r="D40" s="81"/>
      <c r="E40" s="82"/>
      <c r="F40" s="83"/>
      <c r="G40" s="21">
        <f t="shared" si="0"/>
        <v>0</v>
      </c>
      <c r="H40" s="284"/>
      <c r="I40" s="284"/>
    </row>
    <row r="41" spans="2:9" x14ac:dyDescent="0.2">
      <c r="B41" s="294"/>
      <c r="C41" s="81"/>
      <c r="D41" s="81"/>
      <c r="E41" s="82"/>
      <c r="F41" s="83"/>
      <c r="G41" s="21">
        <f t="shared" si="0"/>
        <v>0</v>
      </c>
      <c r="H41" s="284"/>
    </row>
    <row r="42" spans="2:9" x14ac:dyDescent="0.2">
      <c r="B42" s="294"/>
      <c r="C42" s="81"/>
      <c r="D42" s="81"/>
      <c r="E42" s="82"/>
      <c r="F42" s="83"/>
      <c r="G42" s="21">
        <f t="shared" si="0"/>
        <v>0</v>
      </c>
      <c r="H42" s="284"/>
    </row>
    <row r="43" spans="2:9" x14ac:dyDescent="0.2">
      <c r="B43" s="294"/>
      <c r="C43" s="81"/>
      <c r="D43" s="81"/>
      <c r="E43" s="82"/>
      <c r="F43" s="83"/>
      <c r="G43" s="21">
        <f t="shared" si="0"/>
        <v>0</v>
      </c>
    </row>
    <row r="44" spans="2:9" x14ac:dyDescent="0.2">
      <c r="B44" s="294"/>
      <c r="C44" s="81"/>
      <c r="D44" s="81"/>
      <c r="E44" s="82"/>
      <c r="F44" s="83"/>
      <c r="G44" s="21">
        <f t="shared" si="0"/>
        <v>0</v>
      </c>
    </row>
    <row r="45" spans="2:9" x14ac:dyDescent="0.2">
      <c r="B45" s="294"/>
      <c r="C45" s="81"/>
      <c r="D45" s="81"/>
      <c r="E45" s="82"/>
      <c r="F45" s="83"/>
      <c r="G45" s="21">
        <f t="shared" si="0"/>
        <v>0</v>
      </c>
    </row>
    <row r="46" spans="2:9" x14ac:dyDescent="0.2">
      <c r="B46" s="294"/>
      <c r="C46" s="81"/>
      <c r="D46" s="81"/>
      <c r="E46" s="82"/>
      <c r="F46" s="83"/>
      <c r="G46" s="21">
        <f>E46*F46</f>
        <v>0</v>
      </c>
    </row>
    <row r="47" spans="2:9" x14ac:dyDescent="0.2">
      <c r="B47" s="285" t="s">
        <v>56</v>
      </c>
      <c r="C47" s="509"/>
      <c r="D47" s="510"/>
      <c r="E47" s="21">
        <f>SUM(E15:E46)</f>
        <v>587893005.31564343</v>
      </c>
      <c r="F47" s="23"/>
      <c r="G47" s="21">
        <f>SUM(G15:G46)</f>
        <v>1921914.9756265637</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7DEE-17F1-40A5-B8DD-67FF6897C6D1}">
  <sheetPr>
    <tabColor theme="5" tint="0.79998168889431442"/>
  </sheetPr>
  <dimension ref="A1:Z1"/>
  <sheetViews>
    <sheetView workbookViewId="0"/>
  </sheetViews>
  <sheetFormatPr defaultColWidth="9.140625" defaultRowHeight="12.75" x14ac:dyDescent="0.2"/>
  <cols>
    <col min="1" max="16384" width="9.140625" style="391"/>
  </cols>
  <sheetData>
    <row r="1" spans="1:26" x14ac:dyDescent="0.2">
      <c r="A1"/>
      <c r="M1"/>
      <c r="Z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2.75" x14ac:dyDescent="0.2"/>
  <cols>
    <col min="1" max="1" width="11.42578125" customWidth="1"/>
    <col min="2" max="2" width="22.140625" customWidth="1"/>
    <col min="3" max="3" width="47.85546875" customWidth="1"/>
    <col min="4" max="4" width="50.5703125" customWidth="1"/>
    <col min="5" max="5" width="23.85546875" customWidth="1"/>
    <col min="6" max="13" width="9.42578125" customWidth="1"/>
    <col min="29" max="29" width="9.140625" customWidth="1"/>
    <col min="46" max="46" width="9.140625" customWidth="1"/>
    <col min="61" max="61" width="13.5703125" customWidth="1"/>
  </cols>
  <sheetData>
    <row r="1" spans="2:61" ht="20.25" customHeight="1" x14ac:dyDescent="0.2">
      <c r="B1" s="146" t="s">
        <v>53</v>
      </c>
      <c r="C1" s="146"/>
    </row>
    <row r="2" spans="2:61" ht="20.25" x14ac:dyDescent="0.2">
      <c r="B2" s="146" t="str">
        <f>IF(Tradingname=0," ",Tradingname)</f>
        <v>APT PIPELINES (NSW) PTY LIMITED</v>
      </c>
      <c r="C2" s="146"/>
    </row>
    <row r="3" spans="2:61" ht="19.5" customHeight="1" x14ac:dyDescent="0.3">
      <c r="B3" s="146" t="s">
        <v>30</v>
      </c>
      <c r="C3" s="110">
        <f>IF(Yearending=0, "01/01/2000", Yearending)</f>
        <v>45838</v>
      </c>
    </row>
    <row r="4" spans="2:61" ht="20.25" x14ac:dyDescent="0.2">
      <c r="B4" s="102" t="s">
        <v>347</v>
      </c>
      <c r="C4" s="102"/>
    </row>
    <row r="6" spans="2:61" ht="15.75" customHeight="1" x14ac:dyDescent="0.2">
      <c r="B6" s="502" t="s">
        <v>348</v>
      </c>
      <c r="C6" s="502"/>
      <c r="D6" s="502"/>
    </row>
    <row r="7" spans="2:61" ht="15.75" customHeight="1" x14ac:dyDescent="0.2">
      <c r="B7" s="502"/>
      <c r="C7" s="502"/>
      <c r="D7" s="502"/>
    </row>
    <row r="9" spans="2:61" ht="15.75" x14ac:dyDescent="0.25">
      <c r="B9" s="208" t="s">
        <v>349</v>
      </c>
    </row>
    <row r="11" spans="2:61" ht="45" customHeight="1" x14ac:dyDescent="0.2">
      <c r="B11" s="61" t="s">
        <v>113</v>
      </c>
      <c r="C11" s="513" t="s">
        <v>310</v>
      </c>
      <c r="D11" s="514"/>
      <c r="E11" s="314" t="s">
        <v>56</v>
      </c>
      <c r="F11" s="511" t="s">
        <v>250</v>
      </c>
      <c r="G11" s="512"/>
      <c r="H11" s="512"/>
      <c r="I11" s="512"/>
      <c r="J11" s="512"/>
      <c r="K11" s="512"/>
      <c r="L11" s="512"/>
      <c r="M11" s="512"/>
      <c r="N11" s="512"/>
      <c r="O11" s="512"/>
      <c r="P11" s="512"/>
      <c r="Q11" s="512"/>
      <c r="R11" s="512"/>
      <c r="S11" s="512"/>
      <c r="T11" s="512"/>
      <c r="U11" s="512"/>
      <c r="V11" s="512"/>
      <c r="W11" s="512"/>
      <c r="X11" s="512"/>
      <c r="Y11" s="512"/>
      <c r="Z11" s="512"/>
      <c r="AA11" s="512"/>
      <c r="AB11" s="512"/>
      <c r="AC11" s="512"/>
      <c r="AD11" s="512"/>
      <c r="AE11" s="512"/>
      <c r="AF11" s="512"/>
      <c r="AG11" s="512"/>
      <c r="AH11" s="512"/>
      <c r="AI11" s="512"/>
      <c r="AJ11" s="512"/>
      <c r="AK11" s="512"/>
      <c r="AL11" s="512"/>
      <c r="AM11" s="512"/>
      <c r="AN11" s="512"/>
      <c r="AO11" s="512"/>
      <c r="AP11" s="512"/>
      <c r="AQ11" s="512"/>
      <c r="AR11" s="512"/>
      <c r="AS11" s="512"/>
      <c r="AT11" s="512"/>
      <c r="AU11" s="512"/>
      <c r="AV11" s="512"/>
      <c r="AW11" s="512"/>
      <c r="AX11" s="512"/>
      <c r="AY11" s="512"/>
      <c r="AZ11" s="512"/>
      <c r="BA11" s="512"/>
      <c r="BB11" s="512"/>
      <c r="BC11" s="512"/>
      <c r="BD11" s="512"/>
      <c r="BE11" s="512"/>
      <c r="BF11" s="512"/>
      <c r="BG11" s="512"/>
      <c r="BH11" s="512"/>
      <c r="BI11" s="315" t="s">
        <v>350</v>
      </c>
    </row>
    <row r="12" spans="2:61" x14ac:dyDescent="0.2">
      <c r="B12" s="301"/>
      <c r="C12" s="64"/>
      <c r="D12" s="64"/>
      <c r="E12" s="64"/>
      <c r="F12" s="66" t="str">
        <f>RIGHT(TEXT(C43,"dd/mm/yyyy"),4)</f>
        <v>1905</v>
      </c>
      <c r="G12" s="67">
        <f>F12+1</f>
        <v>1906</v>
      </c>
      <c r="H12" s="67">
        <f t="shared" ref="H12:BG12" si="0">G12+1</f>
        <v>1907</v>
      </c>
      <c r="I12" s="67">
        <f t="shared" si="0"/>
        <v>1908</v>
      </c>
      <c r="J12" s="67">
        <f t="shared" si="0"/>
        <v>1909</v>
      </c>
      <c r="K12" s="67">
        <f t="shared" si="0"/>
        <v>1910</v>
      </c>
      <c r="L12" s="67">
        <f t="shared" si="0"/>
        <v>1911</v>
      </c>
      <c r="M12" s="67">
        <f t="shared" si="0"/>
        <v>1912</v>
      </c>
      <c r="N12" s="67">
        <f t="shared" si="0"/>
        <v>1913</v>
      </c>
      <c r="O12" s="67">
        <f t="shared" si="0"/>
        <v>1914</v>
      </c>
      <c r="P12" s="67">
        <f t="shared" si="0"/>
        <v>1915</v>
      </c>
      <c r="Q12" s="67">
        <f t="shared" si="0"/>
        <v>1916</v>
      </c>
      <c r="R12" s="67">
        <f t="shared" si="0"/>
        <v>1917</v>
      </c>
      <c r="S12" s="67">
        <f t="shared" si="0"/>
        <v>1918</v>
      </c>
      <c r="T12" s="67">
        <f t="shared" si="0"/>
        <v>1919</v>
      </c>
      <c r="U12" s="67">
        <f t="shared" si="0"/>
        <v>1920</v>
      </c>
      <c r="V12" s="67">
        <f t="shared" si="0"/>
        <v>1921</v>
      </c>
      <c r="W12" s="67">
        <f t="shared" si="0"/>
        <v>1922</v>
      </c>
      <c r="X12" s="67">
        <f t="shared" si="0"/>
        <v>1923</v>
      </c>
      <c r="Y12" s="67">
        <f t="shared" si="0"/>
        <v>1924</v>
      </c>
      <c r="Z12" s="67">
        <f t="shared" si="0"/>
        <v>1925</v>
      </c>
      <c r="AA12" s="67">
        <f t="shared" si="0"/>
        <v>1926</v>
      </c>
      <c r="AB12" s="67">
        <f t="shared" si="0"/>
        <v>1927</v>
      </c>
      <c r="AC12" s="67">
        <f t="shared" si="0"/>
        <v>1928</v>
      </c>
      <c r="AD12" s="67">
        <f t="shared" si="0"/>
        <v>1929</v>
      </c>
      <c r="AE12" s="67">
        <f t="shared" si="0"/>
        <v>1930</v>
      </c>
      <c r="AF12" s="67">
        <f t="shared" si="0"/>
        <v>1931</v>
      </c>
      <c r="AG12" s="67">
        <f t="shared" si="0"/>
        <v>1932</v>
      </c>
      <c r="AH12" s="67">
        <f t="shared" si="0"/>
        <v>1933</v>
      </c>
      <c r="AI12" s="67">
        <f t="shared" si="0"/>
        <v>1934</v>
      </c>
      <c r="AJ12" s="67">
        <f t="shared" si="0"/>
        <v>1935</v>
      </c>
      <c r="AK12" s="67">
        <f t="shared" si="0"/>
        <v>1936</v>
      </c>
      <c r="AL12" s="67">
        <f t="shared" si="0"/>
        <v>1937</v>
      </c>
      <c r="AM12" s="67">
        <f t="shared" si="0"/>
        <v>1938</v>
      </c>
      <c r="AN12" s="67">
        <f t="shared" si="0"/>
        <v>1939</v>
      </c>
      <c r="AO12" s="67">
        <f t="shared" si="0"/>
        <v>1940</v>
      </c>
      <c r="AP12" s="67">
        <f t="shared" si="0"/>
        <v>1941</v>
      </c>
      <c r="AQ12" s="67">
        <f t="shared" si="0"/>
        <v>1942</v>
      </c>
      <c r="AR12" s="67">
        <f t="shared" si="0"/>
        <v>1943</v>
      </c>
      <c r="AS12" s="67">
        <f t="shared" si="0"/>
        <v>1944</v>
      </c>
      <c r="AT12" s="67">
        <f t="shared" si="0"/>
        <v>1945</v>
      </c>
      <c r="AU12" s="67">
        <f t="shared" si="0"/>
        <v>1946</v>
      </c>
      <c r="AV12" s="67">
        <f t="shared" si="0"/>
        <v>1947</v>
      </c>
      <c r="AW12" s="67">
        <f t="shared" si="0"/>
        <v>1948</v>
      </c>
      <c r="AX12" s="67">
        <f t="shared" si="0"/>
        <v>1949</v>
      </c>
      <c r="AY12" s="67">
        <f t="shared" si="0"/>
        <v>1950</v>
      </c>
      <c r="AZ12" s="67">
        <f t="shared" si="0"/>
        <v>1951</v>
      </c>
      <c r="BA12" s="67">
        <f t="shared" si="0"/>
        <v>1952</v>
      </c>
      <c r="BB12" s="67">
        <f t="shared" si="0"/>
        <v>1953</v>
      </c>
      <c r="BC12" s="67">
        <f t="shared" si="0"/>
        <v>1954</v>
      </c>
      <c r="BD12" s="67">
        <f t="shared" si="0"/>
        <v>1955</v>
      </c>
      <c r="BE12" s="67">
        <f t="shared" si="0"/>
        <v>1956</v>
      </c>
      <c r="BF12" s="67">
        <f t="shared" si="0"/>
        <v>1957</v>
      </c>
      <c r="BG12" s="67">
        <f t="shared" si="0"/>
        <v>1958</v>
      </c>
      <c r="BH12" s="67">
        <f>BG12+1</f>
        <v>1959</v>
      </c>
    </row>
    <row r="13" spans="2:61" x14ac:dyDescent="0.2">
      <c r="B13" s="425" t="s">
        <v>1158</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2"/>
      <c r="C14" s="68"/>
      <c r="D14" s="69" t="s">
        <v>351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2"/>
      <c r="C15" s="68"/>
      <c r="D15" s="69" t="s">
        <v>352</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2"/>
      <c r="C16" s="68"/>
      <c r="D16" s="69" t="s">
        <v>205</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2"/>
      <c r="C17" s="68"/>
      <c r="D17" s="69" t="s">
        <v>353</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2"/>
      <c r="C18" s="68"/>
      <c r="D18" s="69" t="s">
        <v>354</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2"/>
      <c r="C19" s="68"/>
      <c r="D19" s="69" t="s">
        <v>355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2"/>
      <c r="C20" s="68"/>
      <c r="D20" s="223" t="s">
        <v>356</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2"/>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2"/>
      <c r="C22" s="68"/>
      <c r="D22" s="69" t="s">
        <v>358</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2"/>
      <c r="C23" s="68"/>
      <c r="D23" s="69" t="s">
        <v>352</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2"/>
      <c r="C24" s="68"/>
      <c r="D24" s="69" t="s">
        <v>205</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2"/>
      <c r="C25" s="68"/>
      <c r="D25" s="69" t="s">
        <v>353</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2"/>
      <c r="C26" s="68"/>
      <c r="D26" s="69" t="s">
        <v>354</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2"/>
      <c r="C27" s="68"/>
      <c r="D27" s="69" t="s">
        <v>355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2"/>
      <c r="C28" s="68"/>
      <c r="D28" s="223" t="s">
        <v>359</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2"/>
      <c r="C29" s="68"/>
      <c r="D29" s="68" t="s">
        <v>70</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2"/>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2"/>
      <c r="C31" s="68"/>
      <c r="D31" s="70" t="s">
        <v>117</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2"/>
      <c r="C32" s="68"/>
      <c r="D32" s="70" t="s">
        <v>361</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2"/>
      <c r="C33" s="68"/>
      <c r="D33" s="70" t="s">
        <v>362</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2"/>
      <c r="C34" s="68"/>
      <c r="D34" s="69" t="s">
        <v>363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2"/>
      <c r="C35" s="68"/>
      <c r="D35" s="70" t="s">
        <v>364</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2"/>
      <c r="C36" s="68"/>
      <c r="D36" s="68" t="s">
        <v>365</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2"/>
      <c r="C37" s="99"/>
      <c r="D37" s="93" t="s">
        <v>366</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2"/>
      <c r="C38" s="99" t="s">
        <v>367</v>
      </c>
      <c r="D38" s="71" t="s">
        <v>368</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2"/>
      <c r="C39" s="99" t="s">
        <v>367</v>
      </c>
      <c r="D39" s="71" t="s">
        <v>369</v>
      </c>
      <c r="E39" s="21"/>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row>
    <row r="40" spans="2:60" ht="29.25" customHeight="1" x14ac:dyDescent="0.2">
      <c r="D40" s="224"/>
    </row>
    <row r="41" spans="2:60" ht="15.75" x14ac:dyDescent="0.25">
      <c r="B41" s="225" t="s">
        <v>370</v>
      </c>
      <c r="C41" s="4"/>
    </row>
    <row r="42" spans="2:60" x14ac:dyDescent="0.2">
      <c r="B42" s="226"/>
      <c r="C42" s="227"/>
    </row>
    <row r="43" spans="2:60" x14ac:dyDescent="0.2">
      <c r="B43" s="33" t="s">
        <v>98</v>
      </c>
      <c r="C43" s="228" t="str">
        <f>IF( '1. Pipeline information'!C14=0, "0/01/1960", '1. Pipeline information'!C14)</f>
        <v>1998</v>
      </c>
    </row>
    <row r="48" spans="2:60" x14ac:dyDescent="0.2">
      <c r="C48" s="229"/>
    </row>
    <row r="49" spans="3:3" x14ac:dyDescent="0.2">
      <c r="C49" s="229"/>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140625" style="216" customWidth="1"/>
    <col min="2" max="2" width="21" style="216" customWidth="1"/>
    <col min="3" max="3" width="64.85546875" style="216" customWidth="1"/>
    <col min="4" max="5" width="42.140625" style="216" customWidth="1"/>
    <col min="6" max="6" width="34.85546875" style="216" customWidth="1"/>
    <col min="7" max="7" width="44" style="216" customWidth="1"/>
    <col min="8" max="16384" width="9.140625" style="216"/>
  </cols>
  <sheetData>
    <row r="1" spans="2:5" ht="20.25" customHeight="1" x14ac:dyDescent="0.3">
      <c r="B1" s="146" t="s">
        <v>53</v>
      </c>
      <c r="C1" s="146"/>
      <c r="D1" s="215"/>
      <c r="E1" s="215"/>
    </row>
    <row r="2" spans="2:5" ht="20.25" x14ac:dyDescent="0.3">
      <c r="B2" s="146" t="str">
        <f>IF(Tradingname=0," ",Tradingname)</f>
        <v>APT PIPELINES (NSW) PTY LIMITED</v>
      </c>
      <c r="C2" s="146"/>
      <c r="D2" s="217"/>
    </row>
    <row r="3" spans="2:5" ht="23.1" customHeight="1" x14ac:dyDescent="0.3">
      <c r="B3" s="146" t="s">
        <v>30</v>
      </c>
      <c r="C3" s="110">
        <f>IF(Yearending=0, "01/01/2000", Yearending)</f>
        <v>45838</v>
      </c>
    </row>
    <row r="4" spans="2:5" ht="20.25" x14ac:dyDescent="0.2">
      <c r="B4" s="102" t="s">
        <v>371</v>
      </c>
      <c r="C4" s="102"/>
    </row>
    <row r="6" spans="2:5" x14ac:dyDescent="0.2">
      <c r="B6" s="502" t="s">
        <v>372</v>
      </c>
      <c r="C6" s="502"/>
      <c r="D6" s="502"/>
      <c r="E6" s="502"/>
    </row>
    <row r="7" spans="2:5" ht="12.75" customHeight="1" x14ac:dyDescent="0.2">
      <c r="B7" s="502"/>
      <c r="C7" s="502"/>
      <c r="D7" s="502"/>
      <c r="E7" s="502"/>
    </row>
    <row r="8" spans="2:5" ht="12.75" customHeight="1" x14ac:dyDescent="0.2">
      <c r="B8" s="502"/>
      <c r="C8" s="502"/>
      <c r="D8" s="502"/>
      <c r="E8" s="502"/>
    </row>
    <row r="9" spans="2:5" ht="12.75" customHeight="1" x14ac:dyDescent="0.2">
      <c r="B9" s="502"/>
      <c r="C9" s="502"/>
      <c r="D9" s="502"/>
      <c r="E9" s="502"/>
    </row>
    <row r="12" spans="2:5" ht="15.75" x14ac:dyDescent="0.25">
      <c r="B12" s="218" t="s">
        <v>373</v>
      </c>
      <c r="C12" s="219"/>
      <c r="D12" s="219"/>
      <c r="E12" s="219"/>
    </row>
    <row r="13" spans="2:5" ht="15.75" x14ac:dyDescent="0.25">
      <c r="B13" s="218"/>
      <c r="C13" s="219"/>
      <c r="D13" s="219"/>
      <c r="E13" s="219"/>
    </row>
    <row r="14" spans="2:5" ht="25.5" x14ac:dyDescent="0.2">
      <c r="B14" s="48" t="s">
        <v>113</v>
      </c>
      <c r="C14" s="48" t="s">
        <v>374</v>
      </c>
      <c r="D14" s="48" t="s">
        <v>375</v>
      </c>
      <c r="E14" s="48" t="s">
        <v>376</v>
      </c>
    </row>
    <row r="15" spans="2:5" x14ac:dyDescent="0.2">
      <c r="B15" s="421" t="s">
        <v>1159</v>
      </c>
      <c r="C15" s="413" t="s">
        <v>1147</v>
      </c>
      <c r="D15" s="414" t="s">
        <v>1148</v>
      </c>
      <c r="E15" s="82">
        <v>2685579.44</v>
      </c>
    </row>
    <row r="16" spans="2:5" x14ac:dyDescent="0.2">
      <c r="B16" s="294"/>
      <c r="C16" s="290"/>
      <c r="D16" s="91"/>
      <c r="E16" s="82"/>
    </row>
    <row r="17" spans="2:5" x14ac:dyDescent="0.2">
      <c r="B17" s="294"/>
      <c r="C17" s="290"/>
      <c r="D17" s="91"/>
      <c r="E17" s="82"/>
    </row>
    <row r="18" spans="2:5" x14ac:dyDescent="0.2">
      <c r="B18" s="294"/>
      <c r="C18" s="290"/>
      <c r="D18" s="91"/>
      <c r="E18" s="82"/>
    </row>
    <row r="19" spans="2:5" x14ac:dyDescent="0.2">
      <c r="B19" s="294"/>
      <c r="C19" s="290"/>
      <c r="D19" s="91"/>
      <c r="E19" s="82"/>
    </row>
    <row r="20" spans="2:5" x14ac:dyDescent="0.2">
      <c r="B20" s="294"/>
      <c r="C20" s="290"/>
      <c r="D20" s="91"/>
      <c r="E20" s="82"/>
    </row>
    <row r="21" spans="2:5" x14ac:dyDescent="0.2">
      <c r="B21" s="294"/>
      <c r="C21" s="290"/>
      <c r="D21" s="91"/>
      <c r="E21" s="82"/>
    </row>
    <row r="22" spans="2:5" x14ac:dyDescent="0.2">
      <c r="B22" s="294"/>
      <c r="C22" s="290"/>
      <c r="D22" s="91"/>
      <c r="E22" s="82"/>
    </row>
    <row r="23" spans="2:5" x14ac:dyDescent="0.2">
      <c r="B23" s="294"/>
      <c r="C23" s="290"/>
      <c r="D23" s="91"/>
      <c r="E23" s="82"/>
    </row>
    <row r="24" spans="2:5" x14ac:dyDescent="0.2">
      <c r="B24" s="294"/>
      <c r="C24" s="290"/>
      <c r="D24" s="91"/>
      <c r="E24" s="82"/>
    </row>
    <row r="25" spans="2:5" x14ac:dyDescent="0.2">
      <c r="B25" s="294"/>
      <c r="C25" s="290"/>
      <c r="D25" s="91"/>
      <c r="E25" s="82"/>
    </row>
    <row r="26" spans="2:5" x14ac:dyDescent="0.2">
      <c r="B26" s="294"/>
      <c r="C26" s="290"/>
      <c r="D26" s="91"/>
      <c r="E26" s="82"/>
    </row>
    <row r="27" spans="2:5" x14ac:dyDescent="0.2">
      <c r="B27" s="294"/>
      <c r="C27" s="290"/>
      <c r="D27" s="91"/>
      <c r="E27" s="82"/>
    </row>
    <row r="28" spans="2:5" x14ac:dyDescent="0.2">
      <c r="B28" s="294"/>
      <c r="C28" s="290"/>
      <c r="D28" s="91"/>
      <c r="E28" s="82"/>
    </row>
    <row r="29" spans="2:5" x14ac:dyDescent="0.2">
      <c r="B29" s="294"/>
      <c r="C29" s="290"/>
      <c r="D29" s="91"/>
      <c r="E29" s="82"/>
    </row>
    <row r="30" spans="2:5" x14ac:dyDescent="0.2">
      <c r="B30" s="294"/>
      <c r="C30" s="290"/>
      <c r="D30" s="91"/>
      <c r="E30" s="82"/>
    </row>
    <row r="31" spans="2:5" x14ac:dyDescent="0.2">
      <c r="B31" s="294"/>
      <c r="C31" s="290"/>
      <c r="D31" s="91"/>
      <c r="E31" s="82"/>
    </row>
    <row r="32" spans="2:5" x14ac:dyDescent="0.2">
      <c r="B32" s="294"/>
      <c r="C32" s="290"/>
      <c r="D32" s="91"/>
      <c r="E32" s="82"/>
    </row>
    <row r="33" spans="2:5" x14ac:dyDescent="0.2">
      <c r="B33" s="294"/>
      <c r="C33" s="290"/>
      <c r="D33" s="91"/>
      <c r="E33" s="82"/>
    </row>
    <row r="34" spans="2:5" x14ac:dyDescent="0.2">
      <c r="B34" s="294"/>
      <c r="C34" s="290"/>
      <c r="D34" s="91"/>
      <c r="E34" s="82"/>
    </row>
    <row r="35" spans="2:5" x14ac:dyDescent="0.2">
      <c r="B35" s="294"/>
      <c r="C35" s="290"/>
      <c r="D35" s="91"/>
      <c r="E35" s="82"/>
    </row>
    <row r="36" spans="2:5" x14ac:dyDescent="0.2">
      <c r="B36" s="294"/>
      <c r="C36" s="290"/>
      <c r="D36" s="91"/>
      <c r="E36" s="82"/>
    </row>
    <row r="37" spans="2:5" x14ac:dyDescent="0.2">
      <c r="B37" s="294"/>
      <c r="C37" s="290"/>
      <c r="D37" s="91"/>
      <c r="E37" s="82"/>
    </row>
    <row r="38" spans="2:5" x14ac:dyDescent="0.2">
      <c r="B38" s="294"/>
      <c r="C38" s="290"/>
      <c r="D38" s="91"/>
      <c r="E38" s="82"/>
    </row>
    <row r="39" spans="2:5" x14ac:dyDescent="0.2">
      <c r="B39" s="294"/>
      <c r="C39" s="290"/>
      <c r="D39" s="91"/>
      <c r="E39" s="82"/>
    </row>
    <row r="40" spans="2:5" x14ac:dyDescent="0.2">
      <c r="B40" s="294"/>
      <c r="C40" s="290"/>
      <c r="D40" s="91"/>
      <c r="E40" s="82"/>
    </row>
    <row r="41" spans="2:5" x14ac:dyDescent="0.2">
      <c r="B41" s="517" t="s">
        <v>377</v>
      </c>
      <c r="C41" s="518"/>
      <c r="D41" s="519"/>
      <c r="E41" s="220">
        <f>SUM(E15:E40)</f>
        <v>2685579.44</v>
      </c>
    </row>
    <row r="44" spans="2:5" ht="15.75" x14ac:dyDescent="0.25">
      <c r="B44" s="218" t="s">
        <v>378</v>
      </c>
      <c r="C44" s="219"/>
      <c r="D44" s="219"/>
      <c r="E44" s="219"/>
    </row>
    <row r="45" spans="2:5" ht="15.75" x14ac:dyDescent="0.25">
      <c r="B45" s="218"/>
      <c r="C45" s="219"/>
      <c r="D45" s="219"/>
      <c r="E45" s="219"/>
    </row>
    <row r="46" spans="2:5" ht="25.5" x14ac:dyDescent="0.2">
      <c r="B46" s="48" t="s">
        <v>113</v>
      </c>
      <c r="C46" s="48" t="s">
        <v>374</v>
      </c>
      <c r="D46" s="48" t="s">
        <v>375</v>
      </c>
      <c r="E46" s="48" t="s">
        <v>376</v>
      </c>
    </row>
    <row r="47" spans="2:5" x14ac:dyDescent="0.2">
      <c r="B47" s="426" t="s">
        <v>1159</v>
      </c>
      <c r="C47" s="290"/>
      <c r="D47" s="91"/>
      <c r="E47" s="82"/>
    </row>
    <row r="48" spans="2:5" x14ac:dyDescent="0.2">
      <c r="B48" s="84"/>
      <c r="C48" s="290"/>
      <c r="D48" s="91"/>
      <c r="E48" s="82"/>
    </row>
    <row r="49" spans="2:5" x14ac:dyDescent="0.2">
      <c r="B49" s="84"/>
      <c r="C49" s="290"/>
      <c r="D49" s="91"/>
      <c r="E49" s="82"/>
    </row>
    <row r="50" spans="2:5" x14ac:dyDescent="0.2">
      <c r="B50" s="84"/>
      <c r="C50" s="290"/>
      <c r="D50" s="91"/>
      <c r="E50" s="82"/>
    </row>
    <row r="51" spans="2:5" x14ac:dyDescent="0.2">
      <c r="B51" s="84"/>
      <c r="C51" s="290"/>
      <c r="D51" s="91"/>
      <c r="E51" s="82"/>
    </row>
    <row r="52" spans="2:5" x14ac:dyDescent="0.2">
      <c r="B52" s="84"/>
      <c r="C52" s="290"/>
      <c r="D52" s="91"/>
      <c r="E52" s="82"/>
    </row>
    <row r="53" spans="2:5" x14ac:dyDescent="0.2">
      <c r="B53" s="84"/>
      <c r="C53" s="290"/>
      <c r="D53" s="91"/>
      <c r="E53" s="82"/>
    </row>
    <row r="54" spans="2:5" x14ac:dyDescent="0.2">
      <c r="B54" s="84"/>
      <c r="C54" s="290"/>
      <c r="D54" s="91"/>
      <c r="E54" s="82"/>
    </row>
    <row r="55" spans="2:5" x14ac:dyDescent="0.2">
      <c r="B55" s="84"/>
      <c r="C55" s="290"/>
      <c r="D55" s="91"/>
      <c r="E55" s="82"/>
    </row>
    <row r="56" spans="2:5" x14ac:dyDescent="0.2">
      <c r="B56" s="84"/>
      <c r="C56" s="290"/>
      <c r="D56" s="91"/>
      <c r="E56" s="82"/>
    </row>
    <row r="57" spans="2:5" x14ac:dyDescent="0.2">
      <c r="B57" s="84"/>
      <c r="C57" s="290"/>
      <c r="D57" s="91"/>
      <c r="E57" s="82"/>
    </row>
    <row r="58" spans="2:5" x14ac:dyDescent="0.2">
      <c r="B58" s="84"/>
      <c r="C58" s="290"/>
      <c r="D58" s="91"/>
      <c r="E58" s="82"/>
    </row>
    <row r="59" spans="2:5" x14ac:dyDescent="0.2">
      <c r="B59" s="84"/>
      <c r="C59" s="290"/>
      <c r="D59" s="91"/>
      <c r="E59" s="82"/>
    </row>
    <row r="60" spans="2:5" x14ac:dyDescent="0.2">
      <c r="B60" s="84"/>
      <c r="C60" s="290"/>
      <c r="D60" s="91"/>
      <c r="E60" s="82"/>
    </row>
    <row r="61" spans="2:5" x14ac:dyDescent="0.2">
      <c r="B61" s="84"/>
      <c r="C61" s="290"/>
      <c r="D61" s="91"/>
      <c r="E61" s="82"/>
    </row>
    <row r="62" spans="2:5" x14ac:dyDescent="0.2">
      <c r="B62" s="84"/>
      <c r="C62" s="290"/>
      <c r="D62" s="91"/>
      <c r="E62" s="82"/>
    </row>
    <row r="63" spans="2:5" x14ac:dyDescent="0.2">
      <c r="B63" s="84"/>
      <c r="C63" s="290"/>
      <c r="D63" s="91"/>
      <c r="E63" s="82"/>
    </row>
    <row r="64" spans="2:5" x14ac:dyDescent="0.2">
      <c r="B64" s="84"/>
      <c r="C64" s="290"/>
      <c r="D64" s="91"/>
      <c r="E64" s="82"/>
    </row>
    <row r="65" spans="2:7" x14ac:dyDescent="0.2">
      <c r="B65" s="84"/>
      <c r="C65" s="290"/>
      <c r="D65" s="91"/>
      <c r="E65" s="82"/>
    </row>
    <row r="66" spans="2:7" x14ac:dyDescent="0.2">
      <c r="B66" s="84"/>
      <c r="C66" s="290"/>
      <c r="D66" s="91"/>
      <c r="E66" s="82"/>
    </row>
    <row r="67" spans="2:7" x14ac:dyDescent="0.2">
      <c r="B67" s="84"/>
      <c r="C67" s="290"/>
      <c r="D67" s="91"/>
      <c r="E67" s="82"/>
    </row>
    <row r="68" spans="2:7" x14ac:dyDescent="0.2">
      <c r="B68" s="84"/>
      <c r="C68" s="290"/>
      <c r="D68" s="91"/>
      <c r="E68" s="82"/>
    </row>
    <row r="69" spans="2:7" x14ac:dyDescent="0.2">
      <c r="B69" s="84"/>
      <c r="C69" s="290"/>
      <c r="D69" s="91"/>
      <c r="E69" s="82"/>
    </row>
    <row r="70" spans="2:7" x14ac:dyDescent="0.2">
      <c r="B70" s="84"/>
      <c r="C70" s="290"/>
      <c r="D70" s="91"/>
      <c r="E70" s="82"/>
    </row>
    <row r="71" spans="2:7" x14ac:dyDescent="0.2">
      <c r="B71" s="84"/>
      <c r="C71" s="290"/>
      <c r="D71" s="91"/>
      <c r="E71" s="82"/>
    </row>
    <row r="72" spans="2:7" x14ac:dyDescent="0.2">
      <c r="B72" s="84"/>
      <c r="C72" s="290"/>
      <c r="D72" s="91"/>
      <c r="E72" s="82"/>
    </row>
    <row r="73" spans="2:7" x14ac:dyDescent="0.2">
      <c r="B73" s="517" t="s">
        <v>377</v>
      </c>
      <c r="C73" s="518"/>
      <c r="D73" s="519"/>
      <c r="E73" s="220">
        <f>SUM(E47:E72)</f>
        <v>0</v>
      </c>
    </row>
    <row r="76" spans="2:7" ht="15.75" x14ac:dyDescent="0.25">
      <c r="B76" s="221" t="s">
        <v>379</v>
      </c>
      <c r="C76" s="219"/>
      <c r="D76" s="219"/>
      <c r="E76" s="219"/>
      <c r="F76" s="222"/>
      <c r="G76" s="219"/>
    </row>
    <row r="77" spans="2:7" ht="15.75" x14ac:dyDescent="0.25">
      <c r="B77" s="218"/>
      <c r="C77" s="219"/>
      <c r="D77" s="219"/>
      <c r="E77" s="219"/>
      <c r="F77" s="222"/>
      <c r="G77" s="219"/>
    </row>
    <row r="78" spans="2:7" ht="42" customHeight="1" x14ac:dyDescent="0.2">
      <c r="B78" s="48" t="s">
        <v>113</v>
      </c>
      <c r="C78" s="48" t="s">
        <v>380</v>
      </c>
      <c r="D78" s="48" t="s">
        <v>381</v>
      </c>
      <c r="E78" s="60" t="s">
        <v>382</v>
      </c>
      <c r="F78" s="60" t="s">
        <v>383</v>
      </c>
      <c r="G78" s="60" t="s">
        <v>384</v>
      </c>
    </row>
    <row r="79" spans="2:7" x14ac:dyDescent="0.2">
      <c r="B79" s="100"/>
      <c r="C79" s="48"/>
      <c r="D79" s="64"/>
      <c r="E79" s="64"/>
      <c r="F79" s="64" t="s">
        <v>385</v>
      </c>
      <c r="G79" s="64" t="s">
        <v>116</v>
      </c>
    </row>
    <row r="80" spans="2:7" x14ac:dyDescent="0.2">
      <c r="B80" s="428" t="s">
        <v>1159</v>
      </c>
      <c r="C80" s="291" t="s">
        <v>1182</v>
      </c>
      <c r="D80" s="82"/>
      <c r="E80" s="82"/>
      <c r="F80" s="83"/>
      <c r="G80" s="77"/>
    </row>
    <row r="81" spans="2:7" x14ac:dyDescent="0.2">
      <c r="B81" s="81"/>
      <c r="C81" s="291"/>
      <c r="D81" s="82"/>
      <c r="E81" s="82"/>
      <c r="F81" s="83"/>
      <c r="G81" s="77"/>
    </row>
    <row r="82" spans="2:7" x14ac:dyDescent="0.2">
      <c r="B82" s="81"/>
      <c r="C82" s="291"/>
      <c r="D82" s="82"/>
      <c r="E82" s="82"/>
      <c r="F82" s="83"/>
      <c r="G82" s="77"/>
    </row>
    <row r="83" spans="2:7" x14ac:dyDescent="0.2">
      <c r="B83" s="81"/>
      <c r="C83" s="291"/>
      <c r="D83" s="82"/>
      <c r="E83" s="82"/>
      <c r="F83" s="83"/>
      <c r="G83" s="77"/>
    </row>
    <row r="84" spans="2:7" x14ac:dyDescent="0.2">
      <c r="B84" s="81"/>
      <c r="C84" s="291"/>
      <c r="D84" s="82"/>
      <c r="E84" s="82"/>
      <c r="F84" s="83"/>
      <c r="G84" s="77"/>
    </row>
    <row r="85" spans="2:7" x14ac:dyDescent="0.2">
      <c r="B85" s="81"/>
      <c r="C85" s="291"/>
      <c r="D85" s="82"/>
      <c r="E85" s="82"/>
      <c r="F85" s="83"/>
      <c r="G85" s="77"/>
    </row>
    <row r="86" spans="2:7" x14ac:dyDescent="0.2">
      <c r="B86" s="81"/>
      <c r="C86" s="291"/>
      <c r="D86" s="82"/>
      <c r="E86" s="82"/>
      <c r="F86" s="83"/>
      <c r="G86" s="77"/>
    </row>
    <row r="87" spans="2:7" x14ac:dyDescent="0.2">
      <c r="B87" s="81"/>
      <c r="C87" s="291"/>
      <c r="D87" s="82"/>
      <c r="E87" s="82"/>
      <c r="F87" s="83"/>
      <c r="G87" s="77"/>
    </row>
    <row r="88" spans="2:7" x14ac:dyDescent="0.2">
      <c r="B88" s="81"/>
      <c r="C88" s="291"/>
      <c r="D88" s="82"/>
      <c r="E88" s="82"/>
      <c r="F88" s="83"/>
      <c r="G88" s="77"/>
    </row>
    <row r="89" spans="2:7" x14ac:dyDescent="0.2">
      <c r="B89" s="81"/>
      <c r="C89" s="291"/>
      <c r="D89" s="82"/>
      <c r="E89" s="82"/>
      <c r="F89" s="83"/>
      <c r="G89" s="77"/>
    </row>
    <row r="90" spans="2:7" x14ac:dyDescent="0.2">
      <c r="B90" s="81"/>
      <c r="C90" s="291"/>
      <c r="D90" s="82"/>
      <c r="E90" s="82"/>
      <c r="F90" s="83"/>
      <c r="G90" s="77"/>
    </row>
    <row r="91" spans="2:7" x14ac:dyDescent="0.2">
      <c r="B91" s="81"/>
      <c r="C91" s="291"/>
      <c r="D91" s="82"/>
      <c r="E91" s="82"/>
      <c r="F91" s="83"/>
      <c r="G91" s="77"/>
    </row>
    <row r="92" spans="2:7" x14ac:dyDescent="0.2">
      <c r="B92" s="81"/>
      <c r="C92" s="291"/>
      <c r="D92" s="82"/>
      <c r="E92" s="82"/>
      <c r="F92" s="83"/>
      <c r="G92" s="77"/>
    </row>
    <row r="93" spans="2:7" x14ac:dyDescent="0.2">
      <c r="B93" s="81"/>
      <c r="C93" s="291"/>
      <c r="D93" s="82"/>
      <c r="E93" s="82"/>
      <c r="F93" s="83"/>
      <c r="G93" s="77"/>
    </row>
    <row r="94" spans="2:7" x14ac:dyDescent="0.2">
      <c r="B94" s="81"/>
      <c r="C94" s="291"/>
      <c r="D94" s="82"/>
      <c r="E94" s="82"/>
      <c r="F94" s="83"/>
      <c r="G94" s="77"/>
    </row>
    <row r="95" spans="2:7" x14ac:dyDescent="0.2">
      <c r="B95" s="81"/>
      <c r="C95" s="291"/>
      <c r="D95" s="82"/>
      <c r="E95" s="82"/>
      <c r="F95" s="83"/>
      <c r="G95" s="77"/>
    </row>
    <row r="96" spans="2:7" x14ac:dyDescent="0.2">
      <c r="B96" s="81"/>
      <c r="C96" s="291"/>
      <c r="D96" s="82"/>
      <c r="E96" s="82"/>
      <c r="F96" s="83"/>
      <c r="G96" s="77"/>
    </row>
    <row r="97" spans="2:7" x14ac:dyDescent="0.2">
      <c r="B97" s="81"/>
      <c r="C97" s="291"/>
      <c r="D97" s="82"/>
      <c r="E97" s="82"/>
      <c r="F97" s="83"/>
      <c r="G97" s="77"/>
    </row>
    <row r="98" spans="2:7" x14ac:dyDescent="0.2">
      <c r="B98" s="515" t="s">
        <v>386</v>
      </c>
      <c r="C98" s="516"/>
      <c r="D98" s="516"/>
      <c r="E98" s="516"/>
      <c r="F98" s="516"/>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831B5-7565-465F-BCE4-16C4B2BD8897}">
  <sheetPr>
    <tabColor theme="5" tint="0.79998168889431442"/>
  </sheetPr>
  <dimension ref="A1:N1"/>
  <sheetViews>
    <sheetView workbookViewId="0"/>
  </sheetViews>
  <sheetFormatPr defaultColWidth="9.140625" defaultRowHeight="12.75" x14ac:dyDescent="0.2"/>
  <cols>
    <col min="1" max="16384" width="9.140625" style="391"/>
  </cols>
  <sheetData>
    <row r="1" spans="1:14" x14ac:dyDescent="0.2">
      <c r="A1"/>
      <c r="N1"/>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85546875" defaultRowHeight="12.75" x14ac:dyDescent="0.2"/>
  <cols>
    <col min="1" max="1" width="11.42578125" customWidth="1"/>
    <col min="2" max="2" width="47.42578125" customWidth="1"/>
    <col min="3" max="3" width="30.85546875" customWidth="1"/>
    <col min="4" max="4" width="33.5703125" customWidth="1"/>
    <col min="5" max="9" width="30.85546875" customWidth="1"/>
    <col min="10" max="60" width="10.85546875" customWidth="1"/>
    <col min="62" max="62" width="13.5703125" customWidth="1"/>
  </cols>
  <sheetData>
    <row r="1" spans="2:4" ht="20.25" x14ac:dyDescent="0.2">
      <c r="B1" s="146" t="s">
        <v>53</v>
      </c>
      <c r="C1" s="146"/>
    </row>
    <row r="2" spans="2:4" ht="25.5" customHeight="1" x14ac:dyDescent="0.2">
      <c r="B2" s="146" t="str">
        <f>IF(Tradingname=0," ",Tradingname)</f>
        <v>APT PIPELINES (NSW) PTY LIMITED</v>
      </c>
      <c r="C2" s="146"/>
    </row>
    <row r="3" spans="2:4" ht="19.5" customHeight="1" x14ac:dyDescent="0.3">
      <c r="B3" s="146" t="s">
        <v>30</v>
      </c>
      <c r="C3" s="110">
        <f>IF(Yearending=0, "01/01/2000", Yearending)</f>
        <v>45838</v>
      </c>
    </row>
    <row r="4" spans="2:4" ht="20.25" x14ac:dyDescent="0.2">
      <c r="B4" s="102" t="s">
        <v>72</v>
      </c>
      <c r="C4" s="102"/>
    </row>
    <row r="5" spans="2:4" ht="12" customHeight="1" x14ac:dyDescent="0.2"/>
    <row r="6" spans="2:4" ht="12" customHeight="1" x14ac:dyDescent="0.2">
      <c r="B6" s="502" t="s">
        <v>387</v>
      </c>
      <c r="C6" s="502"/>
      <c r="D6" s="502"/>
    </row>
    <row r="7" spans="2:4" ht="12" customHeight="1" x14ac:dyDescent="0.2">
      <c r="B7" s="502"/>
      <c r="C7" s="502"/>
      <c r="D7" s="502"/>
    </row>
    <row r="8" spans="2:4" ht="12" customHeight="1" x14ac:dyDescent="0.2">
      <c r="B8" s="502"/>
      <c r="C8" s="502"/>
      <c r="D8" s="502"/>
    </row>
    <row r="9" spans="2:4" ht="12" customHeight="1" x14ac:dyDescent="0.2">
      <c r="B9" s="502"/>
      <c r="C9" s="502"/>
      <c r="D9" s="502"/>
    </row>
    <row r="10" spans="2:4" ht="12" customHeight="1" x14ac:dyDescent="0.2"/>
    <row r="11" spans="2:4" ht="12" customHeight="1" x14ac:dyDescent="0.2"/>
    <row r="12" spans="2:4" ht="15.75" x14ac:dyDescent="0.25">
      <c r="B12" s="208" t="s">
        <v>388</v>
      </c>
    </row>
    <row r="14" spans="2:4" ht="25.5" x14ac:dyDescent="0.2">
      <c r="B14" s="62" t="s">
        <v>113</v>
      </c>
      <c r="C14" s="61" t="s">
        <v>389</v>
      </c>
      <c r="D14" s="61" t="s">
        <v>390</v>
      </c>
    </row>
    <row r="15" spans="2:4" x14ac:dyDescent="0.2">
      <c r="B15" s="303" t="s">
        <v>1160</v>
      </c>
      <c r="C15" s="326" t="s">
        <v>397</v>
      </c>
      <c r="D15" s="73" t="s">
        <v>744</v>
      </c>
    </row>
    <row r="16" spans="2:4" x14ac:dyDescent="0.2">
      <c r="B16" s="303" t="s">
        <v>1160</v>
      </c>
      <c r="C16" s="326" t="s">
        <v>1138</v>
      </c>
      <c r="D16" s="73" t="s">
        <v>744</v>
      </c>
    </row>
    <row r="17" spans="2:6" x14ac:dyDescent="0.2">
      <c r="B17" s="303"/>
      <c r="C17" s="73"/>
      <c r="D17" s="73"/>
    </row>
    <row r="18" spans="2:6" x14ac:dyDescent="0.2">
      <c r="B18" s="303"/>
      <c r="C18" s="115"/>
      <c r="D18" s="115"/>
    </row>
    <row r="19" spans="2:6" x14ac:dyDescent="0.2">
      <c r="B19" s="303"/>
      <c r="C19" s="115"/>
      <c r="D19" s="115"/>
    </row>
    <row r="22" spans="2:6" ht="15.75" x14ac:dyDescent="0.25">
      <c r="B22" s="208" t="s">
        <v>391</v>
      </c>
    </row>
    <row r="24" spans="2:6" s="9" customFormat="1" x14ac:dyDescent="0.2">
      <c r="B24" s="112"/>
      <c r="C24" s="113" t="s">
        <v>392</v>
      </c>
    </row>
    <row r="25" spans="2:6" s="9" customFormat="1" x14ac:dyDescent="0.2">
      <c r="B25" s="112"/>
      <c r="C25" s="112" t="s">
        <v>393</v>
      </c>
      <c r="D25" s="207"/>
    </row>
    <row r="26" spans="2:6" ht="14.25" x14ac:dyDescent="0.2">
      <c r="B26" s="123" t="s">
        <v>78</v>
      </c>
      <c r="C26" s="82">
        <f>C42/365</f>
        <v>1.9318520547945215</v>
      </c>
      <c r="D26" s="206"/>
      <c r="E26" s="15"/>
      <c r="F26" s="15"/>
    </row>
    <row r="27" spans="2:6" ht="14.25" x14ac:dyDescent="0.2">
      <c r="B27" s="123" t="s">
        <v>80</v>
      </c>
      <c r="C27" s="325">
        <v>0</v>
      </c>
      <c r="D27" s="206"/>
      <c r="E27" s="15"/>
      <c r="F27" s="15"/>
    </row>
    <row r="28" spans="2:6" ht="14.25" x14ac:dyDescent="0.2">
      <c r="B28" s="123" t="s">
        <v>81</v>
      </c>
      <c r="C28" s="82"/>
      <c r="D28" s="206"/>
      <c r="E28" s="15"/>
      <c r="F28" s="15"/>
    </row>
    <row r="29" spans="2:6" ht="14.25" x14ac:dyDescent="0.2">
      <c r="B29" s="123" t="s">
        <v>82</v>
      </c>
      <c r="C29" s="82"/>
      <c r="D29" s="206"/>
      <c r="E29" s="15"/>
      <c r="F29" s="15"/>
    </row>
    <row r="30" spans="2:6" ht="25.5" x14ac:dyDescent="0.2">
      <c r="B30" s="205" t="s">
        <v>83</v>
      </c>
      <c r="C30" s="82"/>
      <c r="D30" s="206"/>
      <c r="E30" s="15"/>
      <c r="F30" s="15"/>
    </row>
    <row r="31" spans="2:6" ht="14.25" x14ac:dyDescent="0.2">
      <c r="B31" s="123" t="s">
        <v>84</v>
      </c>
      <c r="C31" s="82"/>
      <c r="D31" s="206"/>
      <c r="E31" s="15"/>
      <c r="F31" s="15"/>
    </row>
    <row r="32" spans="2:6" ht="14.25" x14ac:dyDescent="0.2">
      <c r="B32" s="123" t="s">
        <v>85</v>
      </c>
      <c r="C32" s="82"/>
      <c r="D32" s="206"/>
      <c r="E32" s="15"/>
      <c r="F32" s="15"/>
    </row>
    <row r="33" spans="2:9" x14ac:dyDescent="0.2">
      <c r="B33" s="123" t="s">
        <v>86</v>
      </c>
      <c r="C33" s="82"/>
      <c r="D33" s="15"/>
      <c r="E33" s="15"/>
      <c r="F33" s="15"/>
    </row>
    <row r="34" spans="2:9" x14ac:dyDescent="0.2">
      <c r="B34" s="123" t="s">
        <v>88</v>
      </c>
      <c r="C34" s="82"/>
      <c r="D34" s="15"/>
      <c r="E34" s="15"/>
      <c r="F34" s="15"/>
    </row>
    <row r="35" spans="2:9" x14ac:dyDescent="0.2">
      <c r="B35" s="123" t="s">
        <v>90</v>
      </c>
      <c r="C35" s="82"/>
    </row>
    <row r="38" spans="2:9" ht="15.75" x14ac:dyDescent="0.25">
      <c r="B38" s="208" t="s">
        <v>394</v>
      </c>
    </row>
    <row r="40" spans="2:9" s="9" customFormat="1" ht="25.5" x14ac:dyDescent="0.2">
      <c r="B40" s="112"/>
      <c r="C40" s="113" t="s">
        <v>395</v>
      </c>
      <c r="D40" s="113" t="s">
        <v>396</v>
      </c>
      <c r="E40" s="113" t="s">
        <v>397</v>
      </c>
      <c r="F40" s="113" t="s">
        <v>97</v>
      </c>
      <c r="G40" s="113" t="s">
        <v>398</v>
      </c>
      <c r="H40" s="113" t="s">
        <v>399</v>
      </c>
      <c r="I40" s="113" t="s">
        <v>400</v>
      </c>
    </row>
    <row r="41" spans="2:9" s="9" customFormat="1" x14ac:dyDescent="0.2">
      <c r="B41" s="112"/>
      <c r="C41" s="114" t="s">
        <v>393</v>
      </c>
      <c r="D41" s="114" t="s">
        <v>393</v>
      </c>
      <c r="E41" s="114" t="s">
        <v>393</v>
      </c>
      <c r="F41" s="114" t="s">
        <v>393</v>
      </c>
      <c r="G41" s="113"/>
      <c r="H41" s="113"/>
      <c r="I41" s="113"/>
    </row>
    <row r="42" spans="2:9" x14ac:dyDescent="0.2">
      <c r="B42" s="204" t="s">
        <v>56</v>
      </c>
      <c r="C42" s="22">
        <f>SUM(C43:C408)</f>
        <v>705.12600000000032</v>
      </c>
      <c r="D42" s="22">
        <f>SUM(D43:D408)</f>
        <v>0</v>
      </c>
      <c r="E42" s="22">
        <f>SUM(E43:E408)</f>
        <v>1318.7950000000001</v>
      </c>
      <c r="F42" s="22" t="s">
        <v>401</v>
      </c>
      <c r="G42" s="22">
        <f>SUM(G43:G408)</f>
        <v>3426.2049999999977</v>
      </c>
      <c r="H42" s="22">
        <f>SUM(H43:H408)</f>
        <v>4039.8739999999925</v>
      </c>
      <c r="I42" s="22">
        <f>SUM(I43:I408)</f>
        <v>-613.66900000000021</v>
      </c>
    </row>
    <row r="43" spans="2:9" x14ac:dyDescent="0.2">
      <c r="B43" s="203">
        <f>IF(Yearstart=0, "1/01/1999", Yearstart)</f>
        <v>45474</v>
      </c>
      <c r="C43" s="92">
        <v>0.92500000000000004</v>
      </c>
      <c r="D43" s="92"/>
      <c r="E43" s="92">
        <v>5.2119999999999997</v>
      </c>
      <c r="F43" s="92">
        <v>13</v>
      </c>
      <c r="G43" s="22">
        <f>F43-E43</f>
        <v>7.7880000000000003</v>
      </c>
      <c r="H43" s="22">
        <f>'5. Historical demand'!F43-'5. Historical demand'!C43-'5. Historical demand'!D43</f>
        <v>12.074999999999999</v>
      </c>
      <c r="I43" s="22">
        <f>C43+D43-E43</f>
        <v>-4.2869999999999999</v>
      </c>
    </row>
    <row r="44" spans="2:9" x14ac:dyDescent="0.2">
      <c r="B44" s="203">
        <f t="shared" ref="B44:B107" si="0">IFERROR(IF(Yearending&gt;B43, B43+1, ""),"")</f>
        <v>45475</v>
      </c>
      <c r="C44" s="92">
        <v>1.7749999999999999</v>
      </c>
      <c r="D44" s="92"/>
      <c r="E44" s="92">
        <v>5.1550000000000002</v>
      </c>
      <c r="F44" s="92">
        <v>13</v>
      </c>
      <c r="G44" s="22">
        <f t="shared" ref="G44:G107" si="1">IFERROR(IF(Yearending&gt;B43,F44-E44,""),"")</f>
        <v>7.8449999999999998</v>
      </c>
      <c r="H44" s="22">
        <f>IFERROR(IF(Yearending&gt;B43,'5. Historical demand'!F44-'5. Historical demand'!C44-'5. Historical demand'!D44,""),"")</f>
        <v>11.225</v>
      </c>
      <c r="I44" s="22">
        <f t="shared" ref="I44:I107" si="2">IFERROR(IF(Yearending&gt;B43,C44+D44-E44,""),"")</f>
        <v>-3.3800000000000003</v>
      </c>
    </row>
    <row r="45" spans="2:9" x14ac:dyDescent="0.2">
      <c r="B45" s="203">
        <f t="shared" si="0"/>
        <v>45476</v>
      </c>
      <c r="C45" s="92">
        <v>1.7749999999999999</v>
      </c>
      <c r="D45" s="92"/>
      <c r="E45" s="92">
        <v>5.7050000000000001</v>
      </c>
      <c r="F45" s="92">
        <v>13</v>
      </c>
      <c r="G45" s="22">
        <f t="shared" si="1"/>
        <v>7.2949999999999999</v>
      </c>
      <c r="H45" s="22">
        <f>IFERROR(IF(Yearending&gt;B44,'5. Historical demand'!F45-'5. Historical demand'!C45-'5. Historical demand'!D45,""),"")</f>
        <v>11.225</v>
      </c>
      <c r="I45" s="22">
        <f t="shared" si="2"/>
        <v>-3.93</v>
      </c>
    </row>
    <row r="46" spans="2:9" x14ac:dyDescent="0.2">
      <c r="B46" s="203">
        <f t="shared" si="0"/>
        <v>45477</v>
      </c>
      <c r="C46" s="92">
        <v>1.7749999999999999</v>
      </c>
      <c r="D46" s="92"/>
      <c r="E46" s="92">
        <v>4.41</v>
      </c>
      <c r="F46" s="92">
        <v>13</v>
      </c>
      <c r="G46" s="22">
        <f t="shared" si="1"/>
        <v>8.59</v>
      </c>
      <c r="H46" s="22">
        <f>IFERROR(IF(Yearending&gt;B45,'5. Historical demand'!F46-'5. Historical demand'!C46-'5. Historical demand'!D46,""),"")</f>
        <v>11.225</v>
      </c>
      <c r="I46" s="22">
        <f t="shared" si="2"/>
        <v>-2.6350000000000002</v>
      </c>
    </row>
    <row r="47" spans="2:9" x14ac:dyDescent="0.2">
      <c r="B47" s="203">
        <f t="shared" si="0"/>
        <v>45478</v>
      </c>
      <c r="C47" s="92">
        <v>1.7749999999999999</v>
      </c>
      <c r="D47" s="92"/>
      <c r="E47" s="92">
        <v>5.2889999999999997</v>
      </c>
      <c r="F47" s="92">
        <v>13</v>
      </c>
      <c r="G47" s="22">
        <f t="shared" si="1"/>
        <v>7.7110000000000003</v>
      </c>
      <c r="H47" s="22">
        <f>IFERROR(IF(Yearending&gt;B46,'5. Historical demand'!F47-'5. Historical demand'!C47-'5. Historical demand'!D47,""),"")</f>
        <v>11.225</v>
      </c>
      <c r="I47" s="22">
        <f t="shared" si="2"/>
        <v>-3.5139999999999998</v>
      </c>
    </row>
    <row r="48" spans="2:9" x14ac:dyDescent="0.2">
      <c r="B48" s="203">
        <f t="shared" si="0"/>
        <v>45479</v>
      </c>
      <c r="C48" s="92">
        <v>1.7749999999999999</v>
      </c>
      <c r="D48" s="92"/>
      <c r="E48" s="92">
        <v>5.3639999999999999</v>
      </c>
      <c r="F48" s="92">
        <v>13</v>
      </c>
      <c r="G48" s="22">
        <f t="shared" si="1"/>
        <v>7.6360000000000001</v>
      </c>
      <c r="H48" s="22">
        <f>IFERROR(IF(Yearending&gt;B47,'5. Historical demand'!F48-'5. Historical demand'!C48-'5. Historical demand'!D48,""),"")</f>
        <v>11.225</v>
      </c>
      <c r="I48" s="22">
        <f t="shared" si="2"/>
        <v>-3.589</v>
      </c>
    </row>
    <row r="49" spans="2:9" x14ac:dyDescent="0.2">
      <c r="B49" s="203">
        <f t="shared" si="0"/>
        <v>45480</v>
      </c>
      <c r="C49" s="92">
        <v>1.7749999999999999</v>
      </c>
      <c r="D49" s="92"/>
      <c r="E49" s="92">
        <v>3.41</v>
      </c>
      <c r="F49" s="92">
        <v>13</v>
      </c>
      <c r="G49" s="22">
        <f t="shared" si="1"/>
        <v>9.59</v>
      </c>
      <c r="H49" s="22">
        <f>IFERROR(IF(Yearending&gt;B48,'5. Historical demand'!F49-'5. Historical demand'!C49-'5. Historical demand'!D49,""),"")</f>
        <v>11.225</v>
      </c>
      <c r="I49" s="22">
        <f t="shared" si="2"/>
        <v>-1.6350000000000002</v>
      </c>
    </row>
    <row r="50" spans="2:9" x14ac:dyDescent="0.2">
      <c r="B50" s="203">
        <f t="shared" si="0"/>
        <v>45481</v>
      </c>
      <c r="C50" s="92">
        <v>1.7749999999999999</v>
      </c>
      <c r="D50" s="92"/>
      <c r="E50" s="92">
        <v>2.8039999999999998</v>
      </c>
      <c r="F50" s="92">
        <v>13</v>
      </c>
      <c r="G50" s="22">
        <f t="shared" si="1"/>
        <v>10.196</v>
      </c>
      <c r="H50" s="22">
        <f>IFERROR(IF(Yearending&gt;B49,'5. Historical demand'!F50-'5. Historical demand'!C50-'5. Historical demand'!D50,""),"")</f>
        <v>11.225</v>
      </c>
      <c r="I50" s="22">
        <f t="shared" si="2"/>
        <v>-1.0289999999999999</v>
      </c>
    </row>
    <row r="51" spans="2:9" x14ac:dyDescent="0.2">
      <c r="B51" s="203">
        <f t="shared" si="0"/>
        <v>45482</v>
      </c>
      <c r="C51" s="92">
        <v>1.7749999999999999</v>
      </c>
      <c r="D51" s="92"/>
      <c r="E51" s="92">
        <v>4.6879999999999997</v>
      </c>
      <c r="F51" s="92">
        <v>13</v>
      </c>
      <c r="G51" s="22">
        <f t="shared" si="1"/>
        <v>8.3120000000000012</v>
      </c>
      <c r="H51" s="22">
        <f>IFERROR(IF(Yearending&gt;B50,'5. Historical demand'!F51-'5. Historical demand'!C51-'5. Historical demand'!D51,""),"")</f>
        <v>11.225</v>
      </c>
      <c r="I51" s="22">
        <f t="shared" si="2"/>
        <v>-2.9129999999999998</v>
      </c>
    </row>
    <row r="52" spans="2:9" x14ac:dyDescent="0.2">
      <c r="B52" s="203">
        <f t="shared" si="0"/>
        <v>45483</v>
      </c>
      <c r="C52" s="92">
        <v>1.7749999999999999</v>
      </c>
      <c r="D52" s="92"/>
      <c r="E52" s="92">
        <v>6.3140000000000001</v>
      </c>
      <c r="F52" s="92">
        <v>13</v>
      </c>
      <c r="G52" s="22">
        <f t="shared" si="1"/>
        <v>6.6859999999999999</v>
      </c>
      <c r="H52" s="22">
        <f>IFERROR(IF(Yearending&gt;B51,'5. Historical demand'!F52-'5. Historical demand'!C52-'5. Historical demand'!D52,""),"")</f>
        <v>11.225</v>
      </c>
      <c r="I52" s="22">
        <f t="shared" si="2"/>
        <v>-4.5389999999999997</v>
      </c>
    </row>
    <row r="53" spans="2:9" x14ac:dyDescent="0.2">
      <c r="B53" s="203">
        <f t="shared" si="0"/>
        <v>45484</v>
      </c>
      <c r="C53" s="92">
        <v>1.7749999999999999</v>
      </c>
      <c r="D53" s="92"/>
      <c r="E53" s="92">
        <v>6.0549999999999997</v>
      </c>
      <c r="F53" s="92">
        <v>13</v>
      </c>
      <c r="G53" s="22">
        <f t="shared" si="1"/>
        <v>6.9450000000000003</v>
      </c>
      <c r="H53" s="22">
        <f>IFERROR(IF(Yearending&gt;B52,'5. Historical demand'!F53-'5. Historical demand'!C53-'5. Historical demand'!D53,""),"")</f>
        <v>11.225</v>
      </c>
      <c r="I53" s="22">
        <f t="shared" si="2"/>
        <v>-4.2799999999999994</v>
      </c>
    </row>
    <row r="54" spans="2:9" x14ac:dyDescent="0.2">
      <c r="B54" s="203">
        <f t="shared" si="0"/>
        <v>45485</v>
      </c>
      <c r="C54" s="92">
        <v>1.7749999999999999</v>
      </c>
      <c r="D54" s="92"/>
      <c r="E54" s="92">
        <v>5.702</v>
      </c>
      <c r="F54" s="92">
        <v>13</v>
      </c>
      <c r="G54" s="22">
        <f t="shared" si="1"/>
        <v>7.298</v>
      </c>
      <c r="H54" s="22">
        <f>IFERROR(IF(Yearending&gt;B53,'5. Historical demand'!F54-'5. Historical demand'!C54-'5. Historical demand'!D54,""),"")</f>
        <v>11.225</v>
      </c>
      <c r="I54" s="22">
        <f t="shared" si="2"/>
        <v>-3.927</v>
      </c>
    </row>
    <row r="55" spans="2:9" x14ac:dyDescent="0.2">
      <c r="B55" s="203">
        <f t="shared" si="0"/>
        <v>45486</v>
      </c>
      <c r="C55" s="92">
        <v>1.7749999999999999</v>
      </c>
      <c r="D55" s="92"/>
      <c r="E55" s="92">
        <v>5.4269999999999996</v>
      </c>
      <c r="F55" s="92">
        <v>13</v>
      </c>
      <c r="G55" s="22">
        <f t="shared" si="1"/>
        <v>7.5730000000000004</v>
      </c>
      <c r="H55" s="22">
        <f>IFERROR(IF(Yearending&gt;B54,'5. Historical demand'!F55-'5. Historical demand'!C55-'5. Historical demand'!D55,""),"")</f>
        <v>11.225</v>
      </c>
      <c r="I55" s="22">
        <f t="shared" si="2"/>
        <v>-3.6519999999999997</v>
      </c>
    </row>
    <row r="56" spans="2:9" x14ac:dyDescent="0.2">
      <c r="B56" s="203">
        <f t="shared" si="0"/>
        <v>45487</v>
      </c>
      <c r="C56" s="92">
        <v>1.7749999999999999</v>
      </c>
      <c r="D56" s="92"/>
      <c r="E56" s="92">
        <v>3.65</v>
      </c>
      <c r="F56" s="92">
        <v>13</v>
      </c>
      <c r="G56" s="22">
        <f t="shared" si="1"/>
        <v>9.35</v>
      </c>
      <c r="H56" s="22">
        <f>IFERROR(IF(Yearending&gt;B55,'5. Historical demand'!F56-'5. Historical demand'!C56-'5. Historical demand'!D56,""),"")</f>
        <v>11.225</v>
      </c>
      <c r="I56" s="22">
        <f t="shared" si="2"/>
        <v>-1.875</v>
      </c>
    </row>
    <row r="57" spans="2:9" x14ac:dyDescent="0.2">
      <c r="B57" s="203">
        <f t="shared" si="0"/>
        <v>45488</v>
      </c>
      <c r="C57" s="92">
        <v>1.7749999999999999</v>
      </c>
      <c r="D57" s="92"/>
      <c r="E57" s="92">
        <v>4.258</v>
      </c>
      <c r="F57" s="92">
        <v>13</v>
      </c>
      <c r="G57" s="22">
        <f t="shared" si="1"/>
        <v>8.7420000000000009</v>
      </c>
      <c r="H57" s="22">
        <f>IFERROR(IF(Yearending&gt;B56,'5. Historical demand'!F57-'5. Historical demand'!C57-'5. Historical demand'!D57,""),"")</f>
        <v>11.225</v>
      </c>
      <c r="I57" s="22">
        <f t="shared" si="2"/>
        <v>-2.4830000000000001</v>
      </c>
    </row>
    <row r="58" spans="2:9" x14ac:dyDescent="0.2">
      <c r="B58" s="203">
        <f t="shared" si="0"/>
        <v>45489</v>
      </c>
      <c r="C58" s="92">
        <v>1.7749999999999999</v>
      </c>
      <c r="D58" s="92"/>
      <c r="E58" s="92">
        <v>5.38</v>
      </c>
      <c r="F58" s="92">
        <v>13</v>
      </c>
      <c r="G58" s="22">
        <f t="shared" si="1"/>
        <v>7.62</v>
      </c>
      <c r="H58" s="22">
        <f>IFERROR(IF(Yearending&gt;B57,'5. Historical demand'!F58-'5. Historical demand'!C58-'5. Historical demand'!D58,""),"")</f>
        <v>11.225</v>
      </c>
      <c r="I58" s="22">
        <f t="shared" si="2"/>
        <v>-3.605</v>
      </c>
    </row>
    <row r="59" spans="2:9" x14ac:dyDescent="0.2">
      <c r="B59" s="203">
        <f t="shared" si="0"/>
        <v>45490</v>
      </c>
      <c r="C59" s="92">
        <v>1.7749999999999999</v>
      </c>
      <c r="D59" s="92"/>
      <c r="E59" s="92">
        <v>5.9119999999999999</v>
      </c>
      <c r="F59" s="92">
        <v>13</v>
      </c>
      <c r="G59" s="22">
        <f t="shared" si="1"/>
        <v>7.0880000000000001</v>
      </c>
      <c r="H59" s="22">
        <f>IFERROR(IF(Yearending&gt;B58,'5. Historical demand'!F59-'5. Historical demand'!C59-'5. Historical demand'!D59,""),"")</f>
        <v>11.225</v>
      </c>
      <c r="I59" s="22">
        <f t="shared" si="2"/>
        <v>-4.1370000000000005</v>
      </c>
    </row>
    <row r="60" spans="2:9" x14ac:dyDescent="0.2">
      <c r="B60" s="203">
        <f t="shared" si="0"/>
        <v>45491</v>
      </c>
      <c r="C60" s="92">
        <v>1.7749999999999999</v>
      </c>
      <c r="D60" s="92"/>
      <c r="E60" s="92">
        <v>6.2439999999999998</v>
      </c>
      <c r="F60" s="92">
        <v>13</v>
      </c>
      <c r="G60" s="22">
        <f t="shared" si="1"/>
        <v>6.7560000000000002</v>
      </c>
      <c r="H60" s="22">
        <f>IFERROR(IF(Yearending&gt;B59,'5. Historical demand'!F60-'5. Historical demand'!C60-'5. Historical demand'!D60,""),"")</f>
        <v>11.225</v>
      </c>
      <c r="I60" s="22">
        <f t="shared" si="2"/>
        <v>-4.4689999999999994</v>
      </c>
    </row>
    <row r="61" spans="2:9" x14ac:dyDescent="0.2">
      <c r="B61" s="203">
        <f t="shared" si="0"/>
        <v>45492</v>
      </c>
      <c r="C61" s="92">
        <v>1.7749999999999999</v>
      </c>
      <c r="D61" s="92"/>
      <c r="E61" s="92">
        <v>5.78</v>
      </c>
      <c r="F61" s="92">
        <v>13</v>
      </c>
      <c r="G61" s="22">
        <f t="shared" si="1"/>
        <v>7.22</v>
      </c>
      <c r="H61" s="22">
        <f>IFERROR(IF(Yearending&gt;B60,'5. Historical demand'!F61-'5. Historical demand'!C61-'5. Historical demand'!D61,""),"")</f>
        <v>11.225</v>
      </c>
      <c r="I61" s="22">
        <f t="shared" si="2"/>
        <v>-4.0050000000000008</v>
      </c>
    </row>
    <row r="62" spans="2:9" x14ac:dyDescent="0.2">
      <c r="B62" s="203">
        <f t="shared" si="0"/>
        <v>45493</v>
      </c>
      <c r="C62" s="92">
        <v>1.7749999999999999</v>
      </c>
      <c r="D62" s="92"/>
      <c r="E62" s="92">
        <v>4.3860000000000001</v>
      </c>
      <c r="F62" s="92">
        <v>13</v>
      </c>
      <c r="G62" s="22">
        <f t="shared" si="1"/>
        <v>8.6140000000000008</v>
      </c>
      <c r="H62" s="22">
        <f>IFERROR(IF(Yearending&gt;B61,'5. Historical demand'!F62-'5. Historical demand'!C62-'5. Historical demand'!D62,""),"")</f>
        <v>11.225</v>
      </c>
      <c r="I62" s="22">
        <f t="shared" si="2"/>
        <v>-2.6110000000000002</v>
      </c>
    </row>
    <row r="63" spans="2:9" x14ac:dyDescent="0.2">
      <c r="B63" s="203">
        <f t="shared" si="0"/>
        <v>45494</v>
      </c>
      <c r="C63" s="92">
        <v>1.7749999999999999</v>
      </c>
      <c r="D63" s="92"/>
      <c r="E63" s="92">
        <v>3.8069999999999999</v>
      </c>
      <c r="F63" s="92">
        <v>13</v>
      </c>
      <c r="G63" s="22">
        <f t="shared" si="1"/>
        <v>9.1929999999999996</v>
      </c>
      <c r="H63" s="22">
        <f>IFERROR(IF(Yearending&gt;B62,'5. Historical demand'!F63-'5. Historical demand'!C63-'5. Historical demand'!D63,""),"")</f>
        <v>11.225</v>
      </c>
      <c r="I63" s="22">
        <f t="shared" si="2"/>
        <v>-2.032</v>
      </c>
    </row>
    <row r="64" spans="2:9" x14ac:dyDescent="0.2">
      <c r="B64" s="203">
        <f t="shared" si="0"/>
        <v>45495</v>
      </c>
      <c r="C64" s="92">
        <v>1.7749999999999999</v>
      </c>
      <c r="D64" s="92"/>
      <c r="E64" s="92">
        <v>5.2770000000000001</v>
      </c>
      <c r="F64" s="92">
        <v>13</v>
      </c>
      <c r="G64" s="22">
        <f t="shared" si="1"/>
        <v>7.7229999999999999</v>
      </c>
      <c r="H64" s="22">
        <f>IFERROR(IF(Yearending&gt;B63,'5. Historical demand'!F64-'5. Historical demand'!C64-'5. Historical demand'!D64,""),"")</f>
        <v>11.225</v>
      </c>
      <c r="I64" s="22">
        <f t="shared" si="2"/>
        <v>-3.5020000000000002</v>
      </c>
    </row>
    <row r="65" spans="2:9" x14ac:dyDescent="0.2">
      <c r="B65" s="203">
        <f t="shared" si="0"/>
        <v>45496</v>
      </c>
      <c r="C65" s="92">
        <v>1.7749999999999999</v>
      </c>
      <c r="D65" s="92"/>
      <c r="E65" s="92">
        <v>5.1539999999999999</v>
      </c>
      <c r="F65" s="92">
        <v>13</v>
      </c>
      <c r="G65" s="22">
        <f t="shared" si="1"/>
        <v>7.8460000000000001</v>
      </c>
      <c r="H65" s="22">
        <f>IFERROR(IF(Yearending&gt;B64,'5. Historical demand'!F65-'5. Historical demand'!C65-'5. Historical demand'!D65,""),"")</f>
        <v>11.225</v>
      </c>
      <c r="I65" s="22">
        <f t="shared" si="2"/>
        <v>-3.379</v>
      </c>
    </row>
    <row r="66" spans="2:9" x14ac:dyDescent="0.2">
      <c r="B66" s="203">
        <f t="shared" si="0"/>
        <v>45497</v>
      </c>
      <c r="C66" s="92">
        <v>1.7749999999999999</v>
      </c>
      <c r="D66" s="92"/>
      <c r="E66" s="92">
        <v>5.8730000000000002</v>
      </c>
      <c r="F66" s="92">
        <v>13</v>
      </c>
      <c r="G66" s="22">
        <f t="shared" si="1"/>
        <v>7.1269999999999998</v>
      </c>
      <c r="H66" s="22">
        <f>IFERROR(IF(Yearending&gt;B65,'5. Historical demand'!F66-'5. Historical demand'!C66-'5. Historical demand'!D66,""),"")</f>
        <v>11.225</v>
      </c>
      <c r="I66" s="22">
        <f t="shared" si="2"/>
        <v>-4.0980000000000008</v>
      </c>
    </row>
    <row r="67" spans="2:9" x14ac:dyDescent="0.2">
      <c r="B67" s="203">
        <f t="shared" si="0"/>
        <v>45498</v>
      </c>
      <c r="C67" s="92">
        <v>1.7749999999999999</v>
      </c>
      <c r="D67" s="92"/>
      <c r="E67" s="92">
        <v>5.9539999999999997</v>
      </c>
      <c r="F67" s="92">
        <v>13</v>
      </c>
      <c r="G67" s="22">
        <f t="shared" si="1"/>
        <v>7.0460000000000003</v>
      </c>
      <c r="H67" s="22">
        <f>IFERROR(IF(Yearending&gt;B66,'5. Historical demand'!F67-'5. Historical demand'!C67-'5. Historical demand'!D67,""),"")</f>
        <v>11.225</v>
      </c>
      <c r="I67" s="22">
        <f t="shared" si="2"/>
        <v>-4.1790000000000003</v>
      </c>
    </row>
    <row r="68" spans="2:9" x14ac:dyDescent="0.2">
      <c r="B68" s="203">
        <f t="shared" si="0"/>
        <v>45499</v>
      </c>
      <c r="C68" s="92">
        <v>1.7749999999999999</v>
      </c>
      <c r="D68" s="92"/>
      <c r="E68" s="92">
        <v>5.8849999999999998</v>
      </c>
      <c r="F68" s="92">
        <v>13</v>
      </c>
      <c r="G68" s="22">
        <f t="shared" si="1"/>
        <v>7.1150000000000002</v>
      </c>
      <c r="H68" s="22">
        <f>IFERROR(IF(Yearending&gt;B67,'5. Historical demand'!F68-'5. Historical demand'!C68-'5. Historical demand'!D68,""),"")</f>
        <v>11.225</v>
      </c>
      <c r="I68" s="22">
        <f t="shared" si="2"/>
        <v>-4.1099999999999994</v>
      </c>
    </row>
    <row r="69" spans="2:9" x14ac:dyDescent="0.2">
      <c r="B69" s="203">
        <f t="shared" si="0"/>
        <v>45500</v>
      </c>
      <c r="C69" s="92">
        <v>1.7749999999999999</v>
      </c>
      <c r="D69" s="92"/>
      <c r="E69" s="92">
        <v>4.5129999999999999</v>
      </c>
      <c r="F69" s="92">
        <v>13</v>
      </c>
      <c r="G69" s="22">
        <f t="shared" si="1"/>
        <v>8.4870000000000001</v>
      </c>
      <c r="H69" s="22">
        <f>IFERROR(IF(Yearending&gt;B68,'5. Historical demand'!F69-'5. Historical demand'!C69-'5. Historical demand'!D69,""),"")</f>
        <v>11.225</v>
      </c>
      <c r="I69" s="22">
        <f t="shared" si="2"/>
        <v>-2.738</v>
      </c>
    </row>
    <row r="70" spans="2:9" x14ac:dyDescent="0.2">
      <c r="B70" s="203">
        <f t="shared" si="0"/>
        <v>45501</v>
      </c>
      <c r="C70" s="92">
        <v>1.7749999999999999</v>
      </c>
      <c r="D70" s="92"/>
      <c r="E70" s="92">
        <v>4.2320000000000002</v>
      </c>
      <c r="F70" s="92">
        <v>13</v>
      </c>
      <c r="G70" s="22">
        <f t="shared" si="1"/>
        <v>8.7680000000000007</v>
      </c>
      <c r="H70" s="22">
        <f>IFERROR(IF(Yearending&gt;B69,'5. Historical demand'!F70-'5. Historical demand'!C70-'5. Historical demand'!D70,""),"")</f>
        <v>11.225</v>
      </c>
      <c r="I70" s="22">
        <f t="shared" si="2"/>
        <v>-2.4570000000000003</v>
      </c>
    </row>
    <row r="71" spans="2:9" x14ac:dyDescent="0.2">
      <c r="B71" s="203">
        <f t="shared" si="0"/>
        <v>45502</v>
      </c>
      <c r="C71" s="92">
        <v>1.7749999999999999</v>
      </c>
      <c r="D71" s="92"/>
      <c r="E71" s="92">
        <v>5.9569999999999999</v>
      </c>
      <c r="F71" s="92">
        <v>13</v>
      </c>
      <c r="G71" s="22">
        <f t="shared" si="1"/>
        <v>7.0430000000000001</v>
      </c>
      <c r="H71" s="22">
        <f>IFERROR(IF(Yearending&gt;B70,'5. Historical demand'!F71-'5. Historical demand'!C71-'5. Historical demand'!D71,""),"")</f>
        <v>11.225</v>
      </c>
      <c r="I71" s="22">
        <f t="shared" si="2"/>
        <v>-4.1820000000000004</v>
      </c>
    </row>
    <row r="72" spans="2:9" x14ac:dyDescent="0.2">
      <c r="B72" s="203">
        <f t="shared" si="0"/>
        <v>45503</v>
      </c>
      <c r="C72" s="92">
        <v>1.7749999999999999</v>
      </c>
      <c r="D72" s="92"/>
      <c r="E72" s="92">
        <v>5.141</v>
      </c>
      <c r="F72" s="92">
        <v>13</v>
      </c>
      <c r="G72" s="22">
        <f t="shared" si="1"/>
        <v>7.859</v>
      </c>
      <c r="H72" s="22">
        <f>IFERROR(IF(Yearending&gt;B71,'5. Historical demand'!F72-'5. Historical demand'!C72-'5. Historical demand'!D72,""),"")</f>
        <v>11.225</v>
      </c>
      <c r="I72" s="22">
        <f t="shared" si="2"/>
        <v>-3.3660000000000001</v>
      </c>
    </row>
    <row r="73" spans="2:9" x14ac:dyDescent="0.2">
      <c r="B73" s="203">
        <f t="shared" si="0"/>
        <v>45504</v>
      </c>
      <c r="C73" s="92">
        <v>1.7749999999999999</v>
      </c>
      <c r="D73" s="92"/>
      <c r="E73" s="92">
        <v>5.4020000000000001</v>
      </c>
      <c r="F73" s="92">
        <v>13</v>
      </c>
      <c r="G73" s="22">
        <f t="shared" si="1"/>
        <v>7.5979999999999999</v>
      </c>
      <c r="H73" s="22">
        <f>IFERROR(IF(Yearending&gt;B72,'5. Historical demand'!F73-'5. Historical demand'!C73-'5. Historical demand'!D73,""),"")</f>
        <v>11.225</v>
      </c>
      <c r="I73" s="22">
        <f t="shared" si="2"/>
        <v>-3.6270000000000002</v>
      </c>
    </row>
    <row r="74" spans="2:9" x14ac:dyDescent="0.2">
      <c r="B74" s="203">
        <f t="shared" si="0"/>
        <v>45505</v>
      </c>
      <c r="C74" s="92">
        <v>1.7749999999999999</v>
      </c>
      <c r="D74" s="92"/>
      <c r="E74" s="92">
        <v>5.5919999999999996</v>
      </c>
      <c r="F74" s="92">
        <v>13</v>
      </c>
      <c r="G74" s="22">
        <f t="shared" si="1"/>
        <v>7.4080000000000004</v>
      </c>
      <c r="H74" s="22">
        <f>IFERROR(IF(Yearending&gt;B73,'5. Historical demand'!F74-'5. Historical demand'!C74-'5. Historical demand'!D74,""),"")</f>
        <v>11.225</v>
      </c>
      <c r="I74" s="22">
        <f t="shared" si="2"/>
        <v>-3.8169999999999997</v>
      </c>
    </row>
    <row r="75" spans="2:9" x14ac:dyDescent="0.2">
      <c r="B75" s="203">
        <f t="shared" si="0"/>
        <v>45506</v>
      </c>
      <c r="C75" s="92">
        <v>1.7749999999999999</v>
      </c>
      <c r="D75" s="92"/>
      <c r="E75" s="92">
        <v>6.2809999999999997</v>
      </c>
      <c r="F75" s="92">
        <v>13</v>
      </c>
      <c r="G75" s="22">
        <f t="shared" si="1"/>
        <v>6.7190000000000003</v>
      </c>
      <c r="H75" s="22">
        <f>IFERROR(IF(Yearending&gt;B74,'5. Historical demand'!F75-'5. Historical demand'!C75-'5. Historical demand'!D75,""),"")</f>
        <v>11.225</v>
      </c>
      <c r="I75" s="22">
        <f t="shared" si="2"/>
        <v>-4.5060000000000002</v>
      </c>
    </row>
    <row r="76" spans="2:9" x14ac:dyDescent="0.2">
      <c r="B76" s="203">
        <f t="shared" si="0"/>
        <v>45507</v>
      </c>
      <c r="C76" s="92">
        <v>1.7749999999999999</v>
      </c>
      <c r="D76" s="92"/>
      <c r="E76" s="92">
        <v>5.681</v>
      </c>
      <c r="F76" s="92">
        <v>13</v>
      </c>
      <c r="G76" s="22">
        <f t="shared" si="1"/>
        <v>7.319</v>
      </c>
      <c r="H76" s="22">
        <f>IFERROR(IF(Yearending&gt;B75,'5. Historical demand'!F76-'5. Historical demand'!C76-'5. Historical demand'!D76,""),"")</f>
        <v>11.225</v>
      </c>
      <c r="I76" s="22">
        <f t="shared" si="2"/>
        <v>-3.9060000000000001</v>
      </c>
    </row>
    <row r="77" spans="2:9" x14ac:dyDescent="0.2">
      <c r="B77" s="203">
        <f t="shared" si="0"/>
        <v>45508</v>
      </c>
      <c r="C77" s="92">
        <v>1.7749999999999999</v>
      </c>
      <c r="D77" s="92"/>
      <c r="E77" s="92">
        <v>4.4370000000000003</v>
      </c>
      <c r="F77" s="92">
        <v>13</v>
      </c>
      <c r="G77" s="22">
        <f t="shared" si="1"/>
        <v>8.5629999999999988</v>
      </c>
      <c r="H77" s="22">
        <f>IFERROR(IF(Yearending&gt;B76,'5. Historical demand'!F77-'5. Historical demand'!C77-'5. Historical demand'!D77,""),"")</f>
        <v>11.225</v>
      </c>
      <c r="I77" s="22">
        <f t="shared" si="2"/>
        <v>-2.6620000000000004</v>
      </c>
    </row>
    <row r="78" spans="2:9" x14ac:dyDescent="0.2">
      <c r="B78" s="203">
        <f t="shared" si="0"/>
        <v>45509</v>
      </c>
      <c r="C78" s="92">
        <v>1.7749999999999999</v>
      </c>
      <c r="D78" s="92"/>
      <c r="E78" s="92">
        <v>5.194</v>
      </c>
      <c r="F78" s="92">
        <v>13</v>
      </c>
      <c r="G78" s="22">
        <f t="shared" si="1"/>
        <v>7.806</v>
      </c>
      <c r="H78" s="22">
        <f>IFERROR(IF(Yearending&gt;B77,'5. Historical demand'!F78-'5. Historical demand'!C78-'5. Historical demand'!D78,""),"")</f>
        <v>11.225</v>
      </c>
      <c r="I78" s="22">
        <f t="shared" si="2"/>
        <v>-3.419</v>
      </c>
    </row>
    <row r="79" spans="2:9" x14ac:dyDescent="0.2">
      <c r="B79" s="203">
        <f t="shared" si="0"/>
        <v>45510</v>
      </c>
      <c r="C79" s="92">
        <v>1.7749999999999999</v>
      </c>
      <c r="D79" s="92"/>
      <c r="E79" s="92">
        <v>6.056</v>
      </c>
      <c r="F79" s="92">
        <v>13</v>
      </c>
      <c r="G79" s="22">
        <f t="shared" si="1"/>
        <v>6.944</v>
      </c>
      <c r="H79" s="22">
        <f>IFERROR(IF(Yearending&gt;B78,'5. Historical demand'!F79-'5. Historical demand'!C79-'5. Historical demand'!D79,""),"")</f>
        <v>11.225</v>
      </c>
      <c r="I79" s="22">
        <f t="shared" si="2"/>
        <v>-4.2810000000000006</v>
      </c>
    </row>
    <row r="80" spans="2:9" x14ac:dyDescent="0.2">
      <c r="B80" s="203">
        <f t="shared" si="0"/>
        <v>45511</v>
      </c>
      <c r="C80" s="92">
        <v>1.7749999999999999</v>
      </c>
      <c r="D80" s="92"/>
      <c r="E80" s="92">
        <v>5.8339999999999996</v>
      </c>
      <c r="F80" s="92">
        <v>13</v>
      </c>
      <c r="G80" s="22">
        <f t="shared" si="1"/>
        <v>7.1660000000000004</v>
      </c>
      <c r="H80" s="22">
        <f>IFERROR(IF(Yearending&gt;B79,'5. Historical demand'!F80-'5. Historical demand'!C80-'5. Historical demand'!D80,""),"")</f>
        <v>11.225</v>
      </c>
      <c r="I80" s="22">
        <f t="shared" si="2"/>
        <v>-4.0589999999999993</v>
      </c>
    </row>
    <row r="81" spans="2:9" x14ac:dyDescent="0.2">
      <c r="B81" s="203">
        <f t="shared" si="0"/>
        <v>45512</v>
      </c>
      <c r="C81" s="92">
        <v>1.7749999999999999</v>
      </c>
      <c r="D81" s="92"/>
      <c r="E81" s="92">
        <v>5.4059999999999997</v>
      </c>
      <c r="F81" s="92">
        <v>13</v>
      </c>
      <c r="G81" s="22">
        <f t="shared" si="1"/>
        <v>7.5940000000000003</v>
      </c>
      <c r="H81" s="22">
        <f>IFERROR(IF(Yearending&gt;B80,'5. Historical demand'!F81-'5. Historical demand'!C81-'5. Historical demand'!D81,""),"")</f>
        <v>11.225</v>
      </c>
      <c r="I81" s="22">
        <f t="shared" si="2"/>
        <v>-3.6309999999999998</v>
      </c>
    </row>
    <row r="82" spans="2:9" x14ac:dyDescent="0.2">
      <c r="B82" s="203">
        <f t="shared" si="0"/>
        <v>45513</v>
      </c>
      <c r="C82" s="92">
        <v>1.7749999999999999</v>
      </c>
      <c r="D82" s="92"/>
      <c r="E82" s="92">
        <v>4.5949999999999998</v>
      </c>
      <c r="F82" s="92">
        <v>13</v>
      </c>
      <c r="G82" s="22">
        <f t="shared" si="1"/>
        <v>8.4050000000000011</v>
      </c>
      <c r="H82" s="22">
        <f>IFERROR(IF(Yearending&gt;B81,'5. Historical demand'!F82-'5. Historical demand'!C82-'5. Historical demand'!D82,""),"")</f>
        <v>11.225</v>
      </c>
      <c r="I82" s="22">
        <f t="shared" si="2"/>
        <v>-2.82</v>
      </c>
    </row>
    <row r="83" spans="2:9" x14ac:dyDescent="0.2">
      <c r="B83" s="203">
        <f t="shared" si="0"/>
        <v>45514</v>
      </c>
      <c r="C83" s="92">
        <v>1.7749999999999999</v>
      </c>
      <c r="D83" s="92"/>
      <c r="E83" s="92">
        <v>4.4969999999999999</v>
      </c>
      <c r="F83" s="92">
        <v>13</v>
      </c>
      <c r="G83" s="22">
        <f t="shared" si="1"/>
        <v>8.5030000000000001</v>
      </c>
      <c r="H83" s="22">
        <f>IFERROR(IF(Yearending&gt;B82,'5. Historical demand'!F83-'5. Historical demand'!C83-'5. Historical demand'!D83,""),"")</f>
        <v>11.225</v>
      </c>
      <c r="I83" s="22">
        <f t="shared" si="2"/>
        <v>-2.722</v>
      </c>
    </row>
    <row r="84" spans="2:9" x14ac:dyDescent="0.2">
      <c r="B84" s="203">
        <f t="shared" si="0"/>
        <v>45515</v>
      </c>
      <c r="C84" s="92">
        <v>1.7749999999999999</v>
      </c>
      <c r="D84" s="92"/>
      <c r="E84" s="92">
        <v>3.83</v>
      </c>
      <c r="F84" s="92">
        <v>13</v>
      </c>
      <c r="G84" s="22">
        <f t="shared" si="1"/>
        <v>9.17</v>
      </c>
      <c r="H84" s="22">
        <f>IFERROR(IF(Yearending&gt;B83,'5. Historical demand'!F84-'5. Historical demand'!C84-'5. Historical demand'!D84,""),"")</f>
        <v>11.225</v>
      </c>
      <c r="I84" s="22">
        <f t="shared" si="2"/>
        <v>-2.0550000000000002</v>
      </c>
    </row>
    <row r="85" spans="2:9" x14ac:dyDescent="0.2">
      <c r="B85" s="203">
        <f t="shared" si="0"/>
        <v>45516</v>
      </c>
      <c r="C85" s="92">
        <v>1.7749999999999999</v>
      </c>
      <c r="D85" s="92"/>
      <c r="E85" s="92">
        <v>4.26</v>
      </c>
      <c r="F85" s="92">
        <v>13</v>
      </c>
      <c r="G85" s="22">
        <f t="shared" si="1"/>
        <v>8.74</v>
      </c>
      <c r="H85" s="22">
        <f>IFERROR(IF(Yearending&gt;B84,'5. Historical demand'!F85-'5. Historical demand'!C85-'5. Historical demand'!D85,""),"")</f>
        <v>11.225</v>
      </c>
      <c r="I85" s="22">
        <f t="shared" si="2"/>
        <v>-2.4849999999999999</v>
      </c>
    </row>
    <row r="86" spans="2:9" x14ac:dyDescent="0.2">
      <c r="B86" s="203">
        <f t="shared" si="0"/>
        <v>45517</v>
      </c>
      <c r="C86" s="92">
        <v>1.7749999999999999</v>
      </c>
      <c r="D86" s="92"/>
      <c r="E86" s="92">
        <v>5.5510000000000002</v>
      </c>
      <c r="F86" s="92">
        <v>13</v>
      </c>
      <c r="G86" s="22">
        <f t="shared" si="1"/>
        <v>7.4489999999999998</v>
      </c>
      <c r="H86" s="22">
        <f>IFERROR(IF(Yearending&gt;B85,'5. Historical demand'!F86-'5. Historical demand'!C86-'5. Historical demand'!D86,""),"")</f>
        <v>11.225</v>
      </c>
      <c r="I86" s="22">
        <f t="shared" si="2"/>
        <v>-3.7760000000000002</v>
      </c>
    </row>
    <row r="87" spans="2:9" x14ac:dyDescent="0.2">
      <c r="B87" s="203">
        <f t="shared" si="0"/>
        <v>45518</v>
      </c>
      <c r="C87" s="92">
        <v>1.7749999999999999</v>
      </c>
      <c r="D87" s="92"/>
      <c r="E87" s="92">
        <v>5.2</v>
      </c>
      <c r="F87" s="92">
        <v>13</v>
      </c>
      <c r="G87" s="22">
        <f t="shared" si="1"/>
        <v>7.8</v>
      </c>
      <c r="H87" s="22">
        <f>IFERROR(IF(Yearending&gt;B86,'5. Historical demand'!F87-'5. Historical demand'!C87-'5. Historical demand'!D87,""),"")</f>
        <v>11.225</v>
      </c>
      <c r="I87" s="22">
        <f t="shared" si="2"/>
        <v>-3.4250000000000003</v>
      </c>
    </row>
    <row r="88" spans="2:9" x14ac:dyDescent="0.2">
      <c r="B88" s="203">
        <f t="shared" si="0"/>
        <v>45519</v>
      </c>
      <c r="C88" s="92">
        <v>1.7749999999999999</v>
      </c>
      <c r="D88" s="92"/>
      <c r="E88" s="92">
        <v>5.4509999999999996</v>
      </c>
      <c r="F88" s="92">
        <v>13</v>
      </c>
      <c r="G88" s="22">
        <f t="shared" si="1"/>
        <v>7.5490000000000004</v>
      </c>
      <c r="H88" s="22">
        <f>IFERROR(IF(Yearending&gt;B87,'5. Historical demand'!F88-'5. Historical demand'!C88-'5. Historical demand'!D88,""),"")</f>
        <v>11.225</v>
      </c>
      <c r="I88" s="22">
        <f t="shared" si="2"/>
        <v>-3.6759999999999997</v>
      </c>
    </row>
    <row r="89" spans="2:9" x14ac:dyDescent="0.2">
      <c r="B89" s="203">
        <f t="shared" si="0"/>
        <v>45520</v>
      </c>
      <c r="C89" s="92">
        <v>1.7749999999999999</v>
      </c>
      <c r="D89" s="92"/>
      <c r="E89" s="92">
        <v>4.8860000000000001</v>
      </c>
      <c r="F89" s="92">
        <v>13</v>
      </c>
      <c r="G89" s="22">
        <f t="shared" si="1"/>
        <v>8.1140000000000008</v>
      </c>
      <c r="H89" s="22">
        <f>IFERROR(IF(Yearending&gt;B88,'5. Historical demand'!F89-'5. Historical demand'!C89-'5. Historical demand'!D89,""),"")</f>
        <v>11.225</v>
      </c>
      <c r="I89" s="22">
        <f t="shared" si="2"/>
        <v>-3.1110000000000002</v>
      </c>
    </row>
    <row r="90" spans="2:9" x14ac:dyDescent="0.2">
      <c r="B90" s="203">
        <f t="shared" si="0"/>
        <v>45521</v>
      </c>
      <c r="C90" s="92">
        <v>1.7749999999999999</v>
      </c>
      <c r="D90" s="92"/>
      <c r="E90" s="92">
        <v>3.7559999999999998</v>
      </c>
      <c r="F90" s="92">
        <v>13</v>
      </c>
      <c r="G90" s="22">
        <f t="shared" si="1"/>
        <v>9.2439999999999998</v>
      </c>
      <c r="H90" s="22">
        <f>IFERROR(IF(Yearending&gt;B89,'5. Historical demand'!F90-'5. Historical demand'!C90-'5. Historical demand'!D90,""),"")</f>
        <v>11.225</v>
      </c>
      <c r="I90" s="22">
        <f t="shared" si="2"/>
        <v>-1.9809999999999999</v>
      </c>
    </row>
    <row r="91" spans="2:9" x14ac:dyDescent="0.2">
      <c r="B91" s="203">
        <f t="shared" si="0"/>
        <v>45522</v>
      </c>
      <c r="C91" s="92">
        <v>1.7749999999999999</v>
      </c>
      <c r="D91" s="92"/>
      <c r="E91" s="92">
        <v>2.367</v>
      </c>
      <c r="F91" s="92">
        <v>13</v>
      </c>
      <c r="G91" s="22">
        <f t="shared" si="1"/>
        <v>10.632999999999999</v>
      </c>
      <c r="H91" s="22">
        <f>IFERROR(IF(Yearending&gt;B90,'5. Historical demand'!F91-'5. Historical demand'!C91-'5. Historical demand'!D91,""),"")</f>
        <v>11.225</v>
      </c>
      <c r="I91" s="22">
        <f t="shared" si="2"/>
        <v>-0.59200000000000008</v>
      </c>
    </row>
    <row r="92" spans="2:9" x14ac:dyDescent="0.2">
      <c r="B92" s="203">
        <f t="shared" si="0"/>
        <v>45523</v>
      </c>
      <c r="C92" s="92">
        <v>1.7749999999999999</v>
      </c>
      <c r="D92" s="92"/>
      <c r="E92" s="92">
        <v>2.9649999999999999</v>
      </c>
      <c r="F92" s="92">
        <v>13</v>
      </c>
      <c r="G92" s="22">
        <f t="shared" si="1"/>
        <v>10.035</v>
      </c>
      <c r="H92" s="22">
        <f>IFERROR(IF(Yearending&gt;B91,'5. Historical demand'!F92-'5. Historical demand'!C92-'5. Historical demand'!D92,""),"")</f>
        <v>11.225</v>
      </c>
      <c r="I92" s="22">
        <f t="shared" si="2"/>
        <v>-1.19</v>
      </c>
    </row>
    <row r="93" spans="2:9" x14ac:dyDescent="0.2">
      <c r="B93" s="203">
        <f t="shared" si="0"/>
        <v>45524</v>
      </c>
      <c r="C93" s="92">
        <v>1.7749999999999999</v>
      </c>
      <c r="D93" s="92"/>
      <c r="E93" s="92">
        <v>4.9649999999999999</v>
      </c>
      <c r="F93" s="92">
        <v>13</v>
      </c>
      <c r="G93" s="22">
        <f t="shared" si="1"/>
        <v>8.0350000000000001</v>
      </c>
      <c r="H93" s="22">
        <f>IFERROR(IF(Yearending&gt;B92,'5. Historical demand'!F93-'5. Historical demand'!C93-'5. Historical demand'!D93,""),"")</f>
        <v>11.225</v>
      </c>
      <c r="I93" s="22">
        <f t="shared" si="2"/>
        <v>-3.19</v>
      </c>
    </row>
    <row r="94" spans="2:9" x14ac:dyDescent="0.2">
      <c r="B94" s="203">
        <f t="shared" si="0"/>
        <v>45525</v>
      </c>
      <c r="C94" s="92">
        <v>1.7749999999999999</v>
      </c>
      <c r="D94" s="92"/>
      <c r="E94" s="92">
        <v>4.915</v>
      </c>
      <c r="F94" s="92">
        <v>13</v>
      </c>
      <c r="G94" s="22">
        <f t="shared" si="1"/>
        <v>8.0850000000000009</v>
      </c>
      <c r="H94" s="22">
        <f>IFERROR(IF(Yearending&gt;B93,'5. Historical demand'!F94-'5. Historical demand'!C94-'5. Historical demand'!D94,""),"")</f>
        <v>11.225</v>
      </c>
      <c r="I94" s="22">
        <f t="shared" si="2"/>
        <v>-3.14</v>
      </c>
    </row>
    <row r="95" spans="2:9" x14ac:dyDescent="0.2">
      <c r="B95" s="203">
        <f t="shared" si="0"/>
        <v>45526</v>
      </c>
      <c r="C95" s="92">
        <v>1.7749999999999999</v>
      </c>
      <c r="D95" s="92"/>
      <c r="E95" s="92">
        <v>4.5</v>
      </c>
      <c r="F95" s="92">
        <v>13</v>
      </c>
      <c r="G95" s="22">
        <f t="shared" si="1"/>
        <v>8.5</v>
      </c>
      <c r="H95" s="22">
        <f>IFERROR(IF(Yearending&gt;B94,'5. Historical demand'!F95-'5. Historical demand'!C95-'5. Historical demand'!D95,""),"")</f>
        <v>11.225</v>
      </c>
      <c r="I95" s="22">
        <f t="shared" si="2"/>
        <v>-2.7250000000000001</v>
      </c>
    </row>
    <row r="96" spans="2:9" x14ac:dyDescent="0.2">
      <c r="B96" s="203">
        <f t="shared" si="0"/>
        <v>45527</v>
      </c>
      <c r="C96" s="92">
        <v>1.7749999999999999</v>
      </c>
      <c r="D96" s="92"/>
      <c r="E96" s="92">
        <v>4.6859999999999999</v>
      </c>
      <c r="F96" s="92">
        <v>13</v>
      </c>
      <c r="G96" s="22">
        <f t="shared" si="1"/>
        <v>8.3140000000000001</v>
      </c>
      <c r="H96" s="22">
        <f>IFERROR(IF(Yearending&gt;B95,'5. Historical demand'!F96-'5. Historical demand'!C96-'5. Historical demand'!D96,""),"")</f>
        <v>11.225</v>
      </c>
      <c r="I96" s="22">
        <f t="shared" si="2"/>
        <v>-2.911</v>
      </c>
    </row>
    <row r="97" spans="2:9" x14ac:dyDescent="0.2">
      <c r="B97" s="203">
        <f t="shared" si="0"/>
        <v>45528</v>
      </c>
      <c r="C97" s="92">
        <v>1.7749999999999999</v>
      </c>
      <c r="D97" s="92"/>
      <c r="E97" s="92">
        <v>4.5860000000000003</v>
      </c>
      <c r="F97" s="92">
        <v>13</v>
      </c>
      <c r="G97" s="22">
        <f t="shared" si="1"/>
        <v>8.4139999999999997</v>
      </c>
      <c r="H97" s="22">
        <f>IFERROR(IF(Yearending&gt;B96,'5. Historical demand'!F97-'5. Historical demand'!C97-'5. Historical demand'!D97,""),"")</f>
        <v>11.225</v>
      </c>
      <c r="I97" s="22">
        <f t="shared" si="2"/>
        <v>-2.8110000000000004</v>
      </c>
    </row>
    <row r="98" spans="2:9" x14ac:dyDescent="0.2">
      <c r="B98" s="203">
        <f t="shared" si="0"/>
        <v>45529</v>
      </c>
      <c r="C98" s="92">
        <v>1.7749999999999999</v>
      </c>
      <c r="D98" s="92"/>
      <c r="E98" s="92">
        <v>3.03</v>
      </c>
      <c r="F98" s="92">
        <v>13</v>
      </c>
      <c r="G98" s="22">
        <f t="shared" si="1"/>
        <v>9.9700000000000006</v>
      </c>
      <c r="H98" s="22">
        <f>IFERROR(IF(Yearending&gt;B97,'5. Historical demand'!F98-'5. Historical demand'!C98-'5. Historical demand'!D98,""),"")</f>
        <v>11.225</v>
      </c>
      <c r="I98" s="22">
        <f t="shared" si="2"/>
        <v>-1.2549999999999999</v>
      </c>
    </row>
    <row r="99" spans="2:9" x14ac:dyDescent="0.2">
      <c r="B99" s="203">
        <f t="shared" si="0"/>
        <v>45530</v>
      </c>
      <c r="C99" s="92">
        <v>1.7749999999999999</v>
      </c>
      <c r="D99" s="92"/>
      <c r="E99" s="92">
        <v>2.794</v>
      </c>
      <c r="F99" s="92">
        <v>13</v>
      </c>
      <c r="G99" s="22">
        <f t="shared" si="1"/>
        <v>10.206</v>
      </c>
      <c r="H99" s="22">
        <f>IFERROR(IF(Yearending&gt;B98,'5. Historical demand'!F99-'5. Historical demand'!C99-'5. Historical demand'!D99,""),"")</f>
        <v>11.225</v>
      </c>
      <c r="I99" s="22">
        <f t="shared" si="2"/>
        <v>-1.0190000000000001</v>
      </c>
    </row>
    <row r="100" spans="2:9" x14ac:dyDescent="0.2">
      <c r="B100" s="203">
        <f t="shared" si="0"/>
        <v>45531</v>
      </c>
      <c r="C100" s="92">
        <v>1.7749999999999999</v>
      </c>
      <c r="D100" s="92"/>
      <c r="E100" s="92">
        <v>4.7450000000000001</v>
      </c>
      <c r="F100" s="92">
        <v>13</v>
      </c>
      <c r="G100" s="22">
        <f t="shared" si="1"/>
        <v>8.254999999999999</v>
      </c>
      <c r="H100" s="22">
        <f>IFERROR(IF(Yearending&gt;B99,'5. Historical demand'!F100-'5. Historical demand'!C100-'5. Historical demand'!D100,""),"")</f>
        <v>11.225</v>
      </c>
      <c r="I100" s="22">
        <f t="shared" si="2"/>
        <v>-2.97</v>
      </c>
    </row>
    <row r="101" spans="2:9" x14ac:dyDescent="0.2">
      <c r="B101" s="203">
        <f t="shared" si="0"/>
        <v>45532</v>
      </c>
      <c r="C101" s="92">
        <v>1.7749999999999999</v>
      </c>
      <c r="D101" s="92"/>
      <c r="E101" s="92">
        <v>5.5759999999999996</v>
      </c>
      <c r="F101" s="92">
        <v>13</v>
      </c>
      <c r="G101" s="22">
        <f t="shared" si="1"/>
        <v>7.4240000000000004</v>
      </c>
      <c r="H101" s="22">
        <f>IFERROR(IF(Yearending&gt;B100,'5. Historical demand'!F101-'5. Historical demand'!C101-'5. Historical demand'!D101,""),"")</f>
        <v>11.225</v>
      </c>
      <c r="I101" s="22">
        <f t="shared" si="2"/>
        <v>-3.8009999999999997</v>
      </c>
    </row>
    <row r="102" spans="2:9" x14ac:dyDescent="0.2">
      <c r="B102" s="203">
        <f t="shared" si="0"/>
        <v>45533</v>
      </c>
      <c r="C102" s="92">
        <v>1.7749999999999999</v>
      </c>
      <c r="D102" s="92"/>
      <c r="E102" s="92">
        <v>5.34</v>
      </c>
      <c r="F102" s="92">
        <v>13</v>
      </c>
      <c r="G102" s="22">
        <f t="shared" si="1"/>
        <v>7.66</v>
      </c>
      <c r="H102" s="22">
        <f>IFERROR(IF(Yearending&gt;B101,'5. Historical demand'!F102-'5. Historical demand'!C102-'5. Historical demand'!D102,""),"")</f>
        <v>11.225</v>
      </c>
      <c r="I102" s="22">
        <f t="shared" si="2"/>
        <v>-3.5649999999999999</v>
      </c>
    </row>
    <row r="103" spans="2:9" x14ac:dyDescent="0.2">
      <c r="B103" s="203">
        <f t="shared" si="0"/>
        <v>45534</v>
      </c>
      <c r="C103" s="92">
        <v>1.7749999999999999</v>
      </c>
      <c r="D103" s="92"/>
      <c r="E103" s="92">
        <v>5.1219999999999999</v>
      </c>
      <c r="F103" s="92">
        <v>13</v>
      </c>
      <c r="G103" s="22">
        <f t="shared" si="1"/>
        <v>7.8780000000000001</v>
      </c>
      <c r="H103" s="22">
        <f>IFERROR(IF(Yearending&gt;B102,'5. Historical demand'!F103-'5. Historical demand'!C103-'5. Historical demand'!D103,""),"")</f>
        <v>11.225</v>
      </c>
      <c r="I103" s="22">
        <f t="shared" si="2"/>
        <v>-3.347</v>
      </c>
    </row>
    <row r="104" spans="2:9" x14ac:dyDescent="0.2">
      <c r="B104" s="203">
        <f t="shared" si="0"/>
        <v>45535</v>
      </c>
      <c r="C104" s="92">
        <v>1.7749999999999999</v>
      </c>
      <c r="D104" s="92"/>
      <c r="E104" s="92">
        <v>2.9580000000000002</v>
      </c>
      <c r="F104" s="92">
        <v>13</v>
      </c>
      <c r="G104" s="22">
        <f t="shared" si="1"/>
        <v>10.042</v>
      </c>
      <c r="H104" s="22">
        <f>IFERROR(IF(Yearending&gt;B103,'5. Historical demand'!F104-'5. Historical demand'!C104-'5. Historical demand'!D104,""),"")</f>
        <v>11.225</v>
      </c>
      <c r="I104" s="22">
        <f t="shared" si="2"/>
        <v>-1.1830000000000003</v>
      </c>
    </row>
    <row r="105" spans="2:9" x14ac:dyDescent="0.2">
      <c r="B105" s="203">
        <f t="shared" si="0"/>
        <v>45536</v>
      </c>
      <c r="C105" s="92">
        <v>1.7749999999999999</v>
      </c>
      <c r="D105" s="92"/>
      <c r="E105" s="92">
        <v>1.8</v>
      </c>
      <c r="F105" s="92">
        <v>13</v>
      </c>
      <c r="G105" s="22">
        <f t="shared" si="1"/>
        <v>11.2</v>
      </c>
      <c r="H105" s="22">
        <f>IFERROR(IF(Yearending&gt;B104,'5. Historical demand'!F105-'5. Historical demand'!C105-'5. Historical demand'!D105,""),"")</f>
        <v>11.225</v>
      </c>
      <c r="I105" s="22">
        <f t="shared" si="2"/>
        <v>-2.5000000000000133E-2</v>
      </c>
    </row>
    <row r="106" spans="2:9" x14ac:dyDescent="0.2">
      <c r="B106" s="203">
        <f t="shared" si="0"/>
        <v>45537</v>
      </c>
      <c r="C106" s="92">
        <v>1.7749999999999999</v>
      </c>
      <c r="D106" s="92"/>
      <c r="E106" s="92">
        <v>2.9079999999999999</v>
      </c>
      <c r="F106" s="92">
        <v>13</v>
      </c>
      <c r="G106" s="22">
        <f t="shared" si="1"/>
        <v>10.092000000000001</v>
      </c>
      <c r="H106" s="22">
        <f>IFERROR(IF(Yearending&gt;B105,'5. Historical demand'!F106-'5. Historical demand'!C106-'5. Historical demand'!D106,""),"")</f>
        <v>11.225</v>
      </c>
      <c r="I106" s="22">
        <f t="shared" si="2"/>
        <v>-1.133</v>
      </c>
    </row>
    <row r="107" spans="2:9" x14ac:dyDescent="0.2">
      <c r="B107" s="203">
        <f t="shared" si="0"/>
        <v>45538</v>
      </c>
      <c r="C107" s="92">
        <v>1.7749999999999999</v>
      </c>
      <c r="D107" s="92"/>
      <c r="E107" s="92">
        <v>4.8730000000000002</v>
      </c>
      <c r="F107" s="92">
        <v>13</v>
      </c>
      <c r="G107" s="22">
        <f t="shared" si="1"/>
        <v>8.1269999999999989</v>
      </c>
      <c r="H107" s="22">
        <f>IFERROR(IF(Yearending&gt;B106,'5. Historical demand'!F107-'5. Historical demand'!C107-'5. Historical demand'!D107,""),"")</f>
        <v>11.225</v>
      </c>
      <c r="I107" s="22">
        <f t="shared" si="2"/>
        <v>-3.0980000000000003</v>
      </c>
    </row>
    <row r="108" spans="2:9" x14ac:dyDescent="0.2">
      <c r="B108" s="203">
        <f t="shared" ref="B108:B171" si="3">IFERROR(IF(Yearending&gt;B107, B107+1, ""),"")</f>
        <v>45539</v>
      </c>
      <c r="C108" s="92">
        <v>1.7749999999999999</v>
      </c>
      <c r="D108" s="92"/>
      <c r="E108" s="92">
        <v>5.4550000000000001</v>
      </c>
      <c r="F108" s="92">
        <v>13</v>
      </c>
      <c r="G108" s="22">
        <f t="shared" ref="G108:G171" si="4">IFERROR(IF(Yearending&gt;B107,F108-E108,""),"")</f>
        <v>7.5449999999999999</v>
      </c>
      <c r="H108" s="22">
        <f>IFERROR(IF(Yearending&gt;B107,'5. Historical demand'!F108-'5. Historical demand'!C108-'5. Historical demand'!D108,""),"")</f>
        <v>11.225</v>
      </c>
      <c r="I108" s="22">
        <f t="shared" ref="I108:I171" si="5">IFERROR(IF(Yearending&gt;B107,C108+D108-E108,""),"")</f>
        <v>-3.68</v>
      </c>
    </row>
    <row r="109" spans="2:9" x14ac:dyDescent="0.2">
      <c r="B109" s="203">
        <f t="shared" si="3"/>
        <v>45540</v>
      </c>
      <c r="C109" s="92">
        <v>1.7749999999999999</v>
      </c>
      <c r="D109" s="92"/>
      <c r="E109" s="92">
        <v>4.4980000000000002</v>
      </c>
      <c r="F109" s="92">
        <v>13</v>
      </c>
      <c r="G109" s="22">
        <f t="shared" si="4"/>
        <v>8.5019999999999989</v>
      </c>
      <c r="H109" s="22">
        <f>IFERROR(IF(Yearending&gt;B108,'5. Historical demand'!F109-'5. Historical demand'!C109-'5. Historical demand'!D109,""),"")</f>
        <v>11.225</v>
      </c>
      <c r="I109" s="22">
        <f t="shared" si="5"/>
        <v>-2.7230000000000003</v>
      </c>
    </row>
    <row r="110" spans="2:9" x14ac:dyDescent="0.2">
      <c r="B110" s="203">
        <f t="shared" si="3"/>
        <v>45541</v>
      </c>
      <c r="C110" s="92">
        <v>1.7749999999999999</v>
      </c>
      <c r="D110" s="92"/>
      <c r="E110" s="92">
        <v>4.1340000000000003</v>
      </c>
      <c r="F110" s="92">
        <v>13</v>
      </c>
      <c r="G110" s="22">
        <f t="shared" si="4"/>
        <v>8.8659999999999997</v>
      </c>
      <c r="H110" s="22">
        <f>IFERROR(IF(Yearending&gt;B109,'5. Historical demand'!F110-'5. Historical demand'!C110-'5. Historical demand'!D110,""),"")</f>
        <v>11.225</v>
      </c>
      <c r="I110" s="22">
        <f t="shared" si="5"/>
        <v>-2.3590000000000004</v>
      </c>
    </row>
    <row r="111" spans="2:9" x14ac:dyDescent="0.2">
      <c r="B111" s="203">
        <f t="shared" si="3"/>
        <v>45542</v>
      </c>
      <c r="C111" s="92">
        <v>1.7749999999999999</v>
      </c>
      <c r="D111" s="92"/>
      <c r="E111" s="92">
        <v>3.343</v>
      </c>
      <c r="F111" s="92">
        <v>13</v>
      </c>
      <c r="G111" s="22">
        <f t="shared" si="4"/>
        <v>9.657</v>
      </c>
      <c r="H111" s="22">
        <f>IFERROR(IF(Yearending&gt;B110,'5. Historical demand'!F111-'5. Historical demand'!C111-'5. Historical demand'!D111,""),"")</f>
        <v>11.225</v>
      </c>
      <c r="I111" s="22">
        <f t="shared" si="5"/>
        <v>-1.5680000000000001</v>
      </c>
    </row>
    <row r="112" spans="2:9" x14ac:dyDescent="0.2">
      <c r="B112" s="203">
        <f t="shared" si="3"/>
        <v>45543</v>
      </c>
      <c r="C112" s="92">
        <v>1.7749999999999999</v>
      </c>
      <c r="D112" s="92"/>
      <c r="E112" s="92">
        <v>2.1339999999999999</v>
      </c>
      <c r="F112" s="92">
        <v>13</v>
      </c>
      <c r="G112" s="22">
        <f t="shared" si="4"/>
        <v>10.866</v>
      </c>
      <c r="H112" s="22">
        <f>IFERROR(IF(Yearending&gt;B111,'5. Historical demand'!F112-'5. Historical demand'!C112-'5. Historical demand'!D112,""),"")</f>
        <v>11.225</v>
      </c>
      <c r="I112" s="22">
        <f t="shared" si="5"/>
        <v>-0.35899999999999999</v>
      </c>
    </row>
    <row r="113" spans="2:9" x14ac:dyDescent="0.2">
      <c r="B113" s="203">
        <f t="shared" si="3"/>
        <v>45544</v>
      </c>
      <c r="C113" s="92">
        <v>1.7749999999999999</v>
      </c>
      <c r="D113" s="92"/>
      <c r="E113" s="92">
        <v>4.01</v>
      </c>
      <c r="F113" s="92">
        <v>13</v>
      </c>
      <c r="G113" s="22">
        <f t="shared" si="4"/>
        <v>8.99</v>
      </c>
      <c r="H113" s="22">
        <f>IFERROR(IF(Yearending&gt;B112,'5. Historical demand'!F113-'5. Historical demand'!C113-'5. Historical demand'!D113,""),"")</f>
        <v>11.225</v>
      </c>
      <c r="I113" s="22">
        <f t="shared" si="5"/>
        <v>-2.2349999999999999</v>
      </c>
    </row>
    <row r="114" spans="2:9" x14ac:dyDescent="0.2">
      <c r="B114" s="203">
        <f t="shared" si="3"/>
        <v>45545</v>
      </c>
      <c r="C114" s="92">
        <v>1.7749999999999999</v>
      </c>
      <c r="D114" s="92"/>
      <c r="E114" s="92">
        <v>4.6630000000000003</v>
      </c>
      <c r="F114" s="92">
        <v>13</v>
      </c>
      <c r="G114" s="22">
        <f t="shared" si="4"/>
        <v>8.3369999999999997</v>
      </c>
      <c r="H114" s="22">
        <f>IFERROR(IF(Yearending&gt;B113,'5. Historical demand'!F114-'5. Historical demand'!C114-'5. Historical demand'!D114,""),"")</f>
        <v>11.225</v>
      </c>
      <c r="I114" s="22">
        <f t="shared" si="5"/>
        <v>-2.8880000000000003</v>
      </c>
    </row>
    <row r="115" spans="2:9" x14ac:dyDescent="0.2">
      <c r="B115" s="203">
        <f t="shared" si="3"/>
        <v>45546</v>
      </c>
      <c r="C115" s="92">
        <v>1.7749999999999999</v>
      </c>
      <c r="D115" s="92"/>
      <c r="E115" s="92">
        <v>4.8339999999999996</v>
      </c>
      <c r="F115" s="92">
        <v>13</v>
      </c>
      <c r="G115" s="22">
        <f t="shared" si="4"/>
        <v>8.1660000000000004</v>
      </c>
      <c r="H115" s="22">
        <f>IFERROR(IF(Yearending&gt;B114,'5. Historical demand'!F115-'5. Historical demand'!C115-'5. Historical demand'!D115,""),"")</f>
        <v>11.225</v>
      </c>
      <c r="I115" s="22">
        <f t="shared" si="5"/>
        <v>-3.0589999999999997</v>
      </c>
    </row>
    <row r="116" spans="2:9" x14ac:dyDescent="0.2">
      <c r="B116" s="203">
        <f t="shared" si="3"/>
        <v>45547</v>
      </c>
      <c r="C116" s="92">
        <v>1.7749999999999999</v>
      </c>
      <c r="D116" s="92"/>
      <c r="E116" s="92">
        <v>3.9369999999999998</v>
      </c>
      <c r="F116" s="92">
        <v>13</v>
      </c>
      <c r="G116" s="22">
        <f t="shared" si="4"/>
        <v>9.0630000000000006</v>
      </c>
      <c r="H116" s="22">
        <f>IFERROR(IF(Yearending&gt;B115,'5. Historical demand'!F116-'5. Historical demand'!C116-'5. Historical demand'!D116,""),"")</f>
        <v>11.225</v>
      </c>
      <c r="I116" s="22">
        <f t="shared" si="5"/>
        <v>-2.1619999999999999</v>
      </c>
    </row>
    <row r="117" spans="2:9" x14ac:dyDescent="0.2">
      <c r="B117" s="203">
        <f t="shared" si="3"/>
        <v>45548</v>
      </c>
      <c r="C117" s="92">
        <v>1.7749999999999999</v>
      </c>
      <c r="D117" s="92"/>
      <c r="E117" s="92">
        <v>4.3789999999999996</v>
      </c>
      <c r="F117" s="92">
        <v>13</v>
      </c>
      <c r="G117" s="22">
        <f t="shared" si="4"/>
        <v>8.6210000000000004</v>
      </c>
      <c r="H117" s="22">
        <f>IFERROR(IF(Yearending&gt;B116,'5. Historical demand'!F117-'5. Historical demand'!C117-'5. Historical demand'!D117,""),"")</f>
        <v>11.225</v>
      </c>
      <c r="I117" s="22">
        <f t="shared" si="5"/>
        <v>-2.6039999999999996</v>
      </c>
    </row>
    <row r="118" spans="2:9" x14ac:dyDescent="0.2">
      <c r="B118" s="203">
        <f t="shared" si="3"/>
        <v>45549</v>
      </c>
      <c r="C118" s="92">
        <v>1.7749999999999999</v>
      </c>
      <c r="D118" s="92"/>
      <c r="E118" s="92">
        <v>4.9000000000000004</v>
      </c>
      <c r="F118" s="92">
        <v>13</v>
      </c>
      <c r="G118" s="22">
        <f t="shared" si="4"/>
        <v>8.1</v>
      </c>
      <c r="H118" s="22">
        <f>IFERROR(IF(Yearending&gt;B117,'5. Historical demand'!F118-'5. Historical demand'!C118-'5. Historical demand'!D118,""),"")</f>
        <v>11.225</v>
      </c>
      <c r="I118" s="22">
        <f t="shared" si="5"/>
        <v>-3.1250000000000004</v>
      </c>
    </row>
    <row r="119" spans="2:9" x14ac:dyDescent="0.2">
      <c r="B119" s="203">
        <f t="shared" si="3"/>
        <v>45550</v>
      </c>
      <c r="C119" s="92">
        <v>1.7749999999999999</v>
      </c>
      <c r="D119" s="92"/>
      <c r="E119" s="92">
        <v>2.6539999999999999</v>
      </c>
      <c r="F119" s="92">
        <v>13</v>
      </c>
      <c r="G119" s="22">
        <f t="shared" si="4"/>
        <v>10.346</v>
      </c>
      <c r="H119" s="22">
        <f>IFERROR(IF(Yearending&gt;B118,'5. Historical demand'!F119-'5. Historical demand'!C119-'5. Historical demand'!D119,""),"")</f>
        <v>11.225</v>
      </c>
      <c r="I119" s="22">
        <f t="shared" si="5"/>
        <v>-0.879</v>
      </c>
    </row>
    <row r="120" spans="2:9" x14ac:dyDescent="0.2">
      <c r="B120" s="203">
        <f t="shared" si="3"/>
        <v>45551</v>
      </c>
      <c r="C120" s="92">
        <v>1.7749999999999999</v>
      </c>
      <c r="D120" s="92"/>
      <c r="E120" s="92">
        <v>3.69</v>
      </c>
      <c r="F120" s="92">
        <v>13</v>
      </c>
      <c r="G120" s="22">
        <f t="shared" si="4"/>
        <v>9.31</v>
      </c>
      <c r="H120" s="22">
        <f>IFERROR(IF(Yearending&gt;B119,'5. Historical demand'!F120-'5. Historical demand'!C120-'5. Historical demand'!D120,""),"")</f>
        <v>11.225</v>
      </c>
      <c r="I120" s="22">
        <f t="shared" si="5"/>
        <v>-1.915</v>
      </c>
    </row>
    <row r="121" spans="2:9" x14ac:dyDescent="0.2">
      <c r="B121" s="203">
        <f t="shared" si="3"/>
        <v>45552</v>
      </c>
      <c r="C121" s="92">
        <v>1.7749999999999999</v>
      </c>
      <c r="D121" s="92"/>
      <c r="E121" s="92">
        <v>5.0010000000000003</v>
      </c>
      <c r="F121" s="92">
        <v>13</v>
      </c>
      <c r="G121" s="22">
        <f t="shared" si="4"/>
        <v>7.9989999999999997</v>
      </c>
      <c r="H121" s="22">
        <f>IFERROR(IF(Yearending&gt;B120,'5. Historical demand'!F121-'5. Historical demand'!C121-'5. Historical demand'!D121,""),"")</f>
        <v>11.225</v>
      </c>
      <c r="I121" s="22">
        <f t="shared" si="5"/>
        <v>-3.2260000000000004</v>
      </c>
    </row>
    <row r="122" spans="2:9" x14ac:dyDescent="0.2">
      <c r="B122" s="203">
        <f t="shared" si="3"/>
        <v>45553</v>
      </c>
      <c r="C122" s="92">
        <v>1.7749999999999999</v>
      </c>
      <c r="D122" s="92"/>
      <c r="E122" s="92">
        <v>6.0970000000000004</v>
      </c>
      <c r="F122" s="92">
        <v>13</v>
      </c>
      <c r="G122" s="22">
        <f t="shared" si="4"/>
        <v>6.9029999999999996</v>
      </c>
      <c r="H122" s="22">
        <f>IFERROR(IF(Yearending&gt;B121,'5. Historical demand'!F122-'5. Historical demand'!C122-'5. Historical demand'!D122,""),"")</f>
        <v>11.225</v>
      </c>
      <c r="I122" s="22">
        <f t="shared" si="5"/>
        <v>-4.322000000000001</v>
      </c>
    </row>
    <row r="123" spans="2:9" x14ac:dyDescent="0.2">
      <c r="B123" s="203">
        <f t="shared" si="3"/>
        <v>45554</v>
      </c>
      <c r="C123" s="92">
        <v>1.7749999999999999</v>
      </c>
      <c r="D123" s="92"/>
      <c r="E123" s="92">
        <v>5.5410000000000004</v>
      </c>
      <c r="F123" s="92">
        <v>13</v>
      </c>
      <c r="G123" s="22">
        <f t="shared" si="4"/>
        <v>7.4589999999999996</v>
      </c>
      <c r="H123" s="22">
        <f>IFERROR(IF(Yearending&gt;B122,'5. Historical demand'!F123-'5. Historical demand'!C123-'5. Historical demand'!D123,""),"")</f>
        <v>11.225</v>
      </c>
      <c r="I123" s="22">
        <f t="shared" si="5"/>
        <v>-3.7660000000000005</v>
      </c>
    </row>
    <row r="124" spans="2:9" x14ac:dyDescent="0.2">
      <c r="B124" s="203">
        <f t="shared" si="3"/>
        <v>45555</v>
      </c>
      <c r="C124" s="92">
        <v>1.7749999999999999</v>
      </c>
      <c r="D124" s="92"/>
      <c r="E124" s="92">
        <v>4.95</v>
      </c>
      <c r="F124" s="92">
        <v>13</v>
      </c>
      <c r="G124" s="22">
        <f t="shared" si="4"/>
        <v>8.0500000000000007</v>
      </c>
      <c r="H124" s="22">
        <f>IFERROR(IF(Yearending&gt;B123,'5. Historical demand'!F124-'5. Historical demand'!C124-'5. Historical demand'!D124,""),"")</f>
        <v>11.225</v>
      </c>
      <c r="I124" s="22">
        <f t="shared" si="5"/>
        <v>-3.1750000000000003</v>
      </c>
    </row>
    <row r="125" spans="2:9" x14ac:dyDescent="0.2">
      <c r="B125" s="203">
        <f t="shared" si="3"/>
        <v>45556</v>
      </c>
      <c r="C125" s="92">
        <v>1.7749999999999999</v>
      </c>
      <c r="D125" s="92"/>
      <c r="E125" s="92">
        <v>3.645</v>
      </c>
      <c r="F125" s="92">
        <v>13</v>
      </c>
      <c r="G125" s="22">
        <f t="shared" si="4"/>
        <v>9.3550000000000004</v>
      </c>
      <c r="H125" s="22">
        <f>IFERROR(IF(Yearending&gt;B124,'5. Historical demand'!F125-'5. Historical demand'!C125-'5. Historical demand'!D125,""),"")</f>
        <v>11.225</v>
      </c>
      <c r="I125" s="22">
        <f t="shared" si="5"/>
        <v>-1.87</v>
      </c>
    </row>
    <row r="126" spans="2:9" x14ac:dyDescent="0.2">
      <c r="B126" s="203">
        <f t="shared" si="3"/>
        <v>45557</v>
      </c>
      <c r="C126" s="92">
        <v>1.7749999999999999</v>
      </c>
      <c r="D126" s="92"/>
      <c r="E126" s="92">
        <v>4.4640000000000004</v>
      </c>
      <c r="F126" s="92">
        <v>13</v>
      </c>
      <c r="G126" s="22">
        <f t="shared" si="4"/>
        <v>8.5359999999999996</v>
      </c>
      <c r="H126" s="22">
        <f>IFERROR(IF(Yearending&gt;B125,'5. Historical demand'!F126-'5. Historical demand'!C126-'5. Historical demand'!D126,""),"")</f>
        <v>11.225</v>
      </c>
      <c r="I126" s="22">
        <f t="shared" si="5"/>
        <v>-2.6890000000000005</v>
      </c>
    </row>
    <row r="127" spans="2:9" x14ac:dyDescent="0.2">
      <c r="B127" s="203">
        <f t="shared" si="3"/>
        <v>45558</v>
      </c>
      <c r="C127" s="92">
        <v>1.7749999999999999</v>
      </c>
      <c r="D127" s="92"/>
      <c r="E127" s="92">
        <v>3.9729999999999999</v>
      </c>
      <c r="F127" s="92">
        <v>13</v>
      </c>
      <c r="G127" s="22">
        <f t="shared" si="4"/>
        <v>9.027000000000001</v>
      </c>
      <c r="H127" s="22">
        <f>IFERROR(IF(Yearending&gt;B126,'5. Historical demand'!F127-'5. Historical demand'!C127-'5. Historical demand'!D127,""),"")</f>
        <v>11.225</v>
      </c>
      <c r="I127" s="22">
        <f t="shared" si="5"/>
        <v>-2.198</v>
      </c>
    </row>
    <row r="128" spans="2:9" x14ac:dyDescent="0.2">
      <c r="B128" s="203">
        <f t="shared" si="3"/>
        <v>45559</v>
      </c>
      <c r="C128" s="92">
        <v>1.7749999999999999</v>
      </c>
      <c r="D128" s="92"/>
      <c r="E128" s="92">
        <v>4.4560000000000004</v>
      </c>
      <c r="F128" s="92">
        <v>13</v>
      </c>
      <c r="G128" s="22">
        <f t="shared" si="4"/>
        <v>8.5440000000000005</v>
      </c>
      <c r="H128" s="22">
        <f>IFERROR(IF(Yearending&gt;B127,'5. Historical demand'!F128-'5. Historical demand'!C128-'5. Historical demand'!D128,""),"")</f>
        <v>11.225</v>
      </c>
      <c r="I128" s="22">
        <f t="shared" si="5"/>
        <v>-2.6810000000000005</v>
      </c>
    </row>
    <row r="129" spans="2:9" x14ac:dyDescent="0.2">
      <c r="B129" s="203">
        <f t="shared" si="3"/>
        <v>45560</v>
      </c>
      <c r="C129" s="92">
        <v>1.7749999999999999</v>
      </c>
      <c r="D129" s="92"/>
      <c r="E129" s="92">
        <v>3.6539999999999999</v>
      </c>
      <c r="F129" s="92">
        <v>13</v>
      </c>
      <c r="G129" s="22">
        <f t="shared" si="4"/>
        <v>9.3460000000000001</v>
      </c>
      <c r="H129" s="22">
        <f>IFERROR(IF(Yearending&gt;B128,'5. Historical demand'!F129-'5. Historical demand'!C129-'5. Historical demand'!D129,""),"")</f>
        <v>11.225</v>
      </c>
      <c r="I129" s="22">
        <f t="shared" si="5"/>
        <v>-1.879</v>
      </c>
    </row>
    <row r="130" spans="2:9" x14ac:dyDescent="0.2">
      <c r="B130" s="203">
        <f t="shared" si="3"/>
        <v>45561</v>
      </c>
      <c r="C130" s="92">
        <v>1.7749999999999999</v>
      </c>
      <c r="D130" s="92"/>
      <c r="E130" s="92">
        <v>3.0840000000000001</v>
      </c>
      <c r="F130" s="92">
        <v>13</v>
      </c>
      <c r="G130" s="22">
        <f t="shared" si="4"/>
        <v>9.9160000000000004</v>
      </c>
      <c r="H130" s="22">
        <f>IFERROR(IF(Yearending&gt;B129,'5. Historical demand'!F130-'5. Historical demand'!C130-'5. Historical demand'!D130,""),"")</f>
        <v>11.225</v>
      </c>
      <c r="I130" s="22">
        <f t="shared" si="5"/>
        <v>-1.3090000000000002</v>
      </c>
    </row>
    <row r="131" spans="2:9" x14ac:dyDescent="0.2">
      <c r="B131" s="203">
        <f t="shared" si="3"/>
        <v>45562</v>
      </c>
      <c r="C131" s="92">
        <v>1.7749999999999999</v>
      </c>
      <c r="D131" s="92"/>
      <c r="E131" s="92">
        <v>4.2969999999999997</v>
      </c>
      <c r="F131" s="92">
        <v>13</v>
      </c>
      <c r="G131" s="22">
        <f t="shared" si="4"/>
        <v>8.7029999999999994</v>
      </c>
      <c r="H131" s="22">
        <f>IFERROR(IF(Yearending&gt;B130,'5. Historical demand'!F131-'5. Historical demand'!C131-'5. Historical demand'!D131,""),"")</f>
        <v>11.225</v>
      </c>
      <c r="I131" s="22">
        <f t="shared" si="5"/>
        <v>-2.5219999999999998</v>
      </c>
    </row>
    <row r="132" spans="2:9" x14ac:dyDescent="0.2">
      <c r="B132" s="203">
        <f t="shared" si="3"/>
        <v>45563</v>
      </c>
      <c r="C132" s="92">
        <v>1.7749999999999999</v>
      </c>
      <c r="D132" s="92"/>
      <c r="E132" s="92">
        <v>3.734</v>
      </c>
      <c r="F132" s="92">
        <v>13</v>
      </c>
      <c r="G132" s="22">
        <f t="shared" si="4"/>
        <v>9.266</v>
      </c>
      <c r="H132" s="22">
        <f>IFERROR(IF(Yearending&gt;B131,'5. Historical demand'!F132-'5. Historical demand'!C132-'5. Historical demand'!D132,""),"")</f>
        <v>11.225</v>
      </c>
      <c r="I132" s="22">
        <f t="shared" si="5"/>
        <v>-1.9590000000000001</v>
      </c>
    </row>
    <row r="133" spans="2:9" x14ac:dyDescent="0.2">
      <c r="B133" s="203">
        <f t="shared" si="3"/>
        <v>45564</v>
      </c>
      <c r="C133" s="92">
        <v>1.7749999999999999</v>
      </c>
      <c r="D133" s="92"/>
      <c r="E133" s="92">
        <v>2.0230000000000001</v>
      </c>
      <c r="F133" s="92">
        <v>13</v>
      </c>
      <c r="G133" s="22">
        <f t="shared" si="4"/>
        <v>10.977</v>
      </c>
      <c r="H133" s="22">
        <f>IFERROR(IF(Yearending&gt;B132,'5. Historical demand'!F133-'5. Historical demand'!C133-'5. Historical demand'!D133,""),"")</f>
        <v>11.225</v>
      </c>
      <c r="I133" s="22">
        <f t="shared" si="5"/>
        <v>-0.24800000000000022</v>
      </c>
    </row>
    <row r="134" spans="2:9" x14ac:dyDescent="0.2">
      <c r="B134" s="203">
        <f t="shared" si="3"/>
        <v>45565</v>
      </c>
      <c r="C134" s="92">
        <v>1.7749999999999999</v>
      </c>
      <c r="D134" s="92"/>
      <c r="E134" s="92">
        <v>6.15</v>
      </c>
      <c r="F134" s="92">
        <v>13</v>
      </c>
      <c r="G134" s="22">
        <f t="shared" si="4"/>
        <v>6.85</v>
      </c>
      <c r="H134" s="22">
        <f>IFERROR(IF(Yearending&gt;B133,'5. Historical demand'!F134-'5. Historical demand'!C134-'5. Historical demand'!D134,""),"")</f>
        <v>11.225</v>
      </c>
      <c r="I134" s="22">
        <f t="shared" si="5"/>
        <v>-4.375</v>
      </c>
    </row>
    <row r="135" spans="2:9" x14ac:dyDescent="0.2">
      <c r="B135" s="203">
        <f t="shared" si="3"/>
        <v>45566</v>
      </c>
      <c r="C135" s="92">
        <v>1.7749999999999999</v>
      </c>
      <c r="D135" s="92"/>
      <c r="E135" s="92">
        <v>3.8879999999999999</v>
      </c>
      <c r="F135" s="92">
        <v>13</v>
      </c>
      <c r="G135" s="22">
        <f t="shared" si="4"/>
        <v>9.1120000000000001</v>
      </c>
      <c r="H135" s="22">
        <f>IFERROR(IF(Yearending&gt;B134,'5. Historical demand'!F135-'5. Historical demand'!C135-'5. Historical demand'!D135,""),"")</f>
        <v>11.225</v>
      </c>
      <c r="I135" s="22">
        <f t="shared" si="5"/>
        <v>-2.113</v>
      </c>
    </row>
    <row r="136" spans="2:9" x14ac:dyDescent="0.2">
      <c r="B136" s="203">
        <f t="shared" si="3"/>
        <v>45567</v>
      </c>
      <c r="C136" s="92">
        <v>1.7749999999999999</v>
      </c>
      <c r="D136" s="92"/>
      <c r="E136" s="92">
        <v>3.3610000000000002</v>
      </c>
      <c r="F136" s="92">
        <v>13</v>
      </c>
      <c r="G136" s="22">
        <f t="shared" si="4"/>
        <v>9.6389999999999993</v>
      </c>
      <c r="H136" s="22">
        <f>IFERROR(IF(Yearending&gt;B135,'5. Historical demand'!F136-'5. Historical demand'!C136-'5. Historical demand'!D136,""),"")</f>
        <v>11.225</v>
      </c>
      <c r="I136" s="22">
        <f t="shared" si="5"/>
        <v>-1.5860000000000003</v>
      </c>
    </row>
    <row r="137" spans="2:9" x14ac:dyDescent="0.2">
      <c r="B137" s="203">
        <f t="shared" si="3"/>
        <v>45568</v>
      </c>
      <c r="C137" s="92">
        <v>1.7749999999999999</v>
      </c>
      <c r="D137" s="92"/>
      <c r="E137" s="92">
        <v>2.7639999999999998</v>
      </c>
      <c r="F137" s="92">
        <v>13</v>
      </c>
      <c r="G137" s="22">
        <f t="shared" si="4"/>
        <v>10.236000000000001</v>
      </c>
      <c r="H137" s="22">
        <f>IFERROR(IF(Yearending&gt;B136,'5. Historical demand'!F137-'5. Historical demand'!C137-'5. Historical demand'!D137,""),"")</f>
        <v>11.225</v>
      </c>
      <c r="I137" s="22">
        <f t="shared" si="5"/>
        <v>-0.98899999999999988</v>
      </c>
    </row>
    <row r="138" spans="2:9" x14ac:dyDescent="0.2">
      <c r="B138" s="203">
        <f t="shared" si="3"/>
        <v>45569</v>
      </c>
      <c r="C138" s="92">
        <v>1.7749999999999999</v>
      </c>
      <c r="D138" s="92"/>
      <c r="E138" s="92">
        <v>4.0780000000000003</v>
      </c>
      <c r="F138" s="92">
        <v>13</v>
      </c>
      <c r="G138" s="22">
        <f t="shared" si="4"/>
        <v>8.9220000000000006</v>
      </c>
      <c r="H138" s="22">
        <f>IFERROR(IF(Yearending&gt;B137,'5. Historical demand'!F138-'5. Historical demand'!C138-'5. Historical demand'!D138,""),"")</f>
        <v>11.225</v>
      </c>
      <c r="I138" s="22">
        <f t="shared" si="5"/>
        <v>-2.3030000000000004</v>
      </c>
    </row>
    <row r="139" spans="2:9" x14ac:dyDescent="0.2">
      <c r="B139" s="203">
        <f t="shared" si="3"/>
        <v>45570</v>
      </c>
      <c r="C139" s="92">
        <v>1.7749999999999999</v>
      </c>
      <c r="D139" s="92"/>
      <c r="E139" s="92">
        <v>3.8140000000000001</v>
      </c>
      <c r="F139" s="92">
        <v>13</v>
      </c>
      <c r="G139" s="22">
        <f t="shared" si="4"/>
        <v>9.1859999999999999</v>
      </c>
      <c r="H139" s="22">
        <f>IFERROR(IF(Yearending&gt;B138,'5. Historical demand'!F139-'5. Historical demand'!C139-'5. Historical demand'!D139,""),"")</f>
        <v>11.225</v>
      </c>
      <c r="I139" s="22">
        <f t="shared" si="5"/>
        <v>-2.0390000000000001</v>
      </c>
    </row>
    <row r="140" spans="2:9" x14ac:dyDescent="0.2">
      <c r="B140" s="203">
        <f t="shared" si="3"/>
        <v>45571</v>
      </c>
      <c r="C140" s="92">
        <v>1.7749999999999999</v>
      </c>
      <c r="D140" s="92"/>
      <c r="E140" s="92">
        <v>2.694</v>
      </c>
      <c r="F140" s="92">
        <v>13</v>
      </c>
      <c r="G140" s="22">
        <f t="shared" si="4"/>
        <v>10.306000000000001</v>
      </c>
      <c r="H140" s="22">
        <f>IFERROR(IF(Yearending&gt;B139,'5. Historical demand'!F140-'5. Historical demand'!C140-'5. Historical demand'!D140,""),"")</f>
        <v>11.225</v>
      </c>
      <c r="I140" s="22">
        <f t="shared" si="5"/>
        <v>-0.91900000000000004</v>
      </c>
    </row>
    <row r="141" spans="2:9" x14ac:dyDescent="0.2">
      <c r="B141" s="203">
        <f t="shared" si="3"/>
        <v>45572</v>
      </c>
      <c r="C141" s="92">
        <v>1.7749999999999999</v>
      </c>
      <c r="D141" s="92"/>
      <c r="E141" s="92">
        <v>1.1919999999999999</v>
      </c>
      <c r="F141" s="92">
        <v>13</v>
      </c>
      <c r="G141" s="22">
        <f t="shared" si="4"/>
        <v>11.808</v>
      </c>
      <c r="H141" s="22">
        <f>IFERROR(IF(Yearending&gt;B140,'5. Historical demand'!F141-'5. Historical demand'!C141-'5. Historical demand'!D141,""),"")</f>
        <v>11.225</v>
      </c>
      <c r="I141" s="22">
        <f t="shared" si="5"/>
        <v>0.58299999999999996</v>
      </c>
    </row>
    <row r="142" spans="2:9" x14ac:dyDescent="0.2">
      <c r="B142" s="203">
        <f t="shared" si="3"/>
        <v>45573</v>
      </c>
      <c r="C142" s="92">
        <v>1.7749999999999999</v>
      </c>
      <c r="D142" s="92"/>
      <c r="E142" s="92">
        <v>2.1640000000000001</v>
      </c>
      <c r="F142" s="92">
        <v>13</v>
      </c>
      <c r="G142" s="22">
        <f t="shared" si="4"/>
        <v>10.836</v>
      </c>
      <c r="H142" s="22">
        <f>IFERROR(IF(Yearending&gt;B141,'5. Historical demand'!F142-'5. Historical demand'!C142-'5. Historical demand'!D142,""),"")</f>
        <v>11.225</v>
      </c>
      <c r="I142" s="22">
        <f t="shared" si="5"/>
        <v>-0.38900000000000023</v>
      </c>
    </row>
    <row r="143" spans="2:9" x14ac:dyDescent="0.2">
      <c r="B143" s="203">
        <f t="shared" si="3"/>
        <v>45574</v>
      </c>
      <c r="C143" s="92">
        <v>1.7749999999999999</v>
      </c>
      <c r="D143" s="92"/>
      <c r="E143" s="92">
        <v>2.391</v>
      </c>
      <c r="F143" s="92">
        <v>13</v>
      </c>
      <c r="G143" s="22">
        <f t="shared" si="4"/>
        <v>10.609</v>
      </c>
      <c r="H143" s="22">
        <f>IFERROR(IF(Yearending&gt;B142,'5. Historical demand'!F143-'5. Historical demand'!C143-'5. Historical demand'!D143,""),"")</f>
        <v>11.225</v>
      </c>
      <c r="I143" s="22">
        <f t="shared" si="5"/>
        <v>-0.6160000000000001</v>
      </c>
    </row>
    <row r="144" spans="2:9" x14ac:dyDescent="0.2">
      <c r="B144" s="203">
        <f t="shared" si="3"/>
        <v>45575</v>
      </c>
      <c r="C144" s="92">
        <v>1.7749999999999999</v>
      </c>
      <c r="D144" s="92"/>
      <c r="E144" s="92">
        <v>3.1259999999999999</v>
      </c>
      <c r="F144" s="92">
        <v>13</v>
      </c>
      <c r="G144" s="22">
        <f t="shared" si="4"/>
        <v>9.8740000000000006</v>
      </c>
      <c r="H144" s="22">
        <f>IFERROR(IF(Yearending&gt;B143,'5. Historical demand'!F144-'5. Historical demand'!C144-'5. Historical demand'!D144,""),"")</f>
        <v>11.225</v>
      </c>
      <c r="I144" s="22">
        <f t="shared" si="5"/>
        <v>-1.351</v>
      </c>
    </row>
    <row r="145" spans="2:9" x14ac:dyDescent="0.2">
      <c r="B145" s="203">
        <f t="shared" si="3"/>
        <v>45576</v>
      </c>
      <c r="C145" s="92">
        <v>1.7749999999999999</v>
      </c>
      <c r="D145" s="92"/>
      <c r="E145" s="92">
        <v>3.6509999999999998</v>
      </c>
      <c r="F145" s="92">
        <v>13</v>
      </c>
      <c r="G145" s="22">
        <f t="shared" si="4"/>
        <v>9.3490000000000002</v>
      </c>
      <c r="H145" s="22">
        <f>IFERROR(IF(Yearending&gt;B144,'5. Historical demand'!F145-'5. Historical demand'!C145-'5. Historical demand'!D145,""),"")</f>
        <v>11.225</v>
      </c>
      <c r="I145" s="22">
        <f t="shared" si="5"/>
        <v>-1.8759999999999999</v>
      </c>
    </row>
    <row r="146" spans="2:9" x14ac:dyDescent="0.2">
      <c r="B146" s="203">
        <f t="shared" si="3"/>
        <v>45577</v>
      </c>
      <c r="C146" s="92">
        <v>1.7749999999999999</v>
      </c>
      <c r="D146" s="92"/>
      <c r="E146" s="92">
        <v>3.0449999999999999</v>
      </c>
      <c r="F146" s="92">
        <v>13</v>
      </c>
      <c r="G146" s="22">
        <f t="shared" si="4"/>
        <v>9.9550000000000001</v>
      </c>
      <c r="H146" s="22">
        <f>IFERROR(IF(Yearending&gt;B145,'5. Historical demand'!F146-'5. Historical demand'!C146-'5. Historical demand'!D146,""),"")</f>
        <v>11.225</v>
      </c>
      <c r="I146" s="22">
        <f t="shared" si="5"/>
        <v>-1.27</v>
      </c>
    </row>
    <row r="147" spans="2:9" x14ac:dyDescent="0.2">
      <c r="B147" s="203">
        <f t="shared" si="3"/>
        <v>45578</v>
      </c>
      <c r="C147" s="92">
        <v>1.7749999999999999</v>
      </c>
      <c r="D147" s="92"/>
      <c r="E147" s="92">
        <v>3.379</v>
      </c>
      <c r="F147" s="92">
        <v>13</v>
      </c>
      <c r="G147" s="22">
        <f t="shared" si="4"/>
        <v>9.6210000000000004</v>
      </c>
      <c r="H147" s="22">
        <f>IFERROR(IF(Yearending&gt;B146,'5. Historical demand'!F147-'5. Historical demand'!C147-'5. Historical demand'!D147,""),"")</f>
        <v>11.225</v>
      </c>
      <c r="I147" s="22">
        <f t="shared" si="5"/>
        <v>-1.6040000000000001</v>
      </c>
    </row>
    <row r="148" spans="2:9" x14ac:dyDescent="0.2">
      <c r="B148" s="203">
        <f t="shared" si="3"/>
        <v>45579</v>
      </c>
      <c r="C148" s="92">
        <v>1.7749999999999999</v>
      </c>
      <c r="D148" s="92"/>
      <c r="E148" s="92">
        <v>2.7170000000000001</v>
      </c>
      <c r="F148" s="92">
        <v>13</v>
      </c>
      <c r="G148" s="22">
        <f t="shared" si="4"/>
        <v>10.282999999999999</v>
      </c>
      <c r="H148" s="22">
        <f>IFERROR(IF(Yearending&gt;B147,'5. Historical demand'!F148-'5. Historical demand'!C148-'5. Historical demand'!D148,""),"")</f>
        <v>11.225</v>
      </c>
      <c r="I148" s="22">
        <f t="shared" si="5"/>
        <v>-0.94200000000000017</v>
      </c>
    </row>
    <row r="149" spans="2:9" x14ac:dyDescent="0.2">
      <c r="B149" s="203">
        <f t="shared" si="3"/>
        <v>45580</v>
      </c>
      <c r="C149" s="92">
        <v>1.7749999999999999</v>
      </c>
      <c r="D149" s="92"/>
      <c r="E149" s="92">
        <v>2.5630000000000002</v>
      </c>
      <c r="F149" s="92">
        <v>13</v>
      </c>
      <c r="G149" s="22">
        <f t="shared" si="4"/>
        <v>10.436999999999999</v>
      </c>
      <c r="H149" s="22">
        <f>IFERROR(IF(Yearending&gt;B148,'5. Historical demand'!F149-'5. Historical demand'!C149-'5. Historical demand'!D149,""),"")</f>
        <v>11.225</v>
      </c>
      <c r="I149" s="22">
        <f t="shared" si="5"/>
        <v>-0.78800000000000026</v>
      </c>
    </row>
    <row r="150" spans="2:9" x14ac:dyDescent="0.2">
      <c r="B150" s="203">
        <f t="shared" si="3"/>
        <v>45581</v>
      </c>
      <c r="C150" s="92">
        <v>1.7749999999999999</v>
      </c>
      <c r="D150" s="92"/>
      <c r="E150" s="92">
        <v>3.923</v>
      </c>
      <c r="F150" s="92">
        <v>13</v>
      </c>
      <c r="G150" s="22">
        <f t="shared" si="4"/>
        <v>9.077</v>
      </c>
      <c r="H150" s="22">
        <f>IFERROR(IF(Yearending&gt;B149,'5. Historical demand'!F150-'5. Historical demand'!C150-'5. Historical demand'!D150,""),"")</f>
        <v>11.225</v>
      </c>
      <c r="I150" s="22">
        <f t="shared" si="5"/>
        <v>-2.1480000000000001</v>
      </c>
    </row>
    <row r="151" spans="2:9" x14ac:dyDescent="0.2">
      <c r="B151" s="203">
        <f t="shared" si="3"/>
        <v>45582</v>
      </c>
      <c r="C151" s="92">
        <v>1.7749999999999999</v>
      </c>
      <c r="D151" s="92"/>
      <c r="E151" s="92">
        <v>4.04</v>
      </c>
      <c r="F151" s="92">
        <v>13</v>
      </c>
      <c r="G151" s="22">
        <f t="shared" si="4"/>
        <v>8.9600000000000009</v>
      </c>
      <c r="H151" s="22">
        <f>IFERROR(IF(Yearending&gt;B150,'5. Historical demand'!F151-'5. Historical demand'!C151-'5. Historical demand'!D151,""),"")</f>
        <v>11.225</v>
      </c>
      <c r="I151" s="22">
        <f t="shared" si="5"/>
        <v>-2.2650000000000001</v>
      </c>
    </row>
    <row r="152" spans="2:9" x14ac:dyDescent="0.2">
      <c r="B152" s="203">
        <f t="shared" si="3"/>
        <v>45583</v>
      </c>
      <c r="C152" s="92">
        <v>1.7749999999999999</v>
      </c>
      <c r="D152" s="92"/>
      <c r="E152" s="92">
        <v>3.2629999999999999</v>
      </c>
      <c r="F152" s="92">
        <v>13</v>
      </c>
      <c r="G152" s="22">
        <f t="shared" si="4"/>
        <v>9.7370000000000001</v>
      </c>
      <c r="H152" s="22">
        <f>IFERROR(IF(Yearending&gt;B151,'5. Historical demand'!F152-'5. Historical demand'!C152-'5. Historical demand'!D152,""),"")</f>
        <v>11.225</v>
      </c>
      <c r="I152" s="22">
        <f t="shared" si="5"/>
        <v>-1.488</v>
      </c>
    </row>
    <row r="153" spans="2:9" x14ac:dyDescent="0.2">
      <c r="B153" s="203">
        <f t="shared" si="3"/>
        <v>45584</v>
      </c>
      <c r="C153" s="92">
        <v>1.7749999999999999</v>
      </c>
      <c r="D153" s="92"/>
      <c r="E153" s="92">
        <v>2.2850000000000001</v>
      </c>
      <c r="F153" s="92">
        <v>13</v>
      </c>
      <c r="G153" s="22">
        <f t="shared" si="4"/>
        <v>10.715</v>
      </c>
      <c r="H153" s="22">
        <f>IFERROR(IF(Yearending&gt;B152,'5. Historical demand'!F153-'5. Historical demand'!C153-'5. Historical demand'!D153,""),"")</f>
        <v>11.225</v>
      </c>
      <c r="I153" s="22">
        <f t="shared" si="5"/>
        <v>-0.51000000000000023</v>
      </c>
    </row>
    <row r="154" spans="2:9" x14ac:dyDescent="0.2">
      <c r="B154" s="203">
        <f t="shared" si="3"/>
        <v>45585</v>
      </c>
      <c r="C154" s="92">
        <v>1.7749999999999999</v>
      </c>
      <c r="D154" s="92"/>
      <c r="E154" s="92">
        <v>1.7030000000000001</v>
      </c>
      <c r="F154" s="92">
        <v>13</v>
      </c>
      <c r="G154" s="22">
        <f t="shared" si="4"/>
        <v>11.297000000000001</v>
      </c>
      <c r="H154" s="22">
        <f>IFERROR(IF(Yearending&gt;B153,'5. Historical demand'!F154-'5. Historical demand'!C154-'5. Historical demand'!D154,""),"")</f>
        <v>11.225</v>
      </c>
      <c r="I154" s="22">
        <f t="shared" si="5"/>
        <v>7.1999999999999842E-2</v>
      </c>
    </row>
    <row r="155" spans="2:9" x14ac:dyDescent="0.2">
      <c r="B155" s="203">
        <f t="shared" si="3"/>
        <v>45586</v>
      </c>
      <c r="C155" s="92">
        <v>1.7749999999999999</v>
      </c>
      <c r="D155" s="92"/>
      <c r="E155" s="92">
        <v>3.3519999999999999</v>
      </c>
      <c r="F155" s="92">
        <v>13</v>
      </c>
      <c r="G155" s="22">
        <f t="shared" si="4"/>
        <v>9.6479999999999997</v>
      </c>
      <c r="H155" s="22">
        <f>IFERROR(IF(Yearending&gt;B154,'5. Historical demand'!F155-'5. Historical demand'!C155-'5. Historical demand'!D155,""),"")</f>
        <v>11.225</v>
      </c>
      <c r="I155" s="22">
        <f t="shared" si="5"/>
        <v>-1.577</v>
      </c>
    </row>
    <row r="156" spans="2:9" x14ac:dyDescent="0.2">
      <c r="B156" s="203">
        <f t="shared" si="3"/>
        <v>45587</v>
      </c>
      <c r="C156" s="92">
        <v>1.7749999999999999</v>
      </c>
      <c r="D156" s="92"/>
      <c r="E156" s="92">
        <v>4.1379999999999999</v>
      </c>
      <c r="F156" s="92">
        <v>13</v>
      </c>
      <c r="G156" s="22">
        <f t="shared" si="4"/>
        <v>8.8620000000000001</v>
      </c>
      <c r="H156" s="22">
        <f>IFERROR(IF(Yearending&gt;B155,'5. Historical demand'!F156-'5. Historical demand'!C156-'5. Historical demand'!D156,""),"")</f>
        <v>11.225</v>
      </c>
      <c r="I156" s="22">
        <f t="shared" si="5"/>
        <v>-2.363</v>
      </c>
    </row>
    <row r="157" spans="2:9" x14ac:dyDescent="0.2">
      <c r="B157" s="203">
        <f t="shared" si="3"/>
        <v>45588</v>
      </c>
      <c r="C157" s="92">
        <v>1.7749999999999999</v>
      </c>
      <c r="D157" s="92"/>
      <c r="E157" s="92">
        <v>3.5379999999999998</v>
      </c>
      <c r="F157" s="92">
        <v>13</v>
      </c>
      <c r="G157" s="22">
        <f t="shared" si="4"/>
        <v>9.4619999999999997</v>
      </c>
      <c r="H157" s="22">
        <f>IFERROR(IF(Yearending&gt;B156,'5. Historical demand'!F157-'5. Historical demand'!C157-'5. Historical demand'!D157,""),"")</f>
        <v>11.225</v>
      </c>
      <c r="I157" s="22">
        <f t="shared" si="5"/>
        <v>-1.7629999999999999</v>
      </c>
    </row>
    <row r="158" spans="2:9" x14ac:dyDescent="0.2">
      <c r="B158" s="203">
        <f t="shared" si="3"/>
        <v>45589</v>
      </c>
      <c r="C158" s="92">
        <v>1.7749999999999999</v>
      </c>
      <c r="D158" s="92"/>
      <c r="E158" s="92">
        <v>3.18</v>
      </c>
      <c r="F158" s="92">
        <v>13</v>
      </c>
      <c r="G158" s="22">
        <f t="shared" si="4"/>
        <v>9.82</v>
      </c>
      <c r="H158" s="22">
        <f>IFERROR(IF(Yearending&gt;B157,'5. Historical demand'!F158-'5. Historical demand'!C158-'5. Historical demand'!D158,""),"")</f>
        <v>11.225</v>
      </c>
      <c r="I158" s="22">
        <f t="shared" si="5"/>
        <v>-1.4050000000000002</v>
      </c>
    </row>
    <row r="159" spans="2:9" x14ac:dyDescent="0.2">
      <c r="B159" s="203">
        <f t="shared" si="3"/>
        <v>45590</v>
      </c>
      <c r="C159" s="92">
        <v>1.7749999999999999</v>
      </c>
      <c r="D159" s="92"/>
      <c r="E159" s="92">
        <v>3.52</v>
      </c>
      <c r="F159" s="92">
        <v>13</v>
      </c>
      <c r="G159" s="22">
        <f t="shared" si="4"/>
        <v>9.48</v>
      </c>
      <c r="H159" s="22">
        <f>IFERROR(IF(Yearending&gt;B158,'5. Historical demand'!F159-'5. Historical demand'!C159-'5. Historical demand'!D159,""),"")</f>
        <v>11.225</v>
      </c>
      <c r="I159" s="22">
        <f t="shared" si="5"/>
        <v>-1.7450000000000001</v>
      </c>
    </row>
    <row r="160" spans="2:9" x14ac:dyDescent="0.2">
      <c r="B160" s="203">
        <f t="shared" si="3"/>
        <v>45591</v>
      </c>
      <c r="C160" s="92">
        <v>1.7749999999999999</v>
      </c>
      <c r="D160" s="92"/>
      <c r="E160" s="92">
        <v>3.9220000000000002</v>
      </c>
      <c r="F160" s="92">
        <v>13</v>
      </c>
      <c r="G160" s="22">
        <f t="shared" si="4"/>
        <v>9.0779999999999994</v>
      </c>
      <c r="H160" s="22">
        <f>IFERROR(IF(Yearending&gt;B159,'5. Historical demand'!F160-'5. Historical demand'!C160-'5. Historical demand'!D160,""),"")</f>
        <v>11.225</v>
      </c>
      <c r="I160" s="22">
        <f t="shared" si="5"/>
        <v>-2.1470000000000002</v>
      </c>
    </row>
    <row r="161" spans="2:9" x14ac:dyDescent="0.2">
      <c r="B161" s="203">
        <f t="shared" si="3"/>
        <v>45592</v>
      </c>
      <c r="C161" s="92">
        <v>1.7749999999999999</v>
      </c>
      <c r="D161" s="92"/>
      <c r="E161" s="92">
        <v>2.9580000000000002</v>
      </c>
      <c r="F161" s="92">
        <v>13</v>
      </c>
      <c r="G161" s="22">
        <f t="shared" si="4"/>
        <v>10.042</v>
      </c>
      <c r="H161" s="22">
        <f>IFERROR(IF(Yearending&gt;B160,'5. Historical demand'!F161-'5. Historical demand'!C161-'5. Historical demand'!D161,""),"")</f>
        <v>11.225</v>
      </c>
      <c r="I161" s="22">
        <f t="shared" si="5"/>
        <v>-1.1830000000000003</v>
      </c>
    </row>
    <row r="162" spans="2:9" x14ac:dyDescent="0.2">
      <c r="B162" s="203">
        <f t="shared" si="3"/>
        <v>45593</v>
      </c>
      <c r="C162" s="92">
        <v>1.7749999999999999</v>
      </c>
      <c r="D162" s="92"/>
      <c r="E162" s="92">
        <v>3.0609999999999999</v>
      </c>
      <c r="F162" s="92">
        <v>13</v>
      </c>
      <c r="G162" s="22">
        <f t="shared" si="4"/>
        <v>9.9390000000000001</v>
      </c>
      <c r="H162" s="22">
        <f>IFERROR(IF(Yearending&gt;B161,'5. Historical demand'!F162-'5. Historical demand'!C162-'5. Historical demand'!D162,""),"")</f>
        <v>11.225</v>
      </c>
      <c r="I162" s="22">
        <f t="shared" si="5"/>
        <v>-1.286</v>
      </c>
    </row>
    <row r="163" spans="2:9" x14ac:dyDescent="0.2">
      <c r="B163" s="203">
        <f t="shared" si="3"/>
        <v>45594</v>
      </c>
      <c r="C163" s="92">
        <v>1.7749999999999999</v>
      </c>
      <c r="D163" s="92"/>
      <c r="E163" s="92">
        <v>4.0510000000000002</v>
      </c>
      <c r="F163" s="92">
        <v>13</v>
      </c>
      <c r="G163" s="22">
        <f t="shared" si="4"/>
        <v>8.9489999999999998</v>
      </c>
      <c r="H163" s="22">
        <f>IFERROR(IF(Yearending&gt;B162,'5. Historical demand'!F163-'5. Historical demand'!C163-'5. Historical demand'!D163,""),"")</f>
        <v>11.225</v>
      </c>
      <c r="I163" s="22">
        <f t="shared" si="5"/>
        <v>-2.2760000000000002</v>
      </c>
    </row>
    <row r="164" spans="2:9" x14ac:dyDescent="0.2">
      <c r="B164" s="203">
        <f t="shared" si="3"/>
        <v>45595</v>
      </c>
      <c r="C164" s="92">
        <v>1.7749999999999999</v>
      </c>
      <c r="D164" s="92"/>
      <c r="E164" s="92">
        <v>3.7559999999999998</v>
      </c>
      <c r="F164" s="92">
        <v>13</v>
      </c>
      <c r="G164" s="22">
        <f t="shared" si="4"/>
        <v>9.2439999999999998</v>
      </c>
      <c r="H164" s="22">
        <f>IFERROR(IF(Yearending&gt;B163,'5. Historical demand'!F164-'5. Historical demand'!C164-'5. Historical demand'!D164,""),"")</f>
        <v>11.225</v>
      </c>
      <c r="I164" s="22">
        <f t="shared" si="5"/>
        <v>-1.9809999999999999</v>
      </c>
    </row>
    <row r="165" spans="2:9" x14ac:dyDescent="0.2">
      <c r="B165" s="203">
        <f t="shared" si="3"/>
        <v>45596</v>
      </c>
      <c r="C165" s="92">
        <v>1.7749999999999999</v>
      </c>
      <c r="D165" s="92"/>
      <c r="E165" s="92">
        <v>3.2629999999999999</v>
      </c>
      <c r="F165" s="92">
        <v>13</v>
      </c>
      <c r="G165" s="22">
        <f t="shared" si="4"/>
        <v>9.7370000000000001</v>
      </c>
      <c r="H165" s="22">
        <f>IFERROR(IF(Yearending&gt;B164,'5. Historical demand'!F165-'5. Historical demand'!C165-'5. Historical demand'!D165,""),"")</f>
        <v>11.225</v>
      </c>
      <c r="I165" s="22">
        <f t="shared" si="5"/>
        <v>-1.488</v>
      </c>
    </row>
    <row r="166" spans="2:9" x14ac:dyDescent="0.2">
      <c r="B166" s="203">
        <f t="shared" si="3"/>
        <v>45597</v>
      </c>
      <c r="C166" s="92">
        <v>1.7749999999999999</v>
      </c>
      <c r="D166" s="92"/>
      <c r="E166" s="92">
        <v>3.03</v>
      </c>
      <c r="F166" s="92">
        <v>13</v>
      </c>
      <c r="G166" s="22">
        <f t="shared" si="4"/>
        <v>9.9700000000000006</v>
      </c>
      <c r="H166" s="22">
        <f>IFERROR(IF(Yearending&gt;B165,'5. Historical demand'!F166-'5. Historical demand'!C166-'5. Historical demand'!D166,""),"")</f>
        <v>11.225</v>
      </c>
      <c r="I166" s="22">
        <f t="shared" si="5"/>
        <v>-1.2549999999999999</v>
      </c>
    </row>
    <row r="167" spans="2:9" x14ac:dyDescent="0.2">
      <c r="B167" s="203">
        <f t="shared" si="3"/>
        <v>45598</v>
      </c>
      <c r="C167" s="92">
        <v>1.7749999999999999</v>
      </c>
      <c r="D167" s="92"/>
      <c r="E167" s="92">
        <v>3.01</v>
      </c>
      <c r="F167" s="92">
        <v>13</v>
      </c>
      <c r="G167" s="22">
        <f t="shared" si="4"/>
        <v>9.99</v>
      </c>
      <c r="H167" s="22">
        <f>IFERROR(IF(Yearending&gt;B166,'5. Historical demand'!F167-'5. Historical demand'!C167-'5. Historical demand'!D167,""),"")</f>
        <v>11.225</v>
      </c>
      <c r="I167" s="22">
        <f t="shared" si="5"/>
        <v>-1.2349999999999999</v>
      </c>
    </row>
    <row r="168" spans="2:9" x14ac:dyDescent="0.2">
      <c r="B168" s="203">
        <f t="shared" si="3"/>
        <v>45599</v>
      </c>
      <c r="C168" s="92">
        <v>1.7749999999999999</v>
      </c>
      <c r="D168" s="92"/>
      <c r="E168" s="92">
        <v>3.8879999999999999</v>
      </c>
      <c r="F168" s="92">
        <v>13</v>
      </c>
      <c r="G168" s="22">
        <f t="shared" si="4"/>
        <v>9.1120000000000001</v>
      </c>
      <c r="H168" s="22">
        <f>IFERROR(IF(Yearending&gt;B167,'5. Historical demand'!F168-'5. Historical demand'!C168-'5. Historical demand'!D168,""),"")</f>
        <v>11.225</v>
      </c>
      <c r="I168" s="22">
        <f t="shared" si="5"/>
        <v>-2.113</v>
      </c>
    </row>
    <row r="169" spans="2:9" x14ac:dyDescent="0.2">
      <c r="B169" s="203">
        <f t="shared" si="3"/>
        <v>45600</v>
      </c>
      <c r="C169" s="92">
        <v>1.7749999999999999</v>
      </c>
      <c r="D169" s="92"/>
      <c r="E169" s="92">
        <v>3.0760000000000001</v>
      </c>
      <c r="F169" s="92">
        <v>13</v>
      </c>
      <c r="G169" s="22">
        <f t="shared" si="4"/>
        <v>9.9239999999999995</v>
      </c>
      <c r="H169" s="22">
        <f>IFERROR(IF(Yearending&gt;B168,'5. Historical demand'!F169-'5. Historical demand'!C169-'5. Historical demand'!D169,""),"")</f>
        <v>11.225</v>
      </c>
      <c r="I169" s="22">
        <f t="shared" si="5"/>
        <v>-1.3010000000000002</v>
      </c>
    </row>
    <row r="170" spans="2:9" x14ac:dyDescent="0.2">
      <c r="B170" s="203">
        <f t="shared" si="3"/>
        <v>45601</v>
      </c>
      <c r="C170" s="92">
        <v>1.7749999999999999</v>
      </c>
      <c r="D170" s="92"/>
      <c r="E170" s="92">
        <v>2.9009999999999998</v>
      </c>
      <c r="F170" s="92">
        <v>13</v>
      </c>
      <c r="G170" s="22">
        <f t="shared" si="4"/>
        <v>10.099</v>
      </c>
      <c r="H170" s="22">
        <f>IFERROR(IF(Yearending&gt;B169,'5. Historical demand'!F170-'5. Historical demand'!C170-'5. Historical demand'!D170,""),"")</f>
        <v>11.225</v>
      </c>
      <c r="I170" s="22">
        <f t="shared" si="5"/>
        <v>-1.1259999999999999</v>
      </c>
    </row>
    <row r="171" spans="2:9" x14ac:dyDescent="0.2">
      <c r="B171" s="203">
        <f t="shared" si="3"/>
        <v>45602</v>
      </c>
      <c r="C171" s="92">
        <v>1.7749999999999999</v>
      </c>
      <c r="D171" s="92"/>
      <c r="E171" s="92">
        <v>4.0830000000000002</v>
      </c>
      <c r="F171" s="92">
        <v>13</v>
      </c>
      <c r="G171" s="22">
        <f t="shared" si="4"/>
        <v>8.9169999999999998</v>
      </c>
      <c r="H171" s="22">
        <f>IFERROR(IF(Yearending&gt;B170,'5. Historical demand'!F171-'5. Historical demand'!C171-'5. Historical demand'!D171,""),"")</f>
        <v>11.225</v>
      </c>
      <c r="I171" s="22">
        <f t="shared" si="5"/>
        <v>-2.3080000000000003</v>
      </c>
    </row>
    <row r="172" spans="2:9" x14ac:dyDescent="0.2">
      <c r="B172" s="203">
        <f t="shared" ref="B172:B235" si="6">IFERROR(IF(Yearending&gt;B171, B171+1, ""),"")</f>
        <v>45603</v>
      </c>
      <c r="C172" s="92">
        <v>1.7749999999999999</v>
      </c>
      <c r="D172" s="92"/>
      <c r="E172" s="92">
        <v>4.2190000000000003</v>
      </c>
      <c r="F172" s="92">
        <v>13</v>
      </c>
      <c r="G172" s="22">
        <f t="shared" ref="G172:G235" si="7">IFERROR(IF(Yearending&gt;B171,F172-E172,""),"")</f>
        <v>8.7809999999999988</v>
      </c>
      <c r="H172" s="22">
        <f>IFERROR(IF(Yearending&gt;B171,'5. Historical demand'!F172-'5. Historical demand'!C172-'5. Historical demand'!D172,""),"")</f>
        <v>11.225</v>
      </c>
      <c r="I172" s="22">
        <f t="shared" ref="I172:I235" si="8">IFERROR(IF(Yearending&gt;B171,C172+D172-E172,""),"")</f>
        <v>-2.4440000000000004</v>
      </c>
    </row>
    <row r="173" spans="2:9" x14ac:dyDescent="0.2">
      <c r="B173" s="203">
        <f t="shared" si="6"/>
        <v>45604</v>
      </c>
      <c r="C173" s="92">
        <v>1.7749999999999999</v>
      </c>
      <c r="D173" s="92"/>
      <c r="E173" s="92">
        <v>2.3650000000000002</v>
      </c>
      <c r="F173" s="92">
        <v>13</v>
      </c>
      <c r="G173" s="22">
        <f t="shared" si="7"/>
        <v>10.635</v>
      </c>
      <c r="H173" s="22">
        <f>IFERROR(IF(Yearending&gt;B172,'5. Historical demand'!F173-'5. Historical demand'!C173-'5. Historical demand'!D173,""),"")</f>
        <v>11.225</v>
      </c>
      <c r="I173" s="22">
        <f t="shared" si="8"/>
        <v>-0.5900000000000003</v>
      </c>
    </row>
    <row r="174" spans="2:9" x14ac:dyDescent="0.2">
      <c r="B174" s="203">
        <f t="shared" si="6"/>
        <v>45605</v>
      </c>
      <c r="C174" s="92">
        <v>1.7749999999999999</v>
      </c>
      <c r="D174" s="92"/>
      <c r="E174" s="92">
        <v>1.6950000000000001</v>
      </c>
      <c r="F174" s="92">
        <v>13</v>
      </c>
      <c r="G174" s="22">
        <f t="shared" si="7"/>
        <v>11.305</v>
      </c>
      <c r="H174" s="22">
        <f>IFERROR(IF(Yearending&gt;B173,'5. Historical demand'!F174-'5. Historical demand'!C174-'5. Historical demand'!D174,""),"")</f>
        <v>11.225</v>
      </c>
      <c r="I174" s="22">
        <f t="shared" si="8"/>
        <v>7.9999999999999849E-2</v>
      </c>
    </row>
    <row r="175" spans="2:9" x14ac:dyDescent="0.2">
      <c r="B175" s="203">
        <f t="shared" si="6"/>
        <v>45606</v>
      </c>
      <c r="C175" s="92">
        <v>1.7749999999999999</v>
      </c>
      <c r="D175" s="92"/>
      <c r="E175" s="92">
        <v>3.6760000000000002</v>
      </c>
      <c r="F175" s="92">
        <v>13</v>
      </c>
      <c r="G175" s="22">
        <f t="shared" si="7"/>
        <v>9.3239999999999998</v>
      </c>
      <c r="H175" s="22">
        <f>IFERROR(IF(Yearending&gt;B174,'5. Historical demand'!F175-'5. Historical demand'!C175-'5. Historical demand'!D175,""),"")</f>
        <v>11.225</v>
      </c>
      <c r="I175" s="22">
        <f t="shared" si="8"/>
        <v>-1.9010000000000002</v>
      </c>
    </row>
    <row r="176" spans="2:9" x14ac:dyDescent="0.2">
      <c r="B176" s="203">
        <f t="shared" si="6"/>
        <v>45607</v>
      </c>
      <c r="C176" s="92">
        <v>1.7749999999999999</v>
      </c>
      <c r="D176" s="92"/>
      <c r="E176" s="92">
        <v>3.9980000000000002</v>
      </c>
      <c r="F176" s="92">
        <v>13</v>
      </c>
      <c r="G176" s="22">
        <f t="shared" si="7"/>
        <v>9.0019999999999989</v>
      </c>
      <c r="H176" s="22">
        <f>IFERROR(IF(Yearending&gt;B175,'5. Historical demand'!F176-'5. Historical demand'!C176-'5. Historical demand'!D176,""),"")</f>
        <v>11.225</v>
      </c>
      <c r="I176" s="22">
        <f t="shared" si="8"/>
        <v>-2.2230000000000003</v>
      </c>
    </row>
    <row r="177" spans="2:9" x14ac:dyDescent="0.2">
      <c r="B177" s="203">
        <f t="shared" si="6"/>
        <v>45608</v>
      </c>
      <c r="C177" s="92">
        <v>1.7749999999999999</v>
      </c>
      <c r="D177" s="92"/>
      <c r="E177" s="92">
        <v>3.7360000000000002</v>
      </c>
      <c r="F177" s="92">
        <v>13</v>
      </c>
      <c r="G177" s="22">
        <f t="shared" si="7"/>
        <v>9.2639999999999993</v>
      </c>
      <c r="H177" s="22">
        <f>IFERROR(IF(Yearending&gt;B176,'5. Historical demand'!F177-'5. Historical demand'!C177-'5. Historical demand'!D177,""),"")</f>
        <v>11.225</v>
      </c>
      <c r="I177" s="22">
        <f t="shared" si="8"/>
        <v>-1.9610000000000003</v>
      </c>
    </row>
    <row r="178" spans="2:9" x14ac:dyDescent="0.2">
      <c r="B178" s="203">
        <f t="shared" si="6"/>
        <v>45609</v>
      </c>
      <c r="C178" s="92">
        <v>1.7749999999999999</v>
      </c>
      <c r="D178" s="92"/>
      <c r="E178" s="92">
        <v>2.4529999999999998</v>
      </c>
      <c r="F178" s="92">
        <v>13</v>
      </c>
      <c r="G178" s="22">
        <f t="shared" si="7"/>
        <v>10.547000000000001</v>
      </c>
      <c r="H178" s="22">
        <f>IFERROR(IF(Yearending&gt;B177,'5. Historical demand'!F178-'5. Historical demand'!C178-'5. Historical demand'!D178,""),"")</f>
        <v>11.225</v>
      </c>
      <c r="I178" s="22">
        <f t="shared" si="8"/>
        <v>-0.67799999999999994</v>
      </c>
    </row>
    <row r="179" spans="2:9" x14ac:dyDescent="0.2">
      <c r="B179" s="203">
        <f t="shared" si="6"/>
        <v>45610</v>
      </c>
      <c r="C179" s="92">
        <v>1.7749999999999999</v>
      </c>
      <c r="D179" s="92"/>
      <c r="E179" s="92">
        <v>1.9279999999999999</v>
      </c>
      <c r="F179" s="92">
        <v>13</v>
      </c>
      <c r="G179" s="22">
        <f t="shared" si="7"/>
        <v>11.071999999999999</v>
      </c>
      <c r="H179" s="22">
        <f>IFERROR(IF(Yearending&gt;B178,'5. Historical demand'!F179-'5. Historical demand'!C179-'5. Historical demand'!D179,""),"")</f>
        <v>11.225</v>
      </c>
      <c r="I179" s="22">
        <f t="shared" si="8"/>
        <v>-0.15300000000000002</v>
      </c>
    </row>
    <row r="180" spans="2:9" x14ac:dyDescent="0.2">
      <c r="B180" s="203">
        <f t="shared" si="6"/>
        <v>45611</v>
      </c>
      <c r="C180" s="92">
        <v>1.7749999999999999</v>
      </c>
      <c r="D180" s="92"/>
      <c r="E180" s="92">
        <v>2.6480000000000001</v>
      </c>
      <c r="F180" s="92">
        <v>13</v>
      </c>
      <c r="G180" s="22">
        <f t="shared" si="7"/>
        <v>10.352</v>
      </c>
      <c r="H180" s="22">
        <f>IFERROR(IF(Yearending&gt;B179,'5. Historical demand'!F180-'5. Historical demand'!C180-'5. Historical demand'!D180,""),"")</f>
        <v>11.225</v>
      </c>
      <c r="I180" s="22">
        <f t="shared" si="8"/>
        <v>-0.87300000000000022</v>
      </c>
    </row>
    <row r="181" spans="2:9" x14ac:dyDescent="0.2">
      <c r="B181" s="203">
        <f t="shared" si="6"/>
        <v>45612</v>
      </c>
      <c r="C181" s="92">
        <v>1.7749999999999999</v>
      </c>
      <c r="D181" s="92"/>
      <c r="E181" s="92">
        <v>4.0220000000000002</v>
      </c>
      <c r="F181" s="92">
        <v>13</v>
      </c>
      <c r="G181" s="22">
        <f t="shared" si="7"/>
        <v>8.9779999999999998</v>
      </c>
      <c r="H181" s="22">
        <f>IFERROR(IF(Yearending&gt;B180,'5. Historical demand'!F181-'5. Historical demand'!C181-'5. Historical demand'!D181,""),"")</f>
        <v>11.225</v>
      </c>
      <c r="I181" s="22">
        <f t="shared" si="8"/>
        <v>-2.2470000000000003</v>
      </c>
    </row>
    <row r="182" spans="2:9" x14ac:dyDescent="0.2">
      <c r="B182" s="203">
        <f t="shared" si="6"/>
        <v>45613</v>
      </c>
      <c r="C182" s="92">
        <v>1.7749999999999999</v>
      </c>
      <c r="D182" s="92"/>
      <c r="E182" s="92">
        <v>3.375</v>
      </c>
      <c r="F182" s="92">
        <v>13</v>
      </c>
      <c r="G182" s="22">
        <f t="shared" si="7"/>
        <v>9.625</v>
      </c>
      <c r="H182" s="22">
        <f>IFERROR(IF(Yearending&gt;B181,'5. Historical demand'!F182-'5. Historical demand'!C182-'5. Historical demand'!D182,""),"")</f>
        <v>11.225</v>
      </c>
      <c r="I182" s="22">
        <f t="shared" si="8"/>
        <v>-1.6</v>
      </c>
    </row>
    <row r="183" spans="2:9" x14ac:dyDescent="0.2">
      <c r="B183" s="203">
        <f t="shared" si="6"/>
        <v>45614</v>
      </c>
      <c r="C183" s="92">
        <v>1.7749999999999999</v>
      </c>
      <c r="D183" s="92"/>
      <c r="E183" s="92">
        <v>3.121</v>
      </c>
      <c r="F183" s="92">
        <v>13</v>
      </c>
      <c r="G183" s="22">
        <f t="shared" si="7"/>
        <v>9.8789999999999996</v>
      </c>
      <c r="H183" s="22">
        <f>IFERROR(IF(Yearending&gt;B182,'5. Historical demand'!F183-'5. Historical demand'!C183-'5. Historical demand'!D183,""),"")</f>
        <v>11.225</v>
      </c>
      <c r="I183" s="22">
        <f t="shared" si="8"/>
        <v>-1.3460000000000001</v>
      </c>
    </row>
    <row r="184" spans="2:9" x14ac:dyDescent="0.2">
      <c r="B184" s="203">
        <f t="shared" si="6"/>
        <v>45615</v>
      </c>
      <c r="C184" s="92">
        <v>1.7749999999999999</v>
      </c>
      <c r="D184" s="92"/>
      <c r="E184" s="92">
        <v>2.5990000000000002</v>
      </c>
      <c r="F184" s="92">
        <v>13</v>
      </c>
      <c r="G184" s="22">
        <f t="shared" si="7"/>
        <v>10.401</v>
      </c>
      <c r="H184" s="22">
        <f>IFERROR(IF(Yearending&gt;B183,'5. Historical demand'!F184-'5. Historical demand'!C184-'5. Historical demand'!D184,""),"")</f>
        <v>11.225</v>
      </c>
      <c r="I184" s="22">
        <f t="shared" si="8"/>
        <v>-0.82400000000000029</v>
      </c>
    </row>
    <row r="185" spans="2:9" x14ac:dyDescent="0.2">
      <c r="B185" s="203">
        <f t="shared" si="6"/>
        <v>45616</v>
      </c>
      <c r="C185" s="92">
        <v>1.7749999999999999</v>
      </c>
      <c r="D185" s="92"/>
      <c r="E185" s="92">
        <v>3.073</v>
      </c>
      <c r="F185" s="92">
        <v>13</v>
      </c>
      <c r="G185" s="22">
        <f t="shared" si="7"/>
        <v>9.9269999999999996</v>
      </c>
      <c r="H185" s="22">
        <f>IFERROR(IF(Yearending&gt;B184,'5. Historical demand'!F185-'5. Historical demand'!C185-'5. Historical demand'!D185,""),"")</f>
        <v>11.225</v>
      </c>
      <c r="I185" s="22">
        <f t="shared" si="8"/>
        <v>-1.298</v>
      </c>
    </row>
    <row r="186" spans="2:9" x14ac:dyDescent="0.2">
      <c r="B186" s="203">
        <f t="shared" si="6"/>
        <v>45617</v>
      </c>
      <c r="C186" s="92">
        <v>1.7749999999999999</v>
      </c>
      <c r="D186" s="92"/>
      <c r="E186" s="92">
        <v>3.524</v>
      </c>
      <c r="F186" s="92">
        <v>13</v>
      </c>
      <c r="G186" s="22">
        <f t="shared" si="7"/>
        <v>9.4759999999999991</v>
      </c>
      <c r="H186" s="22">
        <f>IFERROR(IF(Yearending&gt;B185,'5. Historical demand'!F186-'5. Historical demand'!C186-'5. Historical demand'!D186,""),"")</f>
        <v>11.225</v>
      </c>
      <c r="I186" s="22">
        <f t="shared" si="8"/>
        <v>-1.7490000000000001</v>
      </c>
    </row>
    <row r="187" spans="2:9" x14ac:dyDescent="0.2">
      <c r="B187" s="203">
        <f t="shared" si="6"/>
        <v>45618</v>
      </c>
      <c r="C187" s="92">
        <v>1.7749999999999999</v>
      </c>
      <c r="D187" s="92"/>
      <c r="E187" s="92">
        <v>3.1869999999999998</v>
      </c>
      <c r="F187" s="92">
        <v>13</v>
      </c>
      <c r="G187" s="22">
        <f t="shared" si="7"/>
        <v>9.8130000000000006</v>
      </c>
      <c r="H187" s="22">
        <f>IFERROR(IF(Yearending&gt;B186,'5. Historical demand'!F187-'5. Historical demand'!C187-'5. Historical demand'!D187,""),"")</f>
        <v>11.225</v>
      </c>
      <c r="I187" s="22">
        <f t="shared" si="8"/>
        <v>-1.4119999999999999</v>
      </c>
    </row>
    <row r="188" spans="2:9" x14ac:dyDescent="0.2">
      <c r="B188" s="203">
        <f t="shared" si="6"/>
        <v>45619</v>
      </c>
      <c r="C188" s="92">
        <v>1.7749999999999999</v>
      </c>
      <c r="D188" s="92"/>
      <c r="E188" s="92">
        <v>3.3980000000000001</v>
      </c>
      <c r="F188" s="92">
        <v>13</v>
      </c>
      <c r="G188" s="22">
        <f t="shared" si="7"/>
        <v>9.6020000000000003</v>
      </c>
      <c r="H188" s="22">
        <f>IFERROR(IF(Yearending&gt;B187,'5. Historical demand'!F188-'5. Historical demand'!C188-'5. Historical demand'!D188,""),"")</f>
        <v>11.225</v>
      </c>
      <c r="I188" s="22">
        <f t="shared" si="8"/>
        <v>-1.6230000000000002</v>
      </c>
    </row>
    <row r="189" spans="2:9" x14ac:dyDescent="0.2">
      <c r="B189" s="203">
        <f t="shared" si="6"/>
        <v>45620</v>
      </c>
      <c r="C189" s="92">
        <v>1.7749999999999999</v>
      </c>
      <c r="D189" s="92"/>
      <c r="E189" s="92">
        <v>3.6190000000000002</v>
      </c>
      <c r="F189" s="92">
        <v>13</v>
      </c>
      <c r="G189" s="22">
        <f t="shared" si="7"/>
        <v>9.3810000000000002</v>
      </c>
      <c r="H189" s="22">
        <f>IFERROR(IF(Yearending&gt;B188,'5. Historical demand'!F189-'5. Historical demand'!C189-'5. Historical demand'!D189,""),"")</f>
        <v>11.225</v>
      </c>
      <c r="I189" s="22">
        <f t="shared" si="8"/>
        <v>-1.8440000000000003</v>
      </c>
    </row>
    <row r="190" spans="2:9" x14ac:dyDescent="0.2">
      <c r="B190" s="203">
        <f t="shared" si="6"/>
        <v>45621</v>
      </c>
      <c r="C190" s="92">
        <v>1.7749999999999999</v>
      </c>
      <c r="D190" s="92"/>
      <c r="E190" s="92">
        <v>4.0449999999999999</v>
      </c>
      <c r="F190" s="92">
        <v>13</v>
      </c>
      <c r="G190" s="22">
        <f t="shared" si="7"/>
        <v>8.9550000000000001</v>
      </c>
      <c r="H190" s="22">
        <f>IFERROR(IF(Yearending&gt;B189,'5. Historical demand'!F190-'5. Historical demand'!C190-'5. Historical demand'!D190,""),"")</f>
        <v>11.225</v>
      </c>
      <c r="I190" s="22">
        <f t="shared" si="8"/>
        <v>-2.27</v>
      </c>
    </row>
    <row r="191" spans="2:9" x14ac:dyDescent="0.2">
      <c r="B191" s="203">
        <f t="shared" si="6"/>
        <v>45622</v>
      </c>
      <c r="C191" s="92">
        <v>1.7749999999999999</v>
      </c>
      <c r="D191" s="92"/>
      <c r="E191" s="92">
        <v>1.875</v>
      </c>
      <c r="F191" s="92">
        <v>13</v>
      </c>
      <c r="G191" s="22">
        <f t="shared" si="7"/>
        <v>11.125</v>
      </c>
      <c r="H191" s="22">
        <f>IFERROR(IF(Yearending&gt;B190,'5. Historical demand'!F191-'5. Historical demand'!C191-'5. Historical demand'!D191,""),"")</f>
        <v>11.225</v>
      </c>
      <c r="I191" s="22">
        <f t="shared" si="8"/>
        <v>-0.10000000000000009</v>
      </c>
    </row>
    <row r="192" spans="2:9" x14ac:dyDescent="0.2">
      <c r="B192" s="203">
        <f t="shared" si="6"/>
        <v>45623</v>
      </c>
      <c r="C192" s="92">
        <v>1.7749999999999999</v>
      </c>
      <c r="D192" s="92"/>
      <c r="E192" s="92">
        <v>3.234</v>
      </c>
      <c r="F192" s="92">
        <v>13</v>
      </c>
      <c r="G192" s="22">
        <f t="shared" si="7"/>
        <v>9.766</v>
      </c>
      <c r="H192" s="22">
        <f>IFERROR(IF(Yearending&gt;B191,'5. Historical demand'!F192-'5. Historical demand'!C192-'5. Historical demand'!D192,""),"")</f>
        <v>11.225</v>
      </c>
      <c r="I192" s="22">
        <f t="shared" si="8"/>
        <v>-1.4590000000000001</v>
      </c>
    </row>
    <row r="193" spans="2:9" x14ac:dyDescent="0.2">
      <c r="B193" s="203">
        <f t="shared" si="6"/>
        <v>45624</v>
      </c>
      <c r="C193" s="92">
        <v>1.7749999999999999</v>
      </c>
      <c r="D193" s="92"/>
      <c r="E193" s="92">
        <v>2.0710000000000002</v>
      </c>
      <c r="F193" s="92">
        <v>13</v>
      </c>
      <c r="G193" s="22">
        <f t="shared" si="7"/>
        <v>10.929</v>
      </c>
      <c r="H193" s="22">
        <f>IFERROR(IF(Yearending&gt;B192,'5. Historical demand'!F193-'5. Historical demand'!C193-'5. Historical demand'!D193,""),"")</f>
        <v>11.225</v>
      </c>
      <c r="I193" s="22">
        <f t="shared" si="8"/>
        <v>-0.29600000000000026</v>
      </c>
    </row>
    <row r="194" spans="2:9" x14ac:dyDescent="0.2">
      <c r="B194" s="203">
        <f t="shared" si="6"/>
        <v>45625</v>
      </c>
      <c r="C194" s="92">
        <v>1.7749999999999999</v>
      </c>
      <c r="D194" s="92"/>
      <c r="E194" s="92">
        <v>2.5110000000000001</v>
      </c>
      <c r="F194" s="92">
        <v>13</v>
      </c>
      <c r="G194" s="22">
        <f t="shared" si="7"/>
        <v>10.489000000000001</v>
      </c>
      <c r="H194" s="22">
        <f>IFERROR(IF(Yearending&gt;B193,'5. Historical demand'!F194-'5. Historical demand'!C194-'5. Historical demand'!D194,""),"")</f>
        <v>11.225</v>
      </c>
      <c r="I194" s="22">
        <f t="shared" si="8"/>
        <v>-0.73600000000000021</v>
      </c>
    </row>
    <row r="195" spans="2:9" x14ac:dyDescent="0.2">
      <c r="B195" s="203">
        <f t="shared" si="6"/>
        <v>45626</v>
      </c>
      <c r="C195" s="92">
        <v>1.7749999999999999</v>
      </c>
      <c r="D195" s="92"/>
      <c r="E195" s="92">
        <v>2.4279999999999999</v>
      </c>
      <c r="F195" s="92">
        <v>13</v>
      </c>
      <c r="G195" s="22">
        <f t="shared" si="7"/>
        <v>10.571999999999999</v>
      </c>
      <c r="H195" s="22">
        <f>IFERROR(IF(Yearending&gt;B194,'5. Historical demand'!F195-'5. Historical demand'!C195-'5. Historical demand'!D195,""),"")</f>
        <v>11.225</v>
      </c>
      <c r="I195" s="22">
        <f t="shared" si="8"/>
        <v>-0.65300000000000002</v>
      </c>
    </row>
    <row r="196" spans="2:9" x14ac:dyDescent="0.2">
      <c r="B196" s="203">
        <f t="shared" si="6"/>
        <v>45627</v>
      </c>
      <c r="C196" s="92">
        <v>1.7749999999999999</v>
      </c>
      <c r="D196" s="92"/>
      <c r="E196" s="92">
        <v>2.7069999999999999</v>
      </c>
      <c r="F196" s="92">
        <v>13</v>
      </c>
      <c r="G196" s="22">
        <f t="shared" si="7"/>
        <v>10.292999999999999</v>
      </c>
      <c r="H196" s="22">
        <f>IFERROR(IF(Yearending&gt;B195,'5. Historical demand'!F196-'5. Historical demand'!C196-'5. Historical demand'!D196,""),"")</f>
        <v>11.225</v>
      </c>
      <c r="I196" s="22">
        <f t="shared" si="8"/>
        <v>-0.93199999999999994</v>
      </c>
    </row>
    <row r="197" spans="2:9" x14ac:dyDescent="0.2">
      <c r="B197" s="203">
        <f t="shared" si="6"/>
        <v>45628</v>
      </c>
      <c r="C197" s="92">
        <v>1.7749999999999999</v>
      </c>
      <c r="D197" s="92"/>
      <c r="E197" s="92">
        <v>3.2280000000000002</v>
      </c>
      <c r="F197" s="92">
        <v>13</v>
      </c>
      <c r="G197" s="22">
        <f t="shared" si="7"/>
        <v>9.7720000000000002</v>
      </c>
      <c r="H197" s="22">
        <f>IFERROR(IF(Yearending&gt;B196,'5. Historical demand'!F197-'5. Historical demand'!C197-'5. Historical demand'!D197,""),"")</f>
        <v>11.225</v>
      </c>
      <c r="I197" s="22">
        <f t="shared" si="8"/>
        <v>-1.4530000000000003</v>
      </c>
    </row>
    <row r="198" spans="2:9" x14ac:dyDescent="0.2">
      <c r="B198" s="203">
        <f t="shared" si="6"/>
        <v>45629</v>
      </c>
      <c r="C198" s="92">
        <v>1.7749999999999999</v>
      </c>
      <c r="D198" s="92"/>
      <c r="E198" s="92">
        <v>2.766</v>
      </c>
      <c r="F198" s="92">
        <v>13</v>
      </c>
      <c r="G198" s="22">
        <f t="shared" si="7"/>
        <v>10.234</v>
      </c>
      <c r="H198" s="22">
        <f>IFERROR(IF(Yearending&gt;B197,'5. Historical demand'!F198-'5. Historical demand'!C198-'5. Historical demand'!D198,""),"")</f>
        <v>11.225</v>
      </c>
      <c r="I198" s="22">
        <f t="shared" si="8"/>
        <v>-0.9910000000000001</v>
      </c>
    </row>
    <row r="199" spans="2:9" x14ac:dyDescent="0.2">
      <c r="B199" s="203">
        <f t="shared" si="6"/>
        <v>45630</v>
      </c>
      <c r="C199" s="92">
        <v>1.7749999999999999</v>
      </c>
      <c r="D199" s="92"/>
      <c r="E199" s="92">
        <v>2.3180000000000001</v>
      </c>
      <c r="F199" s="92">
        <v>13</v>
      </c>
      <c r="G199" s="22">
        <f t="shared" si="7"/>
        <v>10.682</v>
      </c>
      <c r="H199" s="22">
        <f>IFERROR(IF(Yearending&gt;B198,'5. Historical demand'!F199-'5. Historical demand'!C199-'5. Historical demand'!D199,""),"")</f>
        <v>11.225</v>
      </c>
      <c r="I199" s="22">
        <f t="shared" si="8"/>
        <v>-0.54300000000000015</v>
      </c>
    </row>
    <row r="200" spans="2:9" x14ac:dyDescent="0.2">
      <c r="B200" s="203">
        <f t="shared" si="6"/>
        <v>45631</v>
      </c>
      <c r="C200" s="92">
        <v>1.7749999999999999</v>
      </c>
      <c r="D200" s="92"/>
      <c r="E200" s="92">
        <v>2.8460000000000001</v>
      </c>
      <c r="F200" s="92">
        <v>13</v>
      </c>
      <c r="G200" s="22">
        <f t="shared" si="7"/>
        <v>10.154</v>
      </c>
      <c r="H200" s="22">
        <f>IFERROR(IF(Yearending&gt;B199,'5. Historical demand'!F200-'5. Historical demand'!C200-'5. Historical demand'!D200,""),"")</f>
        <v>11.225</v>
      </c>
      <c r="I200" s="22">
        <f t="shared" si="8"/>
        <v>-1.0710000000000002</v>
      </c>
    </row>
    <row r="201" spans="2:9" x14ac:dyDescent="0.2">
      <c r="B201" s="203">
        <f t="shared" si="6"/>
        <v>45632</v>
      </c>
      <c r="C201" s="92">
        <v>1.7749999999999999</v>
      </c>
      <c r="D201" s="92"/>
      <c r="E201" s="92">
        <v>2.9889999999999999</v>
      </c>
      <c r="F201" s="92">
        <v>13</v>
      </c>
      <c r="G201" s="22">
        <f t="shared" si="7"/>
        <v>10.010999999999999</v>
      </c>
      <c r="H201" s="22">
        <f>IFERROR(IF(Yearending&gt;B200,'5. Historical demand'!F201-'5. Historical demand'!C201-'5. Historical demand'!D201,""),"")</f>
        <v>11.225</v>
      </c>
      <c r="I201" s="22">
        <f t="shared" si="8"/>
        <v>-1.214</v>
      </c>
    </row>
    <row r="202" spans="2:9" x14ac:dyDescent="0.2">
      <c r="B202" s="203">
        <f t="shared" si="6"/>
        <v>45633</v>
      </c>
      <c r="C202" s="92">
        <v>1.7749999999999999</v>
      </c>
      <c r="D202" s="92"/>
      <c r="E202" s="92">
        <v>2.6280000000000001</v>
      </c>
      <c r="F202" s="92">
        <v>13</v>
      </c>
      <c r="G202" s="22">
        <f t="shared" si="7"/>
        <v>10.372</v>
      </c>
      <c r="H202" s="22">
        <f>IFERROR(IF(Yearending&gt;B201,'5. Historical demand'!F202-'5. Historical demand'!C202-'5. Historical demand'!D202,""),"")</f>
        <v>11.225</v>
      </c>
      <c r="I202" s="22">
        <f t="shared" si="8"/>
        <v>-0.8530000000000002</v>
      </c>
    </row>
    <row r="203" spans="2:9" x14ac:dyDescent="0.2">
      <c r="B203" s="203">
        <f t="shared" si="6"/>
        <v>45634</v>
      </c>
      <c r="C203" s="92">
        <v>1.7749999999999999</v>
      </c>
      <c r="D203" s="92"/>
      <c r="E203" s="92">
        <v>1.6879999999999999</v>
      </c>
      <c r="F203" s="92">
        <v>13</v>
      </c>
      <c r="G203" s="22">
        <f t="shared" si="7"/>
        <v>11.311999999999999</v>
      </c>
      <c r="H203" s="22">
        <f>IFERROR(IF(Yearending&gt;B202,'5. Historical demand'!F203-'5. Historical demand'!C203-'5. Historical demand'!D203,""),"")</f>
        <v>11.225</v>
      </c>
      <c r="I203" s="22">
        <f t="shared" si="8"/>
        <v>8.6999999999999966E-2</v>
      </c>
    </row>
    <row r="204" spans="2:9" x14ac:dyDescent="0.2">
      <c r="B204" s="203">
        <f t="shared" si="6"/>
        <v>45635</v>
      </c>
      <c r="C204" s="92">
        <v>1.7749999999999999</v>
      </c>
      <c r="D204" s="92"/>
      <c r="E204" s="92">
        <v>2.819</v>
      </c>
      <c r="F204" s="92">
        <v>13</v>
      </c>
      <c r="G204" s="22">
        <f t="shared" si="7"/>
        <v>10.181000000000001</v>
      </c>
      <c r="H204" s="22">
        <f>IFERROR(IF(Yearending&gt;B203,'5. Historical demand'!F204-'5. Historical demand'!C204-'5. Historical demand'!D204,""),"")</f>
        <v>11.225</v>
      </c>
      <c r="I204" s="22">
        <f t="shared" si="8"/>
        <v>-1.044</v>
      </c>
    </row>
    <row r="205" spans="2:9" x14ac:dyDescent="0.2">
      <c r="B205" s="203">
        <f t="shared" si="6"/>
        <v>45636</v>
      </c>
      <c r="C205" s="92">
        <v>1.7749999999999999</v>
      </c>
      <c r="D205" s="92"/>
      <c r="E205" s="92">
        <v>3.0230000000000001</v>
      </c>
      <c r="F205" s="92">
        <v>13</v>
      </c>
      <c r="G205" s="22">
        <f t="shared" si="7"/>
        <v>9.9770000000000003</v>
      </c>
      <c r="H205" s="22">
        <f>IFERROR(IF(Yearending&gt;B204,'5. Historical demand'!F205-'5. Historical demand'!C205-'5. Historical demand'!D205,""),"")</f>
        <v>11.225</v>
      </c>
      <c r="I205" s="22">
        <f t="shared" si="8"/>
        <v>-1.2480000000000002</v>
      </c>
    </row>
    <row r="206" spans="2:9" x14ac:dyDescent="0.2">
      <c r="B206" s="203">
        <f t="shared" si="6"/>
        <v>45637</v>
      </c>
      <c r="C206" s="92">
        <v>1.7749999999999999</v>
      </c>
      <c r="D206" s="92"/>
      <c r="E206" s="92">
        <v>3.5310000000000001</v>
      </c>
      <c r="F206" s="92">
        <v>13</v>
      </c>
      <c r="G206" s="22">
        <f t="shared" si="7"/>
        <v>9.4689999999999994</v>
      </c>
      <c r="H206" s="22">
        <f>IFERROR(IF(Yearending&gt;B205,'5. Historical demand'!F206-'5. Historical demand'!C206-'5. Historical demand'!D206,""),"")</f>
        <v>11.225</v>
      </c>
      <c r="I206" s="22">
        <f t="shared" si="8"/>
        <v>-1.7560000000000002</v>
      </c>
    </row>
    <row r="207" spans="2:9" x14ac:dyDescent="0.2">
      <c r="B207" s="203">
        <f t="shared" si="6"/>
        <v>45638</v>
      </c>
      <c r="C207" s="92">
        <v>1.7749999999999999</v>
      </c>
      <c r="D207" s="92"/>
      <c r="E207" s="92">
        <v>3.262</v>
      </c>
      <c r="F207" s="92">
        <v>13</v>
      </c>
      <c r="G207" s="22">
        <f t="shared" si="7"/>
        <v>9.7379999999999995</v>
      </c>
      <c r="H207" s="22">
        <f>IFERROR(IF(Yearending&gt;B206,'5. Historical demand'!F207-'5. Historical demand'!C207-'5. Historical demand'!D207,""),"")</f>
        <v>11.225</v>
      </c>
      <c r="I207" s="22">
        <f t="shared" si="8"/>
        <v>-1.4870000000000001</v>
      </c>
    </row>
    <row r="208" spans="2:9" x14ac:dyDescent="0.2">
      <c r="B208" s="203">
        <f t="shared" si="6"/>
        <v>45639</v>
      </c>
      <c r="C208" s="92">
        <v>1.7749999999999999</v>
      </c>
      <c r="D208" s="92"/>
      <c r="E208" s="92">
        <v>2.7589999999999999</v>
      </c>
      <c r="F208" s="92">
        <v>13</v>
      </c>
      <c r="G208" s="22">
        <f t="shared" si="7"/>
        <v>10.241</v>
      </c>
      <c r="H208" s="22">
        <f>IFERROR(IF(Yearending&gt;B207,'5. Historical demand'!F208-'5. Historical demand'!C208-'5. Historical demand'!D208,""),"")</f>
        <v>11.225</v>
      </c>
      <c r="I208" s="22">
        <f t="shared" si="8"/>
        <v>-0.98399999999999999</v>
      </c>
    </row>
    <row r="209" spans="2:9" x14ac:dyDescent="0.2">
      <c r="B209" s="203">
        <f t="shared" si="6"/>
        <v>45640</v>
      </c>
      <c r="C209" s="92">
        <v>1.7749999999999999</v>
      </c>
      <c r="D209" s="92"/>
      <c r="E209" s="92">
        <v>2.9649999999999999</v>
      </c>
      <c r="F209" s="92">
        <v>13</v>
      </c>
      <c r="G209" s="22">
        <f t="shared" si="7"/>
        <v>10.035</v>
      </c>
      <c r="H209" s="22">
        <f>IFERROR(IF(Yearending&gt;B208,'5. Historical demand'!F209-'5. Historical demand'!C209-'5. Historical demand'!D209,""),"")</f>
        <v>11.225</v>
      </c>
      <c r="I209" s="22">
        <f t="shared" si="8"/>
        <v>-1.19</v>
      </c>
    </row>
    <row r="210" spans="2:9" x14ac:dyDescent="0.2">
      <c r="B210" s="203">
        <f t="shared" si="6"/>
        <v>45641</v>
      </c>
      <c r="C210" s="92">
        <v>1.7749999999999999</v>
      </c>
      <c r="D210" s="92"/>
      <c r="E210" s="92">
        <v>2.3889999999999998</v>
      </c>
      <c r="F210" s="92">
        <v>13</v>
      </c>
      <c r="G210" s="22">
        <f t="shared" si="7"/>
        <v>10.611000000000001</v>
      </c>
      <c r="H210" s="22">
        <f>IFERROR(IF(Yearending&gt;B209,'5. Historical demand'!F210-'5. Historical demand'!C210-'5. Historical demand'!D210,""),"")</f>
        <v>11.225</v>
      </c>
      <c r="I210" s="22">
        <f t="shared" si="8"/>
        <v>-0.61399999999999988</v>
      </c>
    </row>
    <row r="211" spans="2:9" x14ac:dyDescent="0.2">
      <c r="B211" s="203">
        <f t="shared" si="6"/>
        <v>45642</v>
      </c>
      <c r="C211" s="92">
        <v>1.7749999999999999</v>
      </c>
      <c r="D211" s="92"/>
      <c r="E211" s="92">
        <v>1.7889999999999999</v>
      </c>
      <c r="F211" s="92">
        <v>13</v>
      </c>
      <c r="G211" s="22">
        <f t="shared" si="7"/>
        <v>11.211</v>
      </c>
      <c r="H211" s="22">
        <f>IFERROR(IF(Yearending&gt;B210,'5. Historical demand'!F211-'5. Historical demand'!C211-'5. Historical demand'!D211,""),"")</f>
        <v>11.225</v>
      </c>
      <c r="I211" s="22">
        <f t="shared" si="8"/>
        <v>-1.4000000000000012E-2</v>
      </c>
    </row>
    <row r="212" spans="2:9" x14ac:dyDescent="0.2">
      <c r="B212" s="203">
        <f t="shared" si="6"/>
        <v>45643</v>
      </c>
      <c r="C212" s="92">
        <v>1.7749999999999999</v>
      </c>
      <c r="D212" s="92"/>
      <c r="E212" s="92">
        <v>2.4369999999999998</v>
      </c>
      <c r="F212" s="92">
        <v>13</v>
      </c>
      <c r="G212" s="22">
        <f t="shared" si="7"/>
        <v>10.563000000000001</v>
      </c>
      <c r="H212" s="22">
        <f>IFERROR(IF(Yearending&gt;B211,'5. Historical demand'!F212-'5. Historical demand'!C212-'5. Historical demand'!D212,""),"")</f>
        <v>11.225</v>
      </c>
      <c r="I212" s="22">
        <f t="shared" si="8"/>
        <v>-0.66199999999999992</v>
      </c>
    </row>
    <row r="213" spans="2:9" x14ac:dyDescent="0.2">
      <c r="B213" s="203">
        <f t="shared" si="6"/>
        <v>45644</v>
      </c>
      <c r="C213" s="92">
        <v>1.7749999999999999</v>
      </c>
      <c r="D213" s="92"/>
      <c r="E213" s="92">
        <v>3.1440000000000001</v>
      </c>
      <c r="F213" s="92">
        <v>13</v>
      </c>
      <c r="G213" s="22">
        <f t="shared" si="7"/>
        <v>9.8559999999999999</v>
      </c>
      <c r="H213" s="22">
        <f>IFERROR(IF(Yearending&gt;B212,'5. Historical demand'!F213-'5. Historical demand'!C213-'5. Historical demand'!D213,""),"")</f>
        <v>11.225</v>
      </c>
      <c r="I213" s="22">
        <f t="shared" si="8"/>
        <v>-1.3690000000000002</v>
      </c>
    </row>
    <row r="214" spans="2:9" x14ac:dyDescent="0.2">
      <c r="B214" s="203">
        <f t="shared" si="6"/>
        <v>45645</v>
      </c>
      <c r="C214" s="92">
        <v>1.7749999999999999</v>
      </c>
      <c r="D214" s="92"/>
      <c r="E214" s="92">
        <v>3.0259999999999998</v>
      </c>
      <c r="F214" s="92">
        <v>13</v>
      </c>
      <c r="G214" s="22">
        <f t="shared" si="7"/>
        <v>9.9740000000000002</v>
      </c>
      <c r="H214" s="22">
        <f>IFERROR(IF(Yearending&gt;B213,'5. Historical demand'!F214-'5. Historical demand'!C214-'5. Historical demand'!D214,""),"")</f>
        <v>11.225</v>
      </c>
      <c r="I214" s="22">
        <f t="shared" si="8"/>
        <v>-1.2509999999999999</v>
      </c>
    </row>
    <row r="215" spans="2:9" x14ac:dyDescent="0.2">
      <c r="B215" s="203">
        <f t="shared" si="6"/>
        <v>45646</v>
      </c>
      <c r="C215" s="92">
        <v>1.7749999999999999</v>
      </c>
      <c r="D215" s="92"/>
      <c r="E215" s="92">
        <v>3.0459999999999998</v>
      </c>
      <c r="F215" s="92">
        <v>13</v>
      </c>
      <c r="G215" s="22">
        <f t="shared" si="7"/>
        <v>9.9540000000000006</v>
      </c>
      <c r="H215" s="22">
        <f>IFERROR(IF(Yearending&gt;B214,'5. Historical demand'!F215-'5. Historical demand'!C215-'5. Historical demand'!D215,""),"")</f>
        <v>11.225</v>
      </c>
      <c r="I215" s="22">
        <f t="shared" si="8"/>
        <v>-1.2709999999999999</v>
      </c>
    </row>
    <row r="216" spans="2:9" x14ac:dyDescent="0.2">
      <c r="B216" s="203">
        <f t="shared" si="6"/>
        <v>45647</v>
      </c>
      <c r="C216" s="92">
        <v>1.7749999999999999</v>
      </c>
      <c r="D216" s="92"/>
      <c r="E216" s="92">
        <v>2.6389999999999998</v>
      </c>
      <c r="F216" s="92">
        <v>13</v>
      </c>
      <c r="G216" s="22">
        <f t="shared" si="7"/>
        <v>10.361000000000001</v>
      </c>
      <c r="H216" s="22">
        <f>IFERROR(IF(Yearending&gt;B215,'5. Historical demand'!F216-'5. Historical demand'!C216-'5. Historical demand'!D216,""),"")</f>
        <v>11.225</v>
      </c>
      <c r="I216" s="22">
        <f t="shared" si="8"/>
        <v>-0.86399999999999988</v>
      </c>
    </row>
    <row r="217" spans="2:9" x14ac:dyDescent="0.2">
      <c r="B217" s="203">
        <f t="shared" si="6"/>
        <v>45648</v>
      </c>
      <c r="C217" s="92">
        <v>1.7749999999999999</v>
      </c>
      <c r="D217" s="92"/>
      <c r="E217" s="92">
        <v>2.0299999999999998</v>
      </c>
      <c r="F217" s="92">
        <v>13</v>
      </c>
      <c r="G217" s="22">
        <f t="shared" si="7"/>
        <v>10.97</v>
      </c>
      <c r="H217" s="22">
        <f>IFERROR(IF(Yearending&gt;B216,'5. Historical demand'!F217-'5. Historical demand'!C217-'5. Historical demand'!D217,""),"")</f>
        <v>11.225</v>
      </c>
      <c r="I217" s="22">
        <f t="shared" si="8"/>
        <v>-0.25499999999999989</v>
      </c>
    </row>
    <row r="218" spans="2:9" x14ac:dyDescent="0.2">
      <c r="B218" s="203">
        <f t="shared" si="6"/>
        <v>45649</v>
      </c>
      <c r="C218" s="92">
        <v>1.7749999999999999</v>
      </c>
      <c r="D218" s="92"/>
      <c r="E218" s="92">
        <v>1.161</v>
      </c>
      <c r="F218" s="92">
        <v>13</v>
      </c>
      <c r="G218" s="22">
        <f t="shared" si="7"/>
        <v>11.839</v>
      </c>
      <c r="H218" s="22">
        <f>IFERROR(IF(Yearending&gt;B217,'5. Historical demand'!F218-'5. Historical demand'!C218-'5. Historical demand'!D218,""),"")</f>
        <v>11.225</v>
      </c>
      <c r="I218" s="22">
        <f t="shared" si="8"/>
        <v>0.61399999999999988</v>
      </c>
    </row>
    <row r="219" spans="2:9" x14ac:dyDescent="0.2">
      <c r="B219" s="203">
        <f t="shared" si="6"/>
        <v>45650</v>
      </c>
      <c r="C219" s="92">
        <v>1.7749999999999999</v>
      </c>
      <c r="D219" s="92"/>
      <c r="E219" s="92">
        <v>1.653</v>
      </c>
      <c r="F219" s="92">
        <v>13</v>
      </c>
      <c r="G219" s="22">
        <f t="shared" si="7"/>
        <v>11.347</v>
      </c>
      <c r="H219" s="22">
        <f>IFERROR(IF(Yearending&gt;B218,'5. Historical demand'!F219-'5. Historical demand'!C219-'5. Historical demand'!D219,""),"")</f>
        <v>11.225</v>
      </c>
      <c r="I219" s="22">
        <f t="shared" si="8"/>
        <v>0.12199999999999989</v>
      </c>
    </row>
    <row r="220" spans="2:9" x14ac:dyDescent="0.2">
      <c r="B220" s="203">
        <f t="shared" si="6"/>
        <v>45651</v>
      </c>
      <c r="C220" s="92">
        <v>1.7749999999999999</v>
      </c>
      <c r="D220" s="92"/>
      <c r="E220" s="92">
        <v>1.9670000000000001</v>
      </c>
      <c r="F220" s="92">
        <v>13</v>
      </c>
      <c r="G220" s="22">
        <f t="shared" si="7"/>
        <v>11.032999999999999</v>
      </c>
      <c r="H220" s="22">
        <f>IFERROR(IF(Yearending&gt;B219,'5. Historical demand'!F220-'5. Historical demand'!C220-'5. Historical demand'!D220,""),"")</f>
        <v>11.225</v>
      </c>
      <c r="I220" s="22">
        <f t="shared" si="8"/>
        <v>-0.19200000000000017</v>
      </c>
    </row>
    <row r="221" spans="2:9" x14ac:dyDescent="0.2">
      <c r="B221" s="203">
        <f t="shared" si="6"/>
        <v>45652</v>
      </c>
      <c r="C221" s="92">
        <v>1.7749999999999999</v>
      </c>
      <c r="D221" s="92"/>
      <c r="E221" s="92">
        <v>1.85</v>
      </c>
      <c r="F221" s="92">
        <v>13</v>
      </c>
      <c r="G221" s="22">
        <f t="shared" si="7"/>
        <v>11.15</v>
      </c>
      <c r="H221" s="22">
        <f>IFERROR(IF(Yearending&gt;B220,'5. Historical demand'!F221-'5. Historical demand'!C221-'5. Historical demand'!D221,""),"")</f>
        <v>11.225</v>
      </c>
      <c r="I221" s="22">
        <f t="shared" si="8"/>
        <v>-7.5000000000000178E-2</v>
      </c>
    </row>
    <row r="222" spans="2:9" x14ac:dyDescent="0.2">
      <c r="B222" s="203">
        <f t="shared" si="6"/>
        <v>45653</v>
      </c>
      <c r="C222" s="92">
        <v>1.7749999999999999</v>
      </c>
      <c r="D222" s="92"/>
      <c r="E222" s="92">
        <v>1.093</v>
      </c>
      <c r="F222" s="92">
        <v>13</v>
      </c>
      <c r="G222" s="22">
        <f t="shared" si="7"/>
        <v>11.907</v>
      </c>
      <c r="H222" s="22">
        <f>IFERROR(IF(Yearending&gt;B221,'5. Historical demand'!F222-'5. Historical demand'!C222-'5. Historical demand'!D222,""),"")</f>
        <v>11.225</v>
      </c>
      <c r="I222" s="22">
        <f t="shared" si="8"/>
        <v>0.68199999999999994</v>
      </c>
    </row>
    <row r="223" spans="2:9" x14ac:dyDescent="0.2">
      <c r="B223" s="203">
        <f t="shared" si="6"/>
        <v>45654</v>
      </c>
      <c r="C223" s="92">
        <v>1.7749999999999999</v>
      </c>
      <c r="D223" s="92"/>
      <c r="E223" s="92">
        <v>1.9059999999999999</v>
      </c>
      <c r="F223" s="92">
        <v>13</v>
      </c>
      <c r="G223" s="22">
        <f t="shared" si="7"/>
        <v>11.093999999999999</v>
      </c>
      <c r="H223" s="22">
        <f>IFERROR(IF(Yearending&gt;B222,'5. Historical demand'!F223-'5. Historical demand'!C223-'5. Historical demand'!D223,""),"")</f>
        <v>11.225</v>
      </c>
      <c r="I223" s="22">
        <f t="shared" si="8"/>
        <v>-0.13100000000000001</v>
      </c>
    </row>
    <row r="224" spans="2:9" x14ac:dyDescent="0.2">
      <c r="B224" s="203">
        <f t="shared" si="6"/>
        <v>45655</v>
      </c>
      <c r="C224" s="92">
        <v>1.7749999999999999</v>
      </c>
      <c r="D224" s="92"/>
      <c r="E224" s="92">
        <v>1.246</v>
      </c>
      <c r="F224" s="92">
        <v>13</v>
      </c>
      <c r="G224" s="22">
        <f t="shared" si="7"/>
        <v>11.754</v>
      </c>
      <c r="H224" s="22">
        <f>IFERROR(IF(Yearending&gt;B223,'5. Historical demand'!F224-'5. Historical demand'!C224-'5. Historical demand'!D224,""),"")</f>
        <v>11.225</v>
      </c>
      <c r="I224" s="22">
        <f t="shared" si="8"/>
        <v>0.52899999999999991</v>
      </c>
    </row>
    <row r="225" spans="2:9" x14ac:dyDescent="0.2">
      <c r="B225" s="203">
        <f t="shared" si="6"/>
        <v>45656</v>
      </c>
      <c r="C225" s="92">
        <v>1.7749999999999999</v>
      </c>
      <c r="D225" s="92"/>
      <c r="E225" s="92">
        <v>1.798</v>
      </c>
      <c r="F225" s="92">
        <v>13</v>
      </c>
      <c r="G225" s="22">
        <f t="shared" si="7"/>
        <v>11.202</v>
      </c>
      <c r="H225" s="22">
        <f>IFERROR(IF(Yearending&gt;B224,'5. Historical demand'!F225-'5. Historical demand'!C225-'5. Historical demand'!D225,""),"")</f>
        <v>11.225</v>
      </c>
      <c r="I225" s="22">
        <f t="shared" si="8"/>
        <v>-2.3000000000000131E-2</v>
      </c>
    </row>
    <row r="226" spans="2:9" x14ac:dyDescent="0.2">
      <c r="B226" s="203">
        <f t="shared" si="6"/>
        <v>45657</v>
      </c>
      <c r="C226" s="92">
        <v>1.7749999999999999</v>
      </c>
      <c r="D226" s="92"/>
      <c r="E226" s="92">
        <v>1.9730000000000001</v>
      </c>
      <c r="F226" s="92">
        <v>13</v>
      </c>
      <c r="G226" s="22">
        <f t="shared" si="7"/>
        <v>11.026999999999999</v>
      </c>
      <c r="H226" s="22">
        <f>IFERROR(IF(Yearending&gt;B225,'5. Historical demand'!F226-'5. Historical demand'!C226-'5. Historical demand'!D226,""),"")</f>
        <v>11.225</v>
      </c>
      <c r="I226" s="22">
        <f t="shared" si="8"/>
        <v>-0.19800000000000018</v>
      </c>
    </row>
    <row r="227" spans="2:9" x14ac:dyDescent="0.2">
      <c r="B227" s="203">
        <f t="shared" si="6"/>
        <v>45658</v>
      </c>
      <c r="C227" s="92">
        <v>2.0960000000000001</v>
      </c>
      <c r="D227" s="92"/>
      <c r="E227" s="92">
        <v>1.44</v>
      </c>
      <c r="F227" s="92">
        <v>13</v>
      </c>
      <c r="G227" s="22">
        <f t="shared" si="7"/>
        <v>11.56</v>
      </c>
      <c r="H227" s="22">
        <f>IFERROR(IF(Yearending&gt;B226,'5. Historical demand'!F227-'5. Historical demand'!C227-'5. Historical demand'!D227,""),"")</f>
        <v>10.904</v>
      </c>
      <c r="I227" s="22">
        <f t="shared" si="8"/>
        <v>0.65600000000000014</v>
      </c>
    </row>
    <row r="228" spans="2:9" x14ac:dyDescent="0.2">
      <c r="B228" s="203">
        <f t="shared" si="6"/>
        <v>45659</v>
      </c>
      <c r="C228" s="92">
        <v>2.0960000000000001</v>
      </c>
      <c r="D228" s="92"/>
      <c r="E228" s="92">
        <v>1.62</v>
      </c>
      <c r="F228" s="92">
        <v>13</v>
      </c>
      <c r="G228" s="22">
        <f t="shared" si="7"/>
        <v>11.379999999999999</v>
      </c>
      <c r="H228" s="22">
        <f>IFERROR(IF(Yearending&gt;B227,'5. Historical demand'!F228-'5. Historical demand'!C228-'5. Historical demand'!D228,""),"")</f>
        <v>10.904</v>
      </c>
      <c r="I228" s="22">
        <f t="shared" si="8"/>
        <v>0.47599999999999998</v>
      </c>
    </row>
    <row r="229" spans="2:9" x14ac:dyDescent="0.2">
      <c r="B229" s="203">
        <f t="shared" si="6"/>
        <v>45660</v>
      </c>
      <c r="C229" s="92">
        <v>2.0960000000000001</v>
      </c>
      <c r="D229" s="92"/>
      <c r="E229" s="92">
        <v>2.024</v>
      </c>
      <c r="F229" s="92">
        <v>13</v>
      </c>
      <c r="G229" s="22">
        <f t="shared" si="7"/>
        <v>10.975999999999999</v>
      </c>
      <c r="H229" s="22">
        <f>IFERROR(IF(Yearending&gt;B228,'5. Historical demand'!F229-'5. Historical demand'!C229-'5. Historical demand'!D229,""),"")</f>
        <v>10.904</v>
      </c>
      <c r="I229" s="22">
        <f t="shared" si="8"/>
        <v>7.2000000000000064E-2</v>
      </c>
    </row>
    <row r="230" spans="2:9" x14ac:dyDescent="0.2">
      <c r="B230" s="203">
        <f t="shared" si="6"/>
        <v>45661</v>
      </c>
      <c r="C230" s="92">
        <v>2.0960000000000001</v>
      </c>
      <c r="D230" s="92"/>
      <c r="E230" s="92">
        <v>0.82399999999999995</v>
      </c>
      <c r="F230" s="92">
        <v>13</v>
      </c>
      <c r="G230" s="22">
        <f t="shared" si="7"/>
        <v>12.176</v>
      </c>
      <c r="H230" s="22">
        <f>IFERROR(IF(Yearending&gt;B229,'5. Historical demand'!F230-'5. Historical demand'!C230-'5. Historical demand'!D230,""),"")</f>
        <v>10.904</v>
      </c>
      <c r="I230" s="22">
        <f t="shared" si="8"/>
        <v>1.2720000000000002</v>
      </c>
    </row>
    <row r="231" spans="2:9" x14ac:dyDescent="0.2">
      <c r="B231" s="203">
        <f t="shared" si="6"/>
        <v>45662</v>
      </c>
      <c r="C231" s="92">
        <v>2.0960000000000001</v>
      </c>
      <c r="D231" s="92"/>
      <c r="E231" s="92">
        <v>0.82799999999999996</v>
      </c>
      <c r="F231" s="92">
        <v>13</v>
      </c>
      <c r="G231" s="22">
        <f t="shared" si="7"/>
        <v>12.172000000000001</v>
      </c>
      <c r="H231" s="22">
        <f>IFERROR(IF(Yearending&gt;B230,'5. Historical demand'!F231-'5. Historical demand'!C231-'5. Historical demand'!D231,""),"")</f>
        <v>10.904</v>
      </c>
      <c r="I231" s="22">
        <f t="shared" si="8"/>
        <v>1.2680000000000002</v>
      </c>
    </row>
    <row r="232" spans="2:9" x14ac:dyDescent="0.2">
      <c r="B232" s="203">
        <f t="shared" si="6"/>
        <v>45663</v>
      </c>
      <c r="C232" s="92">
        <v>2.0960000000000001</v>
      </c>
      <c r="D232" s="92"/>
      <c r="E232" s="92">
        <v>2.5619999999999998</v>
      </c>
      <c r="F232" s="92">
        <v>13</v>
      </c>
      <c r="G232" s="22">
        <f t="shared" si="7"/>
        <v>10.438000000000001</v>
      </c>
      <c r="H232" s="22">
        <f>IFERROR(IF(Yearending&gt;B231,'5. Historical demand'!F232-'5. Historical demand'!C232-'5. Historical demand'!D232,""),"")</f>
        <v>10.904</v>
      </c>
      <c r="I232" s="22">
        <f t="shared" si="8"/>
        <v>-0.46599999999999975</v>
      </c>
    </row>
    <row r="233" spans="2:9" x14ac:dyDescent="0.2">
      <c r="B233" s="203">
        <f t="shared" si="6"/>
        <v>45664</v>
      </c>
      <c r="C233" s="92">
        <v>2.0960000000000001</v>
      </c>
      <c r="D233" s="92"/>
      <c r="E233" s="92">
        <v>3.0510000000000002</v>
      </c>
      <c r="F233" s="92">
        <v>13</v>
      </c>
      <c r="G233" s="22">
        <f t="shared" si="7"/>
        <v>9.9489999999999998</v>
      </c>
      <c r="H233" s="22">
        <f>IFERROR(IF(Yearending&gt;B232,'5. Historical demand'!F233-'5. Historical demand'!C233-'5. Historical demand'!D233,""),"")</f>
        <v>10.904</v>
      </c>
      <c r="I233" s="22">
        <f t="shared" si="8"/>
        <v>-0.95500000000000007</v>
      </c>
    </row>
    <row r="234" spans="2:9" x14ac:dyDescent="0.2">
      <c r="B234" s="203">
        <f t="shared" si="6"/>
        <v>45665</v>
      </c>
      <c r="C234" s="92">
        <v>2.0960000000000001</v>
      </c>
      <c r="D234" s="92"/>
      <c r="E234" s="92">
        <v>3.0840000000000001</v>
      </c>
      <c r="F234" s="92">
        <v>13</v>
      </c>
      <c r="G234" s="22">
        <f t="shared" si="7"/>
        <v>9.9160000000000004</v>
      </c>
      <c r="H234" s="22">
        <f>IFERROR(IF(Yearending&gt;B233,'5. Historical demand'!F234-'5. Historical demand'!C234-'5. Historical demand'!D234,""),"")</f>
        <v>10.904</v>
      </c>
      <c r="I234" s="22">
        <f t="shared" si="8"/>
        <v>-0.98799999999999999</v>
      </c>
    </row>
    <row r="235" spans="2:9" x14ac:dyDescent="0.2">
      <c r="B235" s="203">
        <f t="shared" si="6"/>
        <v>45666</v>
      </c>
      <c r="C235" s="92">
        <v>2.0960000000000001</v>
      </c>
      <c r="D235" s="92"/>
      <c r="E235" s="92">
        <v>3.4580000000000002</v>
      </c>
      <c r="F235" s="92">
        <v>13</v>
      </c>
      <c r="G235" s="22">
        <f t="shared" si="7"/>
        <v>9.5419999999999998</v>
      </c>
      <c r="H235" s="22">
        <f>IFERROR(IF(Yearending&gt;B234,'5. Historical demand'!F235-'5. Historical demand'!C235-'5. Historical demand'!D235,""),"")</f>
        <v>10.904</v>
      </c>
      <c r="I235" s="22">
        <f t="shared" si="8"/>
        <v>-1.3620000000000001</v>
      </c>
    </row>
    <row r="236" spans="2:9" x14ac:dyDescent="0.2">
      <c r="B236" s="203">
        <f t="shared" ref="B236:B299" si="9">IFERROR(IF(Yearending&gt;B235, B235+1, ""),"")</f>
        <v>45667</v>
      </c>
      <c r="C236" s="92">
        <v>2.0960000000000001</v>
      </c>
      <c r="D236" s="92"/>
      <c r="E236" s="92">
        <v>3.4020000000000001</v>
      </c>
      <c r="F236" s="92">
        <v>13</v>
      </c>
      <c r="G236" s="22">
        <f t="shared" ref="G236:G299" si="10">IFERROR(IF(Yearending&gt;B235,F236-E236,""),"")</f>
        <v>9.597999999999999</v>
      </c>
      <c r="H236" s="22">
        <f>IFERROR(IF(Yearending&gt;B235,'5. Historical demand'!F236-'5. Historical demand'!C236-'5. Historical demand'!D236,""),"")</f>
        <v>10.904</v>
      </c>
      <c r="I236" s="22">
        <f t="shared" ref="I236:I299" si="11">IFERROR(IF(Yearending&gt;B235,C236+D236-E236,""),"")</f>
        <v>-1.306</v>
      </c>
    </row>
    <row r="237" spans="2:9" x14ac:dyDescent="0.2">
      <c r="B237" s="203">
        <f t="shared" si="9"/>
        <v>45668</v>
      </c>
      <c r="C237" s="92">
        <v>2.0960000000000001</v>
      </c>
      <c r="D237" s="92"/>
      <c r="E237" s="92">
        <v>3.28</v>
      </c>
      <c r="F237" s="92">
        <v>13</v>
      </c>
      <c r="G237" s="22">
        <f t="shared" si="10"/>
        <v>9.7200000000000006</v>
      </c>
      <c r="H237" s="22">
        <f>IFERROR(IF(Yearending&gt;B236,'5. Historical demand'!F237-'5. Historical demand'!C237-'5. Historical demand'!D237,""),"")</f>
        <v>10.904</v>
      </c>
      <c r="I237" s="22">
        <f t="shared" si="11"/>
        <v>-1.1839999999999997</v>
      </c>
    </row>
    <row r="238" spans="2:9" x14ac:dyDescent="0.2">
      <c r="B238" s="203">
        <f t="shared" si="9"/>
        <v>45669</v>
      </c>
      <c r="C238" s="92">
        <v>2.0960000000000001</v>
      </c>
      <c r="D238" s="92"/>
      <c r="E238" s="92">
        <v>1.272</v>
      </c>
      <c r="F238" s="92">
        <v>13</v>
      </c>
      <c r="G238" s="22">
        <f t="shared" si="10"/>
        <v>11.728</v>
      </c>
      <c r="H238" s="22">
        <f>IFERROR(IF(Yearending&gt;B237,'5. Historical demand'!F238-'5. Historical demand'!C238-'5. Historical demand'!D238,""),"")</f>
        <v>10.904</v>
      </c>
      <c r="I238" s="22">
        <f t="shared" si="11"/>
        <v>0.82400000000000007</v>
      </c>
    </row>
    <row r="239" spans="2:9" x14ac:dyDescent="0.2">
      <c r="B239" s="203">
        <f t="shared" si="9"/>
        <v>45670</v>
      </c>
      <c r="C239" s="92">
        <v>2.0960000000000001</v>
      </c>
      <c r="D239" s="92"/>
      <c r="E239" s="92">
        <v>1.911</v>
      </c>
      <c r="F239" s="92">
        <v>13</v>
      </c>
      <c r="G239" s="22">
        <f t="shared" si="10"/>
        <v>11.089</v>
      </c>
      <c r="H239" s="22">
        <f>IFERROR(IF(Yearending&gt;B238,'5. Historical demand'!F239-'5. Historical demand'!C239-'5. Historical demand'!D239,""),"")</f>
        <v>10.904</v>
      </c>
      <c r="I239" s="22">
        <f t="shared" si="11"/>
        <v>0.18500000000000005</v>
      </c>
    </row>
    <row r="240" spans="2:9" x14ac:dyDescent="0.2">
      <c r="B240" s="203">
        <f t="shared" si="9"/>
        <v>45671</v>
      </c>
      <c r="C240" s="92">
        <v>2.0960000000000001</v>
      </c>
      <c r="D240" s="92"/>
      <c r="E240" s="92">
        <v>2.927</v>
      </c>
      <c r="F240" s="92">
        <v>13</v>
      </c>
      <c r="G240" s="22">
        <f t="shared" si="10"/>
        <v>10.073</v>
      </c>
      <c r="H240" s="22">
        <f>IFERROR(IF(Yearending&gt;B239,'5. Historical demand'!F240-'5. Historical demand'!C240-'5. Historical demand'!D240,""),"")</f>
        <v>10.904</v>
      </c>
      <c r="I240" s="22">
        <f t="shared" si="11"/>
        <v>-0.83099999999999996</v>
      </c>
    </row>
    <row r="241" spans="2:9" x14ac:dyDescent="0.2">
      <c r="B241" s="203">
        <f t="shared" si="9"/>
        <v>45672</v>
      </c>
      <c r="C241" s="92">
        <v>2.0960000000000001</v>
      </c>
      <c r="D241" s="92"/>
      <c r="E241" s="92">
        <v>3.1309999999999998</v>
      </c>
      <c r="F241" s="92">
        <v>13</v>
      </c>
      <c r="G241" s="22">
        <f t="shared" si="10"/>
        <v>9.8689999999999998</v>
      </c>
      <c r="H241" s="22">
        <f>IFERROR(IF(Yearending&gt;B240,'5. Historical demand'!F241-'5. Historical demand'!C241-'5. Historical demand'!D241,""),"")</f>
        <v>10.904</v>
      </c>
      <c r="I241" s="22">
        <f t="shared" si="11"/>
        <v>-1.0349999999999997</v>
      </c>
    </row>
    <row r="242" spans="2:9" x14ac:dyDescent="0.2">
      <c r="B242" s="203">
        <f t="shared" si="9"/>
        <v>45673</v>
      </c>
      <c r="C242" s="92">
        <v>2.0960000000000001</v>
      </c>
      <c r="D242" s="92"/>
      <c r="E242" s="92">
        <v>3.5880000000000001</v>
      </c>
      <c r="F242" s="92">
        <v>13</v>
      </c>
      <c r="G242" s="22">
        <f t="shared" si="10"/>
        <v>9.411999999999999</v>
      </c>
      <c r="H242" s="22">
        <f>IFERROR(IF(Yearending&gt;B241,'5. Historical demand'!F242-'5. Historical demand'!C242-'5. Historical demand'!D242,""),"")</f>
        <v>10.904</v>
      </c>
      <c r="I242" s="22">
        <f t="shared" si="11"/>
        <v>-1.492</v>
      </c>
    </row>
    <row r="243" spans="2:9" x14ac:dyDescent="0.2">
      <c r="B243" s="203">
        <f t="shared" si="9"/>
        <v>45674</v>
      </c>
      <c r="C243" s="92">
        <v>2.0960000000000001</v>
      </c>
      <c r="D243" s="92"/>
      <c r="E243" s="92">
        <v>3.5609999999999999</v>
      </c>
      <c r="F243" s="92">
        <v>13</v>
      </c>
      <c r="G243" s="22">
        <f t="shared" si="10"/>
        <v>9.4390000000000001</v>
      </c>
      <c r="H243" s="22">
        <f>IFERROR(IF(Yearending&gt;B242,'5. Historical demand'!F243-'5. Historical demand'!C243-'5. Historical demand'!D243,""),"")</f>
        <v>10.904</v>
      </c>
      <c r="I243" s="22">
        <f t="shared" si="11"/>
        <v>-1.4649999999999999</v>
      </c>
    </row>
    <row r="244" spans="2:9" x14ac:dyDescent="0.2">
      <c r="B244" s="203">
        <f t="shared" si="9"/>
        <v>45675</v>
      </c>
      <c r="C244" s="92">
        <v>2.0960000000000001</v>
      </c>
      <c r="D244" s="92"/>
      <c r="E244" s="92">
        <v>2.8090000000000002</v>
      </c>
      <c r="F244" s="92">
        <v>13</v>
      </c>
      <c r="G244" s="22">
        <f t="shared" si="10"/>
        <v>10.190999999999999</v>
      </c>
      <c r="H244" s="22">
        <f>IFERROR(IF(Yearending&gt;B243,'5. Historical demand'!F244-'5. Historical demand'!C244-'5. Historical demand'!D244,""),"")</f>
        <v>10.904</v>
      </c>
      <c r="I244" s="22">
        <f t="shared" si="11"/>
        <v>-0.71300000000000008</v>
      </c>
    </row>
    <row r="245" spans="2:9" x14ac:dyDescent="0.2">
      <c r="B245" s="203">
        <f t="shared" si="9"/>
        <v>45676</v>
      </c>
      <c r="C245" s="92">
        <v>2.0960000000000001</v>
      </c>
      <c r="D245" s="92"/>
      <c r="E245" s="92">
        <v>1.996</v>
      </c>
      <c r="F245" s="92">
        <v>13</v>
      </c>
      <c r="G245" s="22">
        <f t="shared" si="10"/>
        <v>11.004</v>
      </c>
      <c r="H245" s="22">
        <f>IFERROR(IF(Yearending&gt;B244,'5. Historical demand'!F245-'5. Historical demand'!C245-'5. Historical demand'!D245,""),"")</f>
        <v>10.904</v>
      </c>
      <c r="I245" s="22">
        <f t="shared" si="11"/>
        <v>0.10000000000000009</v>
      </c>
    </row>
    <row r="246" spans="2:9" x14ac:dyDescent="0.2">
      <c r="B246" s="203">
        <f t="shared" si="9"/>
        <v>45677</v>
      </c>
      <c r="C246" s="92">
        <v>2.0960000000000001</v>
      </c>
      <c r="D246" s="92"/>
      <c r="E246" s="92">
        <v>2.4350000000000001</v>
      </c>
      <c r="F246" s="92">
        <v>13</v>
      </c>
      <c r="G246" s="22">
        <f t="shared" si="10"/>
        <v>10.565</v>
      </c>
      <c r="H246" s="22">
        <f>IFERROR(IF(Yearending&gt;B245,'5. Historical demand'!F246-'5. Historical demand'!C246-'5. Historical demand'!D246,""),"")</f>
        <v>10.904</v>
      </c>
      <c r="I246" s="22">
        <f t="shared" si="11"/>
        <v>-0.33899999999999997</v>
      </c>
    </row>
    <row r="247" spans="2:9" x14ac:dyDescent="0.2">
      <c r="B247" s="203">
        <f t="shared" si="9"/>
        <v>45678</v>
      </c>
      <c r="C247" s="92">
        <v>2.0960000000000001</v>
      </c>
      <c r="D247" s="92"/>
      <c r="E247" s="92">
        <v>3.0459999999999998</v>
      </c>
      <c r="F247" s="92">
        <v>13</v>
      </c>
      <c r="G247" s="22">
        <f t="shared" si="10"/>
        <v>9.9540000000000006</v>
      </c>
      <c r="H247" s="22">
        <f>IFERROR(IF(Yearending&gt;B246,'5. Historical demand'!F247-'5. Historical demand'!C247-'5. Historical demand'!D247,""),"")</f>
        <v>10.904</v>
      </c>
      <c r="I247" s="22">
        <f t="shared" si="11"/>
        <v>-0.94999999999999973</v>
      </c>
    </row>
    <row r="248" spans="2:9" x14ac:dyDescent="0.2">
      <c r="B248" s="203">
        <f t="shared" si="9"/>
        <v>45679</v>
      </c>
      <c r="C248" s="92">
        <v>2.0960000000000001</v>
      </c>
      <c r="D248" s="92"/>
      <c r="E248" s="92">
        <v>3.6419999999999999</v>
      </c>
      <c r="F248" s="92">
        <v>13</v>
      </c>
      <c r="G248" s="22">
        <f t="shared" si="10"/>
        <v>9.3580000000000005</v>
      </c>
      <c r="H248" s="22">
        <f>IFERROR(IF(Yearending&gt;B247,'5. Historical demand'!F248-'5. Historical demand'!C248-'5. Historical demand'!D248,""),"")</f>
        <v>10.904</v>
      </c>
      <c r="I248" s="22">
        <f t="shared" si="11"/>
        <v>-1.5459999999999998</v>
      </c>
    </row>
    <row r="249" spans="2:9" x14ac:dyDescent="0.2">
      <c r="B249" s="203">
        <f t="shared" si="9"/>
        <v>45680</v>
      </c>
      <c r="C249" s="92">
        <v>2.0960000000000001</v>
      </c>
      <c r="D249" s="92"/>
      <c r="E249" s="92">
        <v>3.6890000000000001</v>
      </c>
      <c r="F249" s="92">
        <v>13</v>
      </c>
      <c r="G249" s="22">
        <f t="shared" si="10"/>
        <v>9.3109999999999999</v>
      </c>
      <c r="H249" s="22">
        <f>IFERROR(IF(Yearending&gt;B248,'5. Historical demand'!F249-'5. Historical demand'!C249-'5. Historical demand'!D249,""),"")</f>
        <v>10.904</v>
      </c>
      <c r="I249" s="22">
        <f t="shared" si="11"/>
        <v>-1.593</v>
      </c>
    </row>
    <row r="250" spans="2:9" x14ac:dyDescent="0.2">
      <c r="B250" s="203">
        <f t="shared" si="9"/>
        <v>45681</v>
      </c>
      <c r="C250" s="92">
        <v>2.0960000000000001</v>
      </c>
      <c r="D250" s="92"/>
      <c r="E250" s="92">
        <v>3.4249999999999998</v>
      </c>
      <c r="F250" s="92">
        <v>13</v>
      </c>
      <c r="G250" s="22">
        <f t="shared" si="10"/>
        <v>9.5749999999999993</v>
      </c>
      <c r="H250" s="22">
        <f>IFERROR(IF(Yearending&gt;B249,'5. Historical demand'!F250-'5. Historical demand'!C250-'5. Historical demand'!D250,""),"")</f>
        <v>10.904</v>
      </c>
      <c r="I250" s="22">
        <f t="shared" si="11"/>
        <v>-1.3289999999999997</v>
      </c>
    </row>
    <row r="251" spans="2:9" x14ac:dyDescent="0.2">
      <c r="B251" s="203">
        <f t="shared" si="9"/>
        <v>45682</v>
      </c>
      <c r="C251" s="92">
        <v>2.0960000000000001</v>
      </c>
      <c r="D251" s="92"/>
      <c r="E251" s="92">
        <v>2.363</v>
      </c>
      <c r="F251" s="92">
        <v>13</v>
      </c>
      <c r="G251" s="22">
        <f t="shared" si="10"/>
        <v>10.637</v>
      </c>
      <c r="H251" s="22">
        <f>IFERROR(IF(Yearending&gt;B250,'5. Historical demand'!F251-'5. Historical demand'!C251-'5. Historical demand'!D251,""),"")</f>
        <v>10.904</v>
      </c>
      <c r="I251" s="22">
        <f t="shared" si="11"/>
        <v>-0.2669999999999999</v>
      </c>
    </row>
    <row r="252" spans="2:9" x14ac:dyDescent="0.2">
      <c r="B252" s="203">
        <f t="shared" si="9"/>
        <v>45683</v>
      </c>
      <c r="C252" s="92">
        <v>2.0960000000000001</v>
      </c>
      <c r="D252" s="92"/>
      <c r="E252" s="92">
        <v>1.0860000000000001</v>
      </c>
      <c r="F252" s="92">
        <v>13</v>
      </c>
      <c r="G252" s="22">
        <f t="shared" si="10"/>
        <v>11.914</v>
      </c>
      <c r="H252" s="22">
        <f>IFERROR(IF(Yearending&gt;B251,'5. Historical demand'!F252-'5. Historical demand'!C252-'5. Historical demand'!D252,""),"")</f>
        <v>10.904</v>
      </c>
      <c r="I252" s="22">
        <f t="shared" si="11"/>
        <v>1.01</v>
      </c>
    </row>
    <row r="253" spans="2:9" x14ac:dyDescent="0.2">
      <c r="B253" s="203">
        <f t="shared" si="9"/>
        <v>45684</v>
      </c>
      <c r="C253" s="92">
        <v>2.0960000000000001</v>
      </c>
      <c r="D253" s="92"/>
      <c r="E253" s="92">
        <v>1.698</v>
      </c>
      <c r="F253" s="92">
        <v>13</v>
      </c>
      <c r="G253" s="22">
        <f t="shared" si="10"/>
        <v>11.302</v>
      </c>
      <c r="H253" s="22">
        <f>IFERROR(IF(Yearending&gt;B252,'5. Historical demand'!F253-'5. Historical demand'!C253-'5. Historical demand'!D253,""),"")</f>
        <v>10.904</v>
      </c>
      <c r="I253" s="22">
        <f t="shared" si="11"/>
        <v>0.39800000000000013</v>
      </c>
    </row>
    <row r="254" spans="2:9" x14ac:dyDescent="0.2">
      <c r="B254" s="203">
        <f t="shared" si="9"/>
        <v>45685</v>
      </c>
      <c r="C254" s="92">
        <v>2.0960000000000001</v>
      </c>
      <c r="D254" s="92"/>
      <c r="E254" s="92">
        <v>3.2549999999999999</v>
      </c>
      <c r="F254" s="92">
        <v>13</v>
      </c>
      <c r="G254" s="22">
        <f t="shared" si="10"/>
        <v>9.745000000000001</v>
      </c>
      <c r="H254" s="22">
        <f>IFERROR(IF(Yearending&gt;B253,'5. Historical demand'!F254-'5. Historical demand'!C254-'5. Historical demand'!D254,""),"")</f>
        <v>10.904</v>
      </c>
      <c r="I254" s="22">
        <f t="shared" si="11"/>
        <v>-1.1589999999999998</v>
      </c>
    </row>
    <row r="255" spans="2:9" x14ac:dyDescent="0.2">
      <c r="B255" s="203">
        <f t="shared" si="9"/>
        <v>45686</v>
      </c>
      <c r="C255" s="92">
        <v>2.0960000000000001</v>
      </c>
      <c r="D255" s="92"/>
      <c r="E255" s="92">
        <v>2.8820000000000001</v>
      </c>
      <c r="F255" s="92">
        <v>13</v>
      </c>
      <c r="G255" s="22">
        <f t="shared" si="10"/>
        <v>10.118</v>
      </c>
      <c r="H255" s="22">
        <f>IFERROR(IF(Yearending&gt;B254,'5. Historical demand'!F255-'5. Historical demand'!C255-'5. Historical demand'!D255,""),"")</f>
        <v>10.904</v>
      </c>
      <c r="I255" s="22">
        <f t="shared" si="11"/>
        <v>-0.78600000000000003</v>
      </c>
    </row>
    <row r="256" spans="2:9" x14ac:dyDescent="0.2">
      <c r="B256" s="203">
        <f t="shared" si="9"/>
        <v>45687</v>
      </c>
      <c r="C256" s="92">
        <v>2.0960000000000001</v>
      </c>
      <c r="D256" s="92"/>
      <c r="E256" s="92">
        <v>2.9630000000000001</v>
      </c>
      <c r="F256" s="92">
        <v>13</v>
      </c>
      <c r="G256" s="22">
        <f t="shared" si="10"/>
        <v>10.036999999999999</v>
      </c>
      <c r="H256" s="22">
        <f>IFERROR(IF(Yearending&gt;B255,'5. Historical demand'!F256-'5. Historical demand'!C256-'5. Historical demand'!D256,""),"")</f>
        <v>10.904</v>
      </c>
      <c r="I256" s="22">
        <f t="shared" si="11"/>
        <v>-0.86699999999999999</v>
      </c>
    </row>
    <row r="257" spans="2:9" x14ac:dyDescent="0.2">
      <c r="B257" s="203">
        <f t="shared" si="9"/>
        <v>45688</v>
      </c>
      <c r="C257" s="92">
        <v>2.0960000000000001</v>
      </c>
      <c r="D257" s="92"/>
      <c r="E257" s="92">
        <v>2.677</v>
      </c>
      <c r="F257" s="92">
        <v>13</v>
      </c>
      <c r="G257" s="22">
        <f t="shared" si="10"/>
        <v>10.323</v>
      </c>
      <c r="H257" s="22">
        <f>IFERROR(IF(Yearending&gt;B256,'5. Historical demand'!F257-'5. Historical demand'!C257-'5. Historical demand'!D257,""),"")</f>
        <v>10.904</v>
      </c>
      <c r="I257" s="22">
        <f t="shared" si="11"/>
        <v>-0.58099999999999996</v>
      </c>
    </row>
    <row r="258" spans="2:9" x14ac:dyDescent="0.2">
      <c r="B258" s="203">
        <f t="shared" si="9"/>
        <v>45689</v>
      </c>
      <c r="C258" s="92">
        <v>2.0960000000000001</v>
      </c>
      <c r="D258" s="92"/>
      <c r="E258" s="92">
        <v>2.0579999999999998</v>
      </c>
      <c r="F258" s="92">
        <v>13</v>
      </c>
      <c r="G258" s="22">
        <f t="shared" si="10"/>
        <v>10.942</v>
      </c>
      <c r="H258" s="22">
        <f>IFERROR(IF(Yearending&gt;B257,'5. Historical demand'!F258-'5. Historical demand'!C258-'5. Historical demand'!D258,""),"")</f>
        <v>10.904</v>
      </c>
      <c r="I258" s="22">
        <f t="shared" si="11"/>
        <v>3.8000000000000256E-2</v>
      </c>
    </row>
    <row r="259" spans="2:9" x14ac:dyDescent="0.2">
      <c r="B259" s="203">
        <f t="shared" si="9"/>
        <v>45690</v>
      </c>
      <c r="C259" s="92">
        <v>2.0960000000000001</v>
      </c>
      <c r="D259" s="92"/>
      <c r="E259" s="92">
        <v>1.8120000000000001</v>
      </c>
      <c r="F259" s="92">
        <v>13</v>
      </c>
      <c r="G259" s="22">
        <f t="shared" si="10"/>
        <v>11.188000000000001</v>
      </c>
      <c r="H259" s="22">
        <f>IFERROR(IF(Yearending&gt;B258,'5. Historical demand'!F259-'5. Historical demand'!C259-'5. Historical demand'!D259,""),"")</f>
        <v>10.904</v>
      </c>
      <c r="I259" s="22">
        <f t="shared" si="11"/>
        <v>0.28400000000000003</v>
      </c>
    </row>
    <row r="260" spans="2:9" x14ac:dyDescent="0.2">
      <c r="B260" s="203">
        <f t="shared" si="9"/>
        <v>45691</v>
      </c>
      <c r="C260" s="92">
        <v>2.0960000000000001</v>
      </c>
      <c r="D260" s="92"/>
      <c r="E260" s="92">
        <v>2.714</v>
      </c>
      <c r="F260" s="92">
        <v>13</v>
      </c>
      <c r="G260" s="22">
        <f t="shared" si="10"/>
        <v>10.286</v>
      </c>
      <c r="H260" s="22">
        <f>IFERROR(IF(Yearending&gt;B259,'5. Historical demand'!F260-'5. Historical demand'!C260-'5. Historical demand'!D260,""),"")</f>
        <v>10.904</v>
      </c>
      <c r="I260" s="22">
        <f t="shared" si="11"/>
        <v>-0.61799999999999988</v>
      </c>
    </row>
    <row r="261" spans="2:9" x14ac:dyDescent="0.2">
      <c r="B261" s="203">
        <f t="shared" si="9"/>
        <v>45692</v>
      </c>
      <c r="C261" s="92">
        <v>2.0960000000000001</v>
      </c>
      <c r="D261" s="92"/>
      <c r="E261" s="92">
        <v>3.4119999999999999</v>
      </c>
      <c r="F261" s="92">
        <v>13</v>
      </c>
      <c r="G261" s="22">
        <f t="shared" si="10"/>
        <v>9.588000000000001</v>
      </c>
      <c r="H261" s="22">
        <f>IFERROR(IF(Yearending&gt;B260,'5. Historical demand'!F261-'5. Historical demand'!C261-'5. Historical demand'!D261,""),"")</f>
        <v>10.904</v>
      </c>
      <c r="I261" s="22">
        <f t="shared" si="11"/>
        <v>-1.3159999999999998</v>
      </c>
    </row>
    <row r="262" spans="2:9" x14ac:dyDescent="0.2">
      <c r="B262" s="203">
        <f t="shared" si="9"/>
        <v>45693</v>
      </c>
      <c r="C262" s="92">
        <v>2.0960000000000001</v>
      </c>
      <c r="D262" s="92"/>
      <c r="E262" s="92">
        <v>4.274</v>
      </c>
      <c r="F262" s="92">
        <v>13</v>
      </c>
      <c r="G262" s="22">
        <f t="shared" si="10"/>
        <v>8.7259999999999991</v>
      </c>
      <c r="H262" s="22">
        <f>IFERROR(IF(Yearending&gt;B261,'5. Historical demand'!F262-'5. Historical demand'!C262-'5. Historical demand'!D262,""),"")</f>
        <v>10.904</v>
      </c>
      <c r="I262" s="22">
        <f t="shared" si="11"/>
        <v>-2.1779999999999999</v>
      </c>
    </row>
    <row r="263" spans="2:9" x14ac:dyDescent="0.2">
      <c r="B263" s="203">
        <f t="shared" si="9"/>
        <v>45694</v>
      </c>
      <c r="C263" s="92">
        <v>2.0960000000000001</v>
      </c>
      <c r="D263" s="92"/>
      <c r="E263" s="92">
        <v>3.4990000000000001</v>
      </c>
      <c r="F263" s="92">
        <v>13</v>
      </c>
      <c r="G263" s="22">
        <f t="shared" si="10"/>
        <v>9.5009999999999994</v>
      </c>
      <c r="H263" s="22">
        <f>IFERROR(IF(Yearending&gt;B262,'5. Historical demand'!F263-'5. Historical demand'!C263-'5. Historical demand'!D263,""),"")</f>
        <v>10.904</v>
      </c>
      <c r="I263" s="22">
        <f t="shared" si="11"/>
        <v>-1.403</v>
      </c>
    </row>
    <row r="264" spans="2:9" x14ac:dyDescent="0.2">
      <c r="B264" s="203">
        <f t="shared" si="9"/>
        <v>45695</v>
      </c>
      <c r="C264" s="92">
        <v>2.0960000000000001</v>
      </c>
      <c r="D264" s="92"/>
      <c r="E264" s="92">
        <v>1.726</v>
      </c>
      <c r="F264" s="92">
        <v>13</v>
      </c>
      <c r="G264" s="22">
        <f t="shared" si="10"/>
        <v>11.274000000000001</v>
      </c>
      <c r="H264" s="22">
        <f>IFERROR(IF(Yearending&gt;B263,'5. Historical demand'!F264-'5. Historical demand'!C264-'5. Historical demand'!D264,""),"")</f>
        <v>10.904</v>
      </c>
      <c r="I264" s="22">
        <f t="shared" si="11"/>
        <v>0.37000000000000011</v>
      </c>
    </row>
    <row r="265" spans="2:9" x14ac:dyDescent="0.2">
      <c r="B265" s="203">
        <f t="shared" si="9"/>
        <v>45696</v>
      </c>
      <c r="C265" s="92">
        <v>2.0960000000000001</v>
      </c>
      <c r="D265" s="92"/>
      <c r="E265" s="92">
        <v>1.0920000000000001</v>
      </c>
      <c r="F265" s="92">
        <v>13</v>
      </c>
      <c r="G265" s="22">
        <f t="shared" si="10"/>
        <v>11.907999999999999</v>
      </c>
      <c r="H265" s="22">
        <f>IFERROR(IF(Yearending&gt;B264,'5. Historical demand'!F265-'5. Historical demand'!C265-'5. Historical demand'!D265,""),"")</f>
        <v>10.904</v>
      </c>
      <c r="I265" s="22">
        <f t="shared" si="11"/>
        <v>1.004</v>
      </c>
    </row>
    <row r="266" spans="2:9" x14ac:dyDescent="0.2">
      <c r="B266" s="203">
        <f t="shared" si="9"/>
        <v>45697</v>
      </c>
      <c r="C266" s="92">
        <v>2.0960000000000001</v>
      </c>
      <c r="D266" s="92"/>
      <c r="E266" s="92">
        <v>1.6479999999999999</v>
      </c>
      <c r="F266" s="92">
        <v>13</v>
      </c>
      <c r="G266" s="22">
        <f t="shared" si="10"/>
        <v>11.352</v>
      </c>
      <c r="H266" s="22">
        <f>IFERROR(IF(Yearending&gt;B265,'5. Historical demand'!F266-'5. Historical demand'!C266-'5. Historical demand'!D266,""),"")</f>
        <v>10.904</v>
      </c>
      <c r="I266" s="22">
        <f t="shared" si="11"/>
        <v>0.44800000000000018</v>
      </c>
    </row>
    <row r="267" spans="2:9" x14ac:dyDescent="0.2">
      <c r="B267" s="203">
        <f t="shared" si="9"/>
        <v>45698</v>
      </c>
      <c r="C267" s="92">
        <v>2.0960000000000001</v>
      </c>
      <c r="D267" s="92"/>
      <c r="E267" s="92">
        <v>2.927</v>
      </c>
      <c r="F267" s="92">
        <v>13</v>
      </c>
      <c r="G267" s="22">
        <f t="shared" si="10"/>
        <v>10.073</v>
      </c>
      <c r="H267" s="22">
        <f>IFERROR(IF(Yearending&gt;B266,'5. Historical demand'!F267-'5. Historical demand'!C267-'5. Historical demand'!D267,""),"")</f>
        <v>10.904</v>
      </c>
      <c r="I267" s="22">
        <f t="shared" si="11"/>
        <v>-0.83099999999999996</v>
      </c>
    </row>
    <row r="268" spans="2:9" x14ac:dyDescent="0.2">
      <c r="B268" s="203">
        <f t="shared" si="9"/>
        <v>45699</v>
      </c>
      <c r="C268" s="92">
        <v>2.0960000000000001</v>
      </c>
      <c r="D268" s="92"/>
      <c r="E268" s="92">
        <v>3.4489999999999998</v>
      </c>
      <c r="F268" s="92">
        <v>13</v>
      </c>
      <c r="G268" s="22">
        <f t="shared" si="10"/>
        <v>9.5510000000000002</v>
      </c>
      <c r="H268" s="22">
        <f>IFERROR(IF(Yearending&gt;B267,'5. Historical demand'!F268-'5. Historical demand'!C268-'5. Historical demand'!D268,""),"")</f>
        <v>10.904</v>
      </c>
      <c r="I268" s="22">
        <f t="shared" si="11"/>
        <v>-1.3529999999999998</v>
      </c>
    </row>
    <row r="269" spans="2:9" x14ac:dyDescent="0.2">
      <c r="B269" s="203">
        <f t="shared" si="9"/>
        <v>45700</v>
      </c>
      <c r="C269" s="92">
        <v>2.0960000000000001</v>
      </c>
      <c r="D269" s="92"/>
      <c r="E269" s="92">
        <v>3.64</v>
      </c>
      <c r="F269" s="92">
        <v>13</v>
      </c>
      <c r="G269" s="22">
        <f t="shared" si="10"/>
        <v>9.36</v>
      </c>
      <c r="H269" s="22">
        <f>IFERROR(IF(Yearending&gt;B268,'5. Historical demand'!F269-'5. Historical demand'!C269-'5. Historical demand'!D269,""),"")</f>
        <v>10.904</v>
      </c>
      <c r="I269" s="22">
        <f t="shared" si="11"/>
        <v>-1.544</v>
      </c>
    </row>
    <row r="270" spans="2:9" x14ac:dyDescent="0.2">
      <c r="B270" s="203">
        <f t="shared" si="9"/>
        <v>45701</v>
      </c>
      <c r="C270" s="92">
        <v>2.0960000000000001</v>
      </c>
      <c r="D270" s="92"/>
      <c r="E270" s="92">
        <v>3.3519999999999999</v>
      </c>
      <c r="F270" s="92">
        <v>13</v>
      </c>
      <c r="G270" s="22">
        <f t="shared" si="10"/>
        <v>9.6479999999999997</v>
      </c>
      <c r="H270" s="22">
        <f>IFERROR(IF(Yearending&gt;B269,'5. Historical demand'!F270-'5. Historical demand'!C270-'5. Historical demand'!D270,""),"")</f>
        <v>10.904</v>
      </c>
      <c r="I270" s="22">
        <f t="shared" si="11"/>
        <v>-1.2559999999999998</v>
      </c>
    </row>
    <row r="271" spans="2:9" x14ac:dyDescent="0.2">
      <c r="B271" s="203">
        <f t="shared" si="9"/>
        <v>45702</v>
      </c>
      <c r="C271" s="92">
        <v>2.0960000000000001</v>
      </c>
      <c r="D271" s="92"/>
      <c r="E271" s="92">
        <v>3.2749999999999999</v>
      </c>
      <c r="F271" s="92">
        <v>13</v>
      </c>
      <c r="G271" s="22">
        <f t="shared" si="10"/>
        <v>9.7249999999999996</v>
      </c>
      <c r="H271" s="22">
        <f>IFERROR(IF(Yearending&gt;B270,'5. Historical demand'!F271-'5. Historical demand'!C271-'5. Historical demand'!D271,""),"")</f>
        <v>10.904</v>
      </c>
      <c r="I271" s="22">
        <f t="shared" si="11"/>
        <v>-1.1789999999999998</v>
      </c>
    </row>
    <row r="272" spans="2:9" x14ac:dyDescent="0.2">
      <c r="B272" s="203">
        <f t="shared" si="9"/>
        <v>45703</v>
      </c>
      <c r="C272" s="92">
        <v>2.0960000000000001</v>
      </c>
      <c r="D272" s="92"/>
      <c r="E272" s="92">
        <v>1.694</v>
      </c>
      <c r="F272" s="92">
        <v>13</v>
      </c>
      <c r="G272" s="22">
        <f t="shared" si="10"/>
        <v>11.306000000000001</v>
      </c>
      <c r="H272" s="22">
        <f>IFERROR(IF(Yearending&gt;B271,'5. Historical demand'!F272-'5. Historical demand'!C272-'5. Historical demand'!D272,""),"")</f>
        <v>10.904</v>
      </c>
      <c r="I272" s="22">
        <f t="shared" si="11"/>
        <v>0.40200000000000014</v>
      </c>
    </row>
    <row r="273" spans="2:9" x14ac:dyDescent="0.2">
      <c r="B273" s="203">
        <f t="shared" si="9"/>
        <v>45704</v>
      </c>
      <c r="C273" s="92">
        <v>2.0960000000000001</v>
      </c>
      <c r="D273" s="92"/>
      <c r="E273" s="92">
        <v>1.552</v>
      </c>
      <c r="F273" s="92">
        <v>13</v>
      </c>
      <c r="G273" s="22">
        <f t="shared" si="10"/>
        <v>11.448</v>
      </c>
      <c r="H273" s="22">
        <f>IFERROR(IF(Yearending&gt;B272,'5. Historical demand'!F273-'5. Historical demand'!C273-'5. Historical demand'!D273,""),"")</f>
        <v>10.904</v>
      </c>
      <c r="I273" s="22">
        <f t="shared" si="11"/>
        <v>0.54400000000000004</v>
      </c>
    </row>
    <row r="274" spans="2:9" x14ac:dyDescent="0.2">
      <c r="B274" s="203">
        <f t="shared" si="9"/>
        <v>45705</v>
      </c>
      <c r="C274" s="92">
        <v>2.0960000000000001</v>
      </c>
      <c r="D274" s="92"/>
      <c r="E274" s="92">
        <v>3.3149999999999999</v>
      </c>
      <c r="F274" s="92">
        <v>13</v>
      </c>
      <c r="G274" s="22">
        <f t="shared" si="10"/>
        <v>9.6850000000000005</v>
      </c>
      <c r="H274" s="22">
        <f>IFERROR(IF(Yearending&gt;B273,'5. Historical demand'!F274-'5. Historical demand'!C274-'5. Historical demand'!D274,""),"")</f>
        <v>10.904</v>
      </c>
      <c r="I274" s="22">
        <f t="shared" si="11"/>
        <v>-1.2189999999999999</v>
      </c>
    </row>
    <row r="275" spans="2:9" x14ac:dyDescent="0.2">
      <c r="B275" s="203">
        <f t="shared" si="9"/>
        <v>45706</v>
      </c>
      <c r="C275" s="92">
        <v>2.0960000000000001</v>
      </c>
      <c r="D275" s="92"/>
      <c r="E275" s="92">
        <v>3.907</v>
      </c>
      <c r="F275" s="92">
        <v>13</v>
      </c>
      <c r="G275" s="22">
        <f t="shared" si="10"/>
        <v>9.093</v>
      </c>
      <c r="H275" s="22">
        <f>IFERROR(IF(Yearending&gt;B274,'5. Historical demand'!F275-'5. Historical demand'!C275-'5. Historical demand'!D275,""),"")</f>
        <v>10.904</v>
      </c>
      <c r="I275" s="22">
        <f t="shared" si="11"/>
        <v>-1.8109999999999999</v>
      </c>
    </row>
    <row r="276" spans="2:9" x14ac:dyDescent="0.2">
      <c r="B276" s="203">
        <f t="shared" si="9"/>
        <v>45707</v>
      </c>
      <c r="C276" s="92">
        <v>2.0960000000000001</v>
      </c>
      <c r="D276" s="92"/>
      <c r="E276" s="92">
        <v>3.3889999999999998</v>
      </c>
      <c r="F276" s="92">
        <v>13</v>
      </c>
      <c r="G276" s="22">
        <f t="shared" si="10"/>
        <v>9.6110000000000007</v>
      </c>
      <c r="H276" s="22">
        <f>IFERROR(IF(Yearending&gt;B275,'5. Historical demand'!F276-'5. Historical demand'!C276-'5. Historical demand'!D276,""),"")</f>
        <v>10.904</v>
      </c>
      <c r="I276" s="22">
        <f t="shared" si="11"/>
        <v>-1.2929999999999997</v>
      </c>
    </row>
    <row r="277" spans="2:9" x14ac:dyDescent="0.2">
      <c r="B277" s="203">
        <f t="shared" si="9"/>
        <v>45708</v>
      </c>
      <c r="C277" s="92">
        <v>2.0960000000000001</v>
      </c>
      <c r="D277" s="92"/>
      <c r="E277" s="92">
        <v>3.306</v>
      </c>
      <c r="F277" s="92">
        <v>13</v>
      </c>
      <c r="G277" s="22">
        <f t="shared" si="10"/>
        <v>9.6939999999999991</v>
      </c>
      <c r="H277" s="22">
        <f>IFERROR(IF(Yearending&gt;B276,'5. Historical demand'!F277-'5. Historical demand'!C277-'5. Historical demand'!D277,""),"")</f>
        <v>10.904</v>
      </c>
      <c r="I277" s="22">
        <f t="shared" si="11"/>
        <v>-1.21</v>
      </c>
    </row>
    <row r="278" spans="2:9" x14ac:dyDescent="0.2">
      <c r="B278" s="203">
        <f t="shared" si="9"/>
        <v>45709</v>
      </c>
      <c r="C278" s="92">
        <v>2.0960000000000001</v>
      </c>
      <c r="D278" s="92"/>
      <c r="E278" s="92">
        <v>3.5779999999999998</v>
      </c>
      <c r="F278" s="92">
        <v>13</v>
      </c>
      <c r="G278" s="22">
        <f t="shared" si="10"/>
        <v>9.4220000000000006</v>
      </c>
      <c r="H278" s="22">
        <f>IFERROR(IF(Yearending&gt;B277,'5. Historical demand'!F278-'5. Historical demand'!C278-'5. Historical demand'!D278,""),"")</f>
        <v>10.904</v>
      </c>
      <c r="I278" s="22">
        <f t="shared" si="11"/>
        <v>-1.4819999999999998</v>
      </c>
    </row>
    <row r="279" spans="2:9" x14ac:dyDescent="0.2">
      <c r="B279" s="203">
        <f t="shared" si="9"/>
        <v>45710</v>
      </c>
      <c r="C279" s="92">
        <v>2.0960000000000001</v>
      </c>
      <c r="D279" s="92"/>
      <c r="E279" s="92">
        <v>2.456</v>
      </c>
      <c r="F279" s="92">
        <v>13</v>
      </c>
      <c r="G279" s="22">
        <f t="shared" si="10"/>
        <v>10.544</v>
      </c>
      <c r="H279" s="22">
        <f>IFERROR(IF(Yearending&gt;B278,'5. Historical demand'!F279-'5. Historical demand'!C279-'5. Historical demand'!D279,""),"")</f>
        <v>10.904</v>
      </c>
      <c r="I279" s="22">
        <f t="shared" si="11"/>
        <v>-0.35999999999999988</v>
      </c>
    </row>
    <row r="280" spans="2:9" x14ac:dyDescent="0.2">
      <c r="B280" s="203">
        <f t="shared" si="9"/>
        <v>45711</v>
      </c>
      <c r="C280" s="92">
        <v>2.0960000000000001</v>
      </c>
      <c r="D280" s="92"/>
      <c r="E280" s="92">
        <v>1.6220000000000001</v>
      </c>
      <c r="F280" s="92">
        <v>13</v>
      </c>
      <c r="G280" s="22">
        <f t="shared" si="10"/>
        <v>11.378</v>
      </c>
      <c r="H280" s="22">
        <f>IFERROR(IF(Yearending&gt;B279,'5. Historical demand'!F280-'5. Historical demand'!C280-'5. Historical demand'!D280,""),"")</f>
        <v>10.904</v>
      </c>
      <c r="I280" s="22">
        <f t="shared" si="11"/>
        <v>0.47399999999999998</v>
      </c>
    </row>
    <row r="281" spans="2:9" x14ac:dyDescent="0.2">
      <c r="B281" s="203">
        <f t="shared" si="9"/>
        <v>45712</v>
      </c>
      <c r="C281" s="92">
        <v>2.0960000000000001</v>
      </c>
      <c r="D281" s="92"/>
      <c r="E281" s="92">
        <v>2.5920000000000001</v>
      </c>
      <c r="F281" s="92">
        <v>13</v>
      </c>
      <c r="G281" s="22">
        <f t="shared" si="10"/>
        <v>10.407999999999999</v>
      </c>
      <c r="H281" s="22">
        <f>IFERROR(IF(Yearending&gt;B280,'5. Historical demand'!F281-'5. Historical demand'!C281-'5. Historical demand'!D281,""),"")</f>
        <v>10.904</v>
      </c>
      <c r="I281" s="22">
        <f t="shared" si="11"/>
        <v>-0.496</v>
      </c>
    </row>
    <row r="282" spans="2:9" x14ac:dyDescent="0.2">
      <c r="B282" s="203">
        <f t="shared" si="9"/>
        <v>45713</v>
      </c>
      <c r="C282" s="92">
        <v>2.0960000000000001</v>
      </c>
      <c r="D282" s="92"/>
      <c r="E282" s="92">
        <v>2.89</v>
      </c>
      <c r="F282" s="92">
        <v>13</v>
      </c>
      <c r="G282" s="22">
        <f t="shared" si="10"/>
        <v>10.11</v>
      </c>
      <c r="H282" s="22">
        <f>IFERROR(IF(Yearending&gt;B281,'5. Historical demand'!F282-'5. Historical demand'!C282-'5. Historical demand'!D282,""),"")</f>
        <v>10.904</v>
      </c>
      <c r="I282" s="22">
        <f t="shared" si="11"/>
        <v>-0.79400000000000004</v>
      </c>
    </row>
    <row r="283" spans="2:9" x14ac:dyDescent="0.2">
      <c r="B283" s="203">
        <f t="shared" si="9"/>
        <v>45714</v>
      </c>
      <c r="C283" s="92">
        <v>2.0960000000000001</v>
      </c>
      <c r="D283" s="92"/>
      <c r="E283" s="92">
        <v>3.6970000000000001</v>
      </c>
      <c r="F283" s="92">
        <v>13</v>
      </c>
      <c r="G283" s="22">
        <f t="shared" si="10"/>
        <v>9.3030000000000008</v>
      </c>
      <c r="H283" s="22">
        <f>IFERROR(IF(Yearending&gt;B282,'5. Historical demand'!F283-'5. Historical demand'!C283-'5. Historical demand'!D283,""),"")</f>
        <v>10.904</v>
      </c>
      <c r="I283" s="22">
        <f t="shared" si="11"/>
        <v>-1.601</v>
      </c>
    </row>
    <row r="284" spans="2:9" x14ac:dyDescent="0.2">
      <c r="B284" s="203">
        <f t="shared" si="9"/>
        <v>45715</v>
      </c>
      <c r="C284" s="92">
        <v>2.0960000000000001</v>
      </c>
      <c r="D284" s="92"/>
      <c r="E284" s="92">
        <v>2.5390000000000001</v>
      </c>
      <c r="F284" s="92">
        <v>13</v>
      </c>
      <c r="G284" s="22">
        <f t="shared" si="10"/>
        <v>10.461</v>
      </c>
      <c r="H284" s="22">
        <f>IFERROR(IF(Yearending&gt;B283,'5. Historical demand'!F284-'5. Historical demand'!C284-'5. Historical demand'!D284,""),"")</f>
        <v>10.904</v>
      </c>
      <c r="I284" s="22">
        <f t="shared" si="11"/>
        <v>-0.44300000000000006</v>
      </c>
    </row>
    <row r="285" spans="2:9" x14ac:dyDescent="0.2">
      <c r="B285" s="203">
        <f t="shared" si="9"/>
        <v>45716</v>
      </c>
      <c r="C285" s="92">
        <v>2.0960000000000001</v>
      </c>
      <c r="D285" s="92"/>
      <c r="E285" s="92">
        <v>2.9529999999999998</v>
      </c>
      <c r="F285" s="92">
        <v>13</v>
      </c>
      <c r="G285" s="22">
        <f t="shared" si="10"/>
        <v>10.047000000000001</v>
      </c>
      <c r="H285" s="22">
        <f>IFERROR(IF(Yearending&gt;B284,'5. Historical demand'!F285-'5. Historical demand'!C285-'5. Historical demand'!D285,""),"")</f>
        <v>10.904</v>
      </c>
      <c r="I285" s="22">
        <f t="shared" si="11"/>
        <v>-0.85699999999999976</v>
      </c>
    </row>
    <row r="286" spans="2:9" x14ac:dyDescent="0.2">
      <c r="B286" s="203">
        <f t="shared" si="9"/>
        <v>45717</v>
      </c>
      <c r="C286" s="92">
        <v>2.0960000000000001</v>
      </c>
      <c r="D286" s="92"/>
      <c r="E286" s="92">
        <v>2.4580000000000002</v>
      </c>
      <c r="F286" s="92">
        <v>13</v>
      </c>
      <c r="G286" s="22">
        <f t="shared" si="10"/>
        <v>10.542</v>
      </c>
      <c r="H286" s="22">
        <f>IFERROR(IF(Yearending&gt;B285,'5. Historical demand'!F286-'5. Historical demand'!C286-'5. Historical demand'!D286,""),"")</f>
        <v>10.904</v>
      </c>
      <c r="I286" s="22">
        <f t="shared" si="11"/>
        <v>-0.3620000000000001</v>
      </c>
    </row>
    <row r="287" spans="2:9" x14ac:dyDescent="0.2">
      <c r="B287" s="203">
        <f t="shared" si="9"/>
        <v>45718</v>
      </c>
      <c r="C287" s="92">
        <v>2.0960000000000001</v>
      </c>
      <c r="D287" s="92"/>
      <c r="E287" s="92">
        <v>1.708</v>
      </c>
      <c r="F287" s="92">
        <v>13</v>
      </c>
      <c r="G287" s="22">
        <f t="shared" si="10"/>
        <v>11.292</v>
      </c>
      <c r="H287" s="22">
        <f>IFERROR(IF(Yearending&gt;B286,'5. Historical demand'!F287-'5. Historical demand'!C287-'5. Historical demand'!D287,""),"")</f>
        <v>10.904</v>
      </c>
      <c r="I287" s="22">
        <f t="shared" si="11"/>
        <v>0.38800000000000012</v>
      </c>
    </row>
    <row r="288" spans="2:9" x14ac:dyDescent="0.2">
      <c r="B288" s="203">
        <f t="shared" si="9"/>
        <v>45719</v>
      </c>
      <c r="C288" s="92">
        <v>2.0960000000000001</v>
      </c>
      <c r="D288" s="92"/>
      <c r="E288" s="92">
        <v>3.0590000000000002</v>
      </c>
      <c r="F288" s="92">
        <v>13</v>
      </c>
      <c r="G288" s="22">
        <f t="shared" si="10"/>
        <v>9.9409999999999989</v>
      </c>
      <c r="H288" s="22">
        <f>IFERROR(IF(Yearending&gt;B287,'5. Historical demand'!F288-'5. Historical demand'!C288-'5. Historical demand'!D288,""),"")</f>
        <v>10.904</v>
      </c>
      <c r="I288" s="22">
        <f t="shared" si="11"/>
        <v>-0.96300000000000008</v>
      </c>
    </row>
    <row r="289" spans="2:9" x14ac:dyDescent="0.2">
      <c r="B289" s="203">
        <f t="shared" si="9"/>
        <v>45720</v>
      </c>
      <c r="C289" s="92">
        <v>2.0960000000000001</v>
      </c>
      <c r="D289" s="92"/>
      <c r="E289" s="92">
        <v>4.2130000000000001</v>
      </c>
      <c r="F289" s="92">
        <v>13</v>
      </c>
      <c r="G289" s="22">
        <f t="shared" si="10"/>
        <v>8.786999999999999</v>
      </c>
      <c r="H289" s="22">
        <f>IFERROR(IF(Yearending&gt;B288,'5. Historical demand'!F289-'5. Historical demand'!C289-'5. Historical demand'!D289,""),"")</f>
        <v>10.904</v>
      </c>
      <c r="I289" s="22">
        <f t="shared" si="11"/>
        <v>-2.117</v>
      </c>
    </row>
    <row r="290" spans="2:9" x14ac:dyDescent="0.2">
      <c r="B290" s="203">
        <f t="shared" si="9"/>
        <v>45721</v>
      </c>
      <c r="C290" s="92">
        <v>2.0960000000000001</v>
      </c>
      <c r="D290" s="92"/>
      <c r="E290" s="92">
        <v>3.89</v>
      </c>
      <c r="F290" s="92">
        <v>13</v>
      </c>
      <c r="G290" s="22">
        <f t="shared" si="10"/>
        <v>9.11</v>
      </c>
      <c r="H290" s="22">
        <f>IFERROR(IF(Yearending&gt;B289,'5. Historical demand'!F290-'5. Historical demand'!C290-'5. Historical demand'!D290,""),"")</f>
        <v>10.904</v>
      </c>
      <c r="I290" s="22">
        <f t="shared" si="11"/>
        <v>-1.794</v>
      </c>
    </row>
    <row r="291" spans="2:9" x14ac:dyDescent="0.2">
      <c r="B291" s="203">
        <f t="shared" si="9"/>
        <v>45722</v>
      </c>
      <c r="C291" s="92">
        <v>2.0960000000000001</v>
      </c>
      <c r="D291" s="92"/>
      <c r="E291" s="92">
        <v>3.484</v>
      </c>
      <c r="F291" s="92">
        <v>13</v>
      </c>
      <c r="G291" s="22">
        <f t="shared" si="10"/>
        <v>9.516</v>
      </c>
      <c r="H291" s="22">
        <f>IFERROR(IF(Yearending&gt;B290,'5. Historical demand'!F291-'5. Historical demand'!C291-'5. Historical demand'!D291,""),"")</f>
        <v>10.904</v>
      </c>
      <c r="I291" s="22">
        <f t="shared" si="11"/>
        <v>-1.3879999999999999</v>
      </c>
    </row>
    <row r="292" spans="2:9" x14ac:dyDescent="0.2">
      <c r="B292" s="203">
        <f t="shared" si="9"/>
        <v>45723</v>
      </c>
      <c r="C292" s="92">
        <v>2.0960000000000001</v>
      </c>
      <c r="D292" s="92"/>
      <c r="E292" s="92">
        <v>2.4089999999999998</v>
      </c>
      <c r="F292" s="92">
        <v>13</v>
      </c>
      <c r="G292" s="22">
        <f t="shared" si="10"/>
        <v>10.591000000000001</v>
      </c>
      <c r="H292" s="22">
        <f>IFERROR(IF(Yearending&gt;B291,'5. Historical demand'!F292-'5. Historical demand'!C292-'5. Historical demand'!D292,""),"")</f>
        <v>10.904</v>
      </c>
      <c r="I292" s="22">
        <f t="shared" si="11"/>
        <v>-0.31299999999999972</v>
      </c>
    </row>
    <row r="293" spans="2:9" x14ac:dyDescent="0.2">
      <c r="B293" s="203">
        <f t="shared" si="9"/>
        <v>45724</v>
      </c>
      <c r="C293" s="92">
        <v>2.0960000000000001</v>
      </c>
      <c r="D293" s="92"/>
      <c r="E293" s="92">
        <v>1.827</v>
      </c>
      <c r="F293" s="92">
        <v>13</v>
      </c>
      <c r="G293" s="22">
        <f t="shared" si="10"/>
        <v>11.173</v>
      </c>
      <c r="H293" s="22">
        <f>IFERROR(IF(Yearending&gt;B292,'5. Historical demand'!F293-'5. Historical demand'!C293-'5. Historical demand'!D293,""),"")</f>
        <v>10.904</v>
      </c>
      <c r="I293" s="22">
        <f t="shared" si="11"/>
        <v>0.26900000000000013</v>
      </c>
    </row>
    <row r="294" spans="2:9" x14ac:dyDescent="0.2">
      <c r="B294" s="203">
        <f t="shared" si="9"/>
        <v>45725</v>
      </c>
      <c r="C294" s="92">
        <v>2.0960000000000001</v>
      </c>
      <c r="D294" s="92"/>
      <c r="E294" s="92">
        <v>2.387</v>
      </c>
      <c r="F294" s="92">
        <v>13</v>
      </c>
      <c r="G294" s="22">
        <f t="shared" si="10"/>
        <v>10.613</v>
      </c>
      <c r="H294" s="22">
        <f>IFERROR(IF(Yearending&gt;B293,'5. Historical demand'!F294-'5. Historical demand'!C294-'5. Historical demand'!D294,""),"")</f>
        <v>10.904</v>
      </c>
      <c r="I294" s="22">
        <f t="shared" si="11"/>
        <v>-0.29099999999999993</v>
      </c>
    </row>
    <row r="295" spans="2:9" x14ac:dyDescent="0.2">
      <c r="B295" s="203">
        <f t="shared" si="9"/>
        <v>45726</v>
      </c>
      <c r="C295" s="92">
        <v>2.0960000000000001</v>
      </c>
      <c r="D295" s="92"/>
      <c r="E295" s="92">
        <v>2.4689999999999999</v>
      </c>
      <c r="F295" s="92">
        <v>13</v>
      </c>
      <c r="G295" s="22">
        <f t="shared" si="10"/>
        <v>10.531000000000001</v>
      </c>
      <c r="H295" s="22">
        <f>IFERROR(IF(Yearending&gt;B294,'5. Historical demand'!F295-'5. Historical demand'!C295-'5. Historical demand'!D295,""),"")</f>
        <v>10.904</v>
      </c>
      <c r="I295" s="22">
        <f t="shared" si="11"/>
        <v>-0.37299999999999978</v>
      </c>
    </row>
    <row r="296" spans="2:9" x14ac:dyDescent="0.2">
      <c r="B296" s="203">
        <f t="shared" si="9"/>
        <v>45727</v>
      </c>
      <c r="C296" s="92">
        <v>2.0960000000000001</v>
      </c>
      <c r="D296" s="92"/>
      <c r="E296" s="92">
        <v>2.4119999999999999</v>
      </c>
      <c r="F296" s="92">
        <v>13</v>
      </c>
      <c r="G296" s="22">
        <f t="shared" si="10"/>
        <v>10.588000000000001</v>
      </c>
      <c r="H296" s="22">
        <f>IFERROR(IF(Yearending&gt;B295,'5. Historical demand'!F296-'5. Historical demand'!C296-'5. Historical demand'!D296,""),"")</f>
        <v>10.904</v>
      </c>
      <c r="I296" s="22">
        <f t="shared" si="11"/>
        <v>-0.31599999999999984</v>
      </c>
    </row>
    <row r="297" spans="2:9" x14ac:dyDescent="0.2">
      <c r="B297" s="203">
        <f t="shared" si="9"/>
        <v>45728</v>
      </c>
      <c r="C297" s="92">
        <v>2.0960000000000001</v>
      </c>
      <c r="D297" s="92"/>
      <c r="E297" s="92">
        <v>2.964</v>
      </c>
      <c r="F297" s="92">
        <v>13</v>
      </c>
      <c r="G297" s="22">
        <f t="shared" si="10"/>
        <v>10.036</v>
      </c>
      <c r="H297" s="22">
        <f>IFERROR(IF(Yearending&gt;B296,'5. Historical demand'!F297-'5. Historical demand'!C297-'5. Historical demand'!D297,""),"")</f>
        <v>10.904</v>
      </c>
      <c r="I297" s="22">
        <f t="shared" si="11"/>
        <v>-0.86799999999999988</v>
      </c>
    </row>
    <row r="298" spans="2:9" x14ac:dyDescent="0.2">
      <c r="B298" s="203">
        <f t="shared" si="9"/>
        <v>45729</v>
      </c>
      <c r="C298" s="92">
        <v>2.0960000000000001</v>
      </c>
      <c r="D298" s="92"/>
      <c r="E298" s="92">
        <v>3.794</v>
      </c>
      <c r="F298" s="92">
        <v>13</v>
      </c>
      <c r="G298" s="22">
        <f t="shared" si="10"/>
        <v>9.2059999999999995</v>
      </c>
      <c r="H298" s="22">
        <f>IFERROR(IF(Yearending&gt;B297,'5. Historical demand'!F298-'5. Historical demand'!C298-'5. Historical demand'!D298,""),"")</f>
        <v>10.904</v>
      </c>
      <c r="I298" s="22">
        <f t="shared" si="11"/>
        <v>-1.698</v>
      </c>
    </row>
    <row r="299" spans="2:9" x14ac:dyDescent="0.2">
      <c r="B299" s="203">
        <f t="shared" si="9"/>
        <v>45730</v>
      </c>
      <c r="C299" s="92">
        <v>2.0960000000000001</v>
      </c>
      <c r="D299" s="92"/>
      <c r="E299" s="92">
        <v>3.637</v>
      </c>
      <c r="F299" s="92">
        <v>13</v>
      </c>
      <c r="G299" s="22">
        <f t="shared" si="10"/>
        <v>9.3629999999999995</v>
      </c>
      <c r="H299" s="22">
        <f>IFERROR(IF(Yearending&gt;B298,'5. Historical demand'!F299-'5. Historical demand'!C299-'5. Historical demand'!D299,""),"")</f>
        <v>10.904</v>
      </c>
      <c r="I299" s="22">
        <f t="shared" si="11"/>
        <v>-1.5409999999999999</v>
      </c>
    </row>
    <row r="300" spans="2:9" x14ac:dyDescent="0.2">
      <c r="B300" s="203">
        <f t="shared" ref="B300:B363" si="12">IFERROR(IF(Yearending&gt;B299, B299+1, ""),"")</f>
        <v>45731</v>
      </c>
      <c r="C300" s="92">
        <v>2.0960000000000001</v>
      </c>
      <c r="D300" s="92"/>
      <c r="E300" s="92">
        <v>3.7170000000000001</v>
      </c>
      <c r="F300" s="92">
        <v>13</v>
      </c>
      <c r="G300" s="22">
        <f t="shared" ref="G300:G363" si="13">IFERROR(IF(Yearending&gt;B299,F300-E300,""),"")</f>
        <v>9.2829999999999995</v>
      </c>
      <c r="H300" s="22">
        <f>IFERROR(IF(Yearending&gt;B299,'5. Historical demand'!F300-'5. Historical demand'!C300-'5. Historical demand'!D300,""),"")</f>
        <v>10.904</v>
      </c>
      <c r="I300" s="22">
        <f t="shared" ref="I300:I363" si="14">IFERROR(IF(Yearending&gt;B299,C300+D300-E300,""),"")</f>
        <v>-1.621</v>
      </c>
    </row>
    <row r="301" spans="2:9" x14ac:dyDescent="0.2">
      <c r="B301" s="203">
        <f t="shared" si="12"/>
        <v>45732</v>
      </c>
      <c r="C301" s="92">
        <v>2.0960000000000001</v>
      </c>
      <c r="D301" s="92"/>
      <c r="E301" s="92">
        <v>1.768</v>
      </c>
      <c r="F301" s="92">
        <v>13</v>
      </c>
      <c r="G301" s="22">
        <f t="shared" si="13"/>
        <v>11.231999999999999</v>
      </c>
      <c r="H301" s="22">
        <f>IFERROR(IF(Yearending&gt;B300,'5. Historical demand'!F301-'5. Historical demand'!C301-'5. Historical demand'!D301,""),"")</f>
        <v>10.904</v>
      </c>
      <c r="I301" s="22">
        <f t="shared" si="14"/>
        <v>0.32800000000000007</v>
      </c>
    </row>
    <row r="302" spans="2:9" x14ac:dyDescent="0.2">
      <c r="B302" s="203">
        <f t="shared" si="12"/>
        <v>45733</v>
      </c>
      <c r="C302" s="92">
        <v>2.0960000000000001</v>
      </c>
      <c r="D302" s="92"/>
      <c r="E302" s="92">
        <v>1.6559999999999999</v>
      </c>
      <c r="F302" s="92">
        <v>13</v>
      </c>
      <c r="G302" s="22">
        <f t="shared" si="13"/>
        <v>11.343999999999999</v>
      </c>
      <c r="H302" s="22">
        <f>IFERROR(IF(Yearending&gt;B301,'5. Historical demand'!F302-'5. Historical demand'!C302-'5. Historical demand'!D302,""),"")</f>
        <v>10.904</v>
      </c>
      <c r="I302" s="22">
        <f t="shared" si="14"/>
        <v>0.44000000000000017</v>
      </c>
    </row>
    <row r="303" spans="2:9" x14ac:dyDescent="0.2">
      <c r="B303" s="203">
        <f t="shared" si="12"/>
        <v>45734</v>
      </c>
      <c r="C303" s="92">
        <v>2.0960000000000001</v>
      </c>
      <c r="D303" s="92"/>
      <c r="E303" s="92">
        <v>2.7010000000000001</v>
      </c>
      <c r="F303" s="92">
        <v>13</v>
      </c>
      <c r="G303" s="22">
        <f t="shared" si="13"/>
        <v>10.298999999999999</v>
      </c>
      <c r="H303" s="22">
        <f>IFERROR(IF(Yearending&gt;B302,'5. Historical demand'!F303-'5. Historical demand'!C303-'5. Historical demand'!D303,""),"")</f>
        <v>10.904</v>
      </c>
      <c r="I303" s="22">
        <f t="shared" si="14"/>
        <v>-0.60499999999999998</v>
      </c>
    </row>
    <row r="304" spans="2:9" x14ac:dyDescent="0.2">
      <c r="B304" s="203">
        <f t="shared" si="12"/>
        <v>45735</v>
      </c>
      <c r="C304" s="92">
        <v>2.0960000000000001</v>
      </c>
      <c r="D304" s="92"/>
      <c r="E304" s="92">
        <v>4.2759999999999998</v>
      </c>
      <c r="F304" s="92">
        <v>13</v>
      </c>
      <c r="G304" s="22">
        <f t="shared" si="13"/>
        <v>8.7240000000000002</v>
      </c>
      <c r="H304" s="22">
        <f>IFERROR(IF(Yearending&gt;B303,'5. Historical demand'!F304-'5. Historical demand'!C304-'5. Historical demand'!D304,""),"")</f>
        <v>10.904</v>
      </c>
      <c r="I304" s="22">
        <f t="shared" si="14"/>
        <v>-2.1799999999999997</v>
      </c>
    </row>
    <row r="305" spans="2:9" x14ac:dyDescent="0.2">
      <c r="B305" s="203">
        <f t="shared" si="12"/>
        <v>45736</v>
      </c>
      <c r="C305" s="92">
        <v>2.0960000000000001</v>
      </c>
      <c r="D305" s="92"/>
      <c r="E305" s="92">
        <v>3.8130000000000002</v>
      </c>
      <c r="F305" s="92">
        <v>13</v>
      </c>
      <c r="G305" s="22">
        <f t="shared" si="13"/>
        <v>9.1869999999999994</v>
      </c>
      <c r="H305" s="22">
        <f>IFERROR(IF(Yearending&gt;B304,'5. Historical demand'!F305-'5. Historical demand'!C305-'5. Historical demand'!D305,""),"")</f>
        <v>10.904</v>
      </c>
      <c r="I305" s="22">
        <f t="shared" si="14"/>
        <v>-1.7170000000000001</v>
      </c>
    </row>
    <row r="306" spans="2:9" x14ac:dyDescent="0.2">
      <c r="B306" s="203">
        <f t="shared" si="12"/>
        <v>45737</v>
      </c>
      <c r="C306" s="92">
        <v>2.0960000000000001</v>
      </c>
      <c r="D306" s="92"/>
      <c r="E306" s="92">
        <v>2.778</v>
      </c>
      <c r="F306" s="92">
        <v>13</v>
      </c>
      <c r="G306" s="22">
        <f t="shared" si="13"/>
        <v>10.222</v>
      </c>
      <c r="H306" s="22">
        <f>IFERROR(IF(Yearending&gt;B305,'5. Historical demand'!F306-'5. Historical demand'!C306-'5. Historical demand'!D306,""),"")</f>
        <v>10.904</v>
      </c>
      <c r="I306" s="22">
        <f t="shared" si="14"/>
        <v>-0.68199999999999994</v>
      </c>
    </row>
    <row r="307" spans="2:9" x14ac:dyDescent="0.2">
      <c r="B307" s="203">
        <f t="shared" si="12"/>
        <v>45738</v>
      </c>
      <c r="C307" s="92">
        <v>2.0960000000000001</v>
      </c>
      <c r="D307" s="92"/>
      <c r="E307" s="92">
        <v>3.2810000000000001</v>
      </c>
      <c r="F307" s="92">
        <v>13</v>
      </c>
      <c r="G307" s="22">
        <f t="shared" si="13"/>
        <v>9.7189999999999994</v>
      </c>
      <c r="H307" s="22">
        <f>IFERROR(IF(Yearending&gt;B306,'5. Historical demand'!F307-'5. Historical demand'!C307-'5. Historical demand'!D307,""),"")</f>
        <v>10.904</v>
      </c>
      <c r="I307" s="22">
        <f t="shared" si="14"/>
        <v>-1.1850000000000001</v>
      </c>
    </row>
    <row r="308" spans="2:9" x14ac:dyDescent="0.2">
      <c r="B308" s="203">
        <f t="shared" si="12"/>
        <v>45739</v>
      </c>
      <c r="C308" s="92">
        <v>2.0960000000000001</v>
      </c>
      <c r="D308" s="92"/>
      <c r="E308" s="92">
        <v>2.6640000000000001</v>
      </c>
      <c r="F308" s="92">
        <v>13</v>
      </c>
      <c r="G308" s="22">
        <f t="shared" si="13"/>
        <v>10.336</v>
      </c>
      <c r="H308" s="22">
        <f>IFERROR(IF(Yearending&gt;B307,'5. Historical demand'!F308-'5. Historical demand'!C308-'5. Historical demand'!D308,""),"")</f>
        <v>10.904</v>
      </c>
      <c r="I308" s="22">
        <f t="shared" si="14"/>
        <v>-0.56800000000000006</v>
      </c>
    </row>
    <row r="309" spans="2:9" x14ac:dyDescent="0.2">
      <c r="B309" s="203">
        <f t="shared" si="12"/>
        <v>45740</v>
      </c>
      <c r="C309" s="92">
        <v>2.0960000000000001</v>
      </c>
      <c r="D309" s="92"/>
      <c r="E309" s="92">
        <v>3.1160000000000001</v>
      </c>
      <c r="F309" s="92">
        <v>13</v>
      </c>
      <c r="G309" s="22">
        <f t="shared" si="13"/>
        <v>9.8840000000000003</v>
      </c>
      <c r="H309" s="22">
        <f>IFERROR(IF(Yearending&gt;B308,'5. Historical demand'!F309-'5. Historical demand'!C309-'5. Historical demand'!D309,""),"")</f>
        <v>10.904</v>
      </c>
      <c r="I309" s="22">
        <f t="shared" si="14"/>
        <v>-1.02</v>
      </c>
    </row>
    <row r="310" spans="2:9" x14ac:dyDescent="0.2">
      <c r="B310" s="203">
        <f t="shared" si="12"/>
        <v>45741</v>
      </c>
      <c r="C310" s="92">
        <v>2.0960000000000001</v>
      </c>
      <c r="D310" s="92"/>
      <c r="E310" s="92">
        <v>3.0739999999999998</v>
      </c>
      <c r="F310" s="92">
        <v>13</v>
      </c>
      <c r="G310" s="22">
        <f t="shared" si="13"/>
        <v>9.9260000000000002</v>
      </c>
      <c r="H310" s="22">
        <f>IFERROR(IF(Yearending&gt;B309,'5. Historical demand'!F310-'5. Historical demand'!C310-'5. Historical demand'!D310,""),"")</f>
        <v>10.904</v>
      </c>
      <c r="I310" s="22">
        <f t="shared" si="14"/>
        <v>-0.97799999999999976</v>
      </c>
    </row>
    <row r="311" spans="2:9" x14ac:dyDescent="0.2">
      <c r="B311" s="203">
        <f t="shared" si="12"/>
        <v>45742</v>
      </c>
      <c r="C311" s="92">
        <v>2.0960000000000001</v>
      </c>
      <c r="D311" s="92"/>
      <c r="E311" s="92">
        <v>2.8839999999999999</v>
      </c>
      <c r="F311" s="92">
        <v>13</v>
      </c>
      <c r="G311" s="22">
        <f t="shared" si="13"/>
        <v>10.116</v>
      </c>
      <c r="H311" s="22">
        <f>IFERROR(IF(Yearending&gt;B310,'5. Historical demand'!F311-'5. Historical demand'!C311-'5. Historical demand'!D311,""),"")</f>
        <v>10.904</v>
      </c>
      <c r="I311" s="22">
        <f t="shared" si="14"/>
        <v>-0.78799999999999981</v>
      </c>
    </row>
    <row r="312" spans="2:9" x14ac:dyDescent="0.2">
      <c r="B312" s="203">
        <f t="shared" si="12"/>
        <v>45743</v>
      </c>
      <c r="C312" s="92">
        <v>2.0960000000000001</v>
      </c>
      <c r="D312" s="92"/>
      <c r="E312" s="92">
        <v>2.5499999999999998</v>
      </c>
      <c r="F312" s="92">
        <v>13</v>
      </c>
      <c r="G312" s="22">
        <f t="shared" si="13"/>
        <v>10.45</v>
      </c>
      <c r="H312" s="22">
        <f>IFERROR(IF(Yearending&gt;B311,'5. Historical demand'!F312-'5. Historical demand'!C312-'5. Historical demand'!D312,""),"")</f>
        <v>10.904</v>
      </c>
      <c r="I312" s="22">
        <f t="shared" si="14"/>
        <v>-0.45399999999999974</v>
      </c>
    </row>
    <row r="313" spans="2:9" x14ac:dyDescent="0.2">
      <c r="B313" s="203">
        <f t="shared" si="12"/>
        <v>45744</v>
      </c>
      <c r="C313" s="92">
        <v>2.0960000000000001</v>
      </c>
      <c r="D313" s="92"/>
      <c r="E313" s="92">
        <v>3</v>
      </c>
      <c r="F313" s="92">
        <v>13</v>
      </c>
      <c r="G313" s="22">
        <f t="shared" si="13"/>
        <v>10</v>
      </c>
      <c r="H313" s="22">
        <f>IFERROR(IF(Yearending&gt;B312,'5. Historical demand'!F313-'5. Historical demand'!C313-'5. Historical demand'!D313,""),"")</f>
        <v>10.904</v>
      </c>
      <c r="I313" s="22">
        <f t="shared" si="14"/>
        <v>-0.90399999999999991</v>
      </c>
    </row>
    <row r="314" spans="2:9" x14ac:dyDescent="0.2">
      <c r="B314" s="203">
        <f t="shared" si="12"/>
        <v>45745</v>
      </c>
      <c r="C314" s="92">
        <v>2.0960000000000001</v>
      </c>
      <c r="D314" s="92"/>
      <c r="E314" s="92">
        <v>2.9590000000000001</v>
      </c>
      <c r="F314" s="92">
        <v>13</v>
      </c>
      <c r="G314" s="22">
        <f t="shared" si="13"/>
        <v>10.041</v>
      </c>
      <c r="H314" s="22">
        <f>IFERROR(IF(Yearending&gt;B313,'5. Historical demand'!F314-'5. Historical demand'!C314-'5. Historical demand'!D314,""),"")</f>
        <v>10.904</v>
      </c>
      <c r="I314" s="22">
        <f t="shared" si="14"/>
        <v>-0.86299999999999999</v>
      </c>
    </row>
    <row r="315" spans="2:9" x14ac:dyDescent="0.2">
      <c r="B315" s="203">
        <f t="shared" si="12"/>
        <v>45746</v>
      </c>
      <c r="C315" s="92">
        <v>2.0960000000000001</v>
      </c>
      <c r="D315" s="92"/>
      <c r="E315" s="92">
        <v>2.8969999999999998</v>
      </c>
      <c r="F315" s="92">
        <v>13</v>
      </c>
      <c r="G315" s="22">
        <f t="shared" si="13"/>
        <v>10.103</v>
      </c>
      <c r="H315" s="22">
        <f>IFERROR(IF(Yearending&gt;B314,'5. Historical demand'!F315-'5. Historical demand'!C315-'5. Historical demand'!D315,""),"")</f>
        <v>10.904</v>
      </c>
      <c r="I315" s="22">
        <f t="shared" si="14"/>
        <v>-0.80099999999999971</v>
      </c>
    </row>
    <row r="316" spans="2:9" x14ac:dyDescent="0.2">
      <c r="B316" s="203">
        <f t="shared" si="12"/>
        <v>45747</v>
      </c>
      <c r="C316" s="92">
        <v>2.0960000000000001</v>
      </c>
      <c r="D316" s="92"/>
      <c r="E316" s="92">
        <v>2.2389999999999999</v>
      </c>
      <c r="F316" s="92">
        <v>13</v>
      </c>
      <c r="G316" s="22">
        <f t="shared" si="13"/>
        <v>10.760999999999999</v>
      </c>
      <c r="H316" s="22">
        <f>IFERROR(IF(Yearending&gt;B315,'5. Historical demand'!F316-'5. Historical demand'!C316-'5. Historical demand'!D316,""),"")</f>
        <v>10.904</v>
      </c>
      <c r="I316" s="22">
        <f t="shared" si="14"/>
        <v>-0.14299999999999979</v>
      </c>
    </row>
    <row r="317" spans="2:9" x14ac:dyDescent="0.2">
      <c r="B317" s="203">
        <f t="shared" si="12"/>
        <v>45748</v>
      </c>
      <c r="C317" s="92">
        <v>2.0960000000000001</v>
      </c>
      <c r="D317" s="92"/>
      <c r="E317" s="92">
        <v>2.9580000000000002</v>
      </c>
      <c r="F317" s="92">
        <v>13</v>
      </c>
      <c r="G317" s="22">
        <f t="shared" si="13"/>
        <v>10.042</v>
      </c>
      <c r="H317" s="22">
        <f>IFERROR(IF(Yearending&gt;B316,'5. Historical demand'!F317-'5. Historical demand'!C317-'5. Historical demand'!D317,""),"")</f>
        <v>10.904</v>
      </c>
      <c r="I317" s="22">
        <f t="shared" si="14"/>
        <v>-0.8620000000000001</v>
      </c>
    </row>
    <row r="318" spans="2:9" x14ac:dyDescent="0.2">
      <c r="B318" s="203">
        <f t="shared" si="12"/>
        <v>45749</v>
      </c>
      <c r="C318" s="92">
        <v>2.0960000000000001</v>
      </c>
      <c r="D318" s="92"/>
      <c r="E318" s="92">
        <v>3.6230000000000002</v>
      </c>
      <c r="F318" s="92">
        <v>13</v>
      </c>
      <c r="G318" s="22">
        <f t="shared" si="13"/>
        <v>9.3769999999999989</v>
      </c>
      <c r="H318" s="22">
        <f>IFERROR(IF(Yearending&gt;B317,'5. Historical demand'!F318-'5. Historical demand'!C318-'5. Historical demand'!D318,""),"")</f>
        <v>10.904</v>
      </c>
      <c r="I318" s="22">
        <f t="shared" si="14"/>
        <v>-1.5270000000000001</v>
      </c>
    </row>
    <row r="319" spans="2:9" x14ac:dyDescent="0.2">
      <c r="B319" s="203">
        <f t="shared" si="12"/>
        <v>45750</v>
      </c>
      <c r="C319" s="92">
        <v>2.0960000000000001</v>
      </c>
      <c r="D319" s="92"/>
      <c r="E319" s="92">
        <v>3.8650000000000002</v>
      </c>
      <c r="F319" s="92">
        <v>13</v>
      </c>
      <c r="G319" s="22">
        <f t="shared" si="13"/>
        <v>9.1349999999999998</v>
      </c>
      <c r="H319" s="22">
        <f>IFERROR(IF(Yearending&gt;B318,'5. Historical demand'!F319-'5. Historical demand'!C319-'5. Historical demand'!D319,""),"")</f>
        <v>10.904</v>
      </c>
      <c r="I319" s="22">
        <f t="shared" si="14"/>
        <v>-1.7690000000000001</v>
      </c>
    </row>
    <row r="320" spans="2:9" x14ac:dyDescent="0.2">
      <c r="B320" s="203">
        <f t="shared" si="12"/>
        <v>45751</v>
      </c>
      <c r="C320" s="92">
        <v>2.0960000000000001</v>
      </c>
      <c r="D320" s="92"/>
      <c r="E320" s="92">
        <v>4.431</v>
      </c>
      <c r="F320" s="92">
        <v>13</v>
      </c>
      <c r="G320" s="22">
        <f t="shared" si="13"/>
        <v>8.5689999999999991</v>
      </c>
      <c r="H320" s="22">
        <f>IFERROR(IF(Yearending&gt;B319,'5. Historical demand'!F320-'5. Historical demand'!C320-'5. Historical demand'!D320,""),"")</f>
        <v>10.904</v>
      </c>
      <c r="I320" s="22">
        <f t="shared" si="14"/>
        <v>-2.335</v>
      </c>
    </row>
    <row r="321" spans="2:9" x14ac:dyDescent="0.2">
      <c r="B321" s="203">
        <f t="shared" si="12"/>
        <v>45752</v>
      </c>
      <c r="C321" s="92">
        <v>2.0960000000000001</v>
      </c>
      <c r="D321" s="92"/>
      <c r="E321" s="92">
        <v>3.9209999999999998</v>
      </c>
      <c r="F321" s="92">
        <v>13</v>
      </c>
      <c r="G321" s="22">
        <f t="shared" si="13"/>
        <v>9.0790000000000006</v>
      </c>
      <c r="H321" s="22">
        <f>IFERROR(IF(Yearending&gt;B320,'5. Historical demand'!F321-'5. Historical demand'!C321-'5. Historical demand'!D321,""),"")</f>
        <v>10.904</v>
      </c>
      <c r="I321" s="22">
        <f t="shared" si="14"/>
        <v>-1.8249999999999997</v>
      </c>
    </row>
    <row r="322" spans="2:9" x14ac:dyDescent="0.2">
      <c r="B322" s="203">
        <f t="shared" si="12"/>
        <v>45753</v>
      </c>
      <c r="C322" s="92">
        <v>2.0960000000000001</v>
      </c>
      <c r="D322" s="92"/>
      <c r="E322" s="92">
        <v>2.1720000000000002</v>
      </c>
      <c r="F322" s="92">
        <v>13</v>
      </c>
      <c r="G322" s="22">
        <f t="shared" si="13"/>
        <v>10.827999999999999</v>
      </c>
      <c r="H322" s="22">
        <f>IFERROR(IF(Yearending&gt;B321,'5. Historical demand'!F322-'5. Historical demand'!C322-'5. Historical demand'!D322,""),"")</f>
        <v>10.904</v>
      </c>
      <c r="I322" s="22">
        <f t="shared" si="14"/>
        <v>-7.6000000000000068E-2</v>
      </c>
    </row>
    <row r="323" spans="2:9" x14ac:dyDescent="0.2">
      <c r="B323" s="203">
        <f t="shared" si="12"/>
        <v>45754</v>
      </c>
      <c r="C323" s="92">
        <v>2.0960000000000001</v>
      </c>
      <c r="D323" s="92"/>
      <c r="E323" s="92">
        <v>2.6349999999999998</v>
      </c>
      <c r="F323" s="92">
        <v>13</v>
      </c>
      <c r="G323" s="22">
        <f t="shared" si="13"/>
        <v>10.365</v>
      </c>
      <c r="H323" s="22">
        <f>IFERROR(IF(Yearending&gt;B322,'5. Historical demand'!F323-'5. Historical demand'!C323-'5. Historical demand'!D323,""),"")</f>
        <v>10.904</v>
      </c>
      <c r="I323" s="22">
        <f t="shared" si="14"/>
        <v>-0.5389999999999997</v>
      </c>
    </row>
    <row r="324" spans="2:9" x14ac:dyDescent="0.2">
      <c r="B324" s="203">
        <f t="shared" si="12"/>
        <v>45755</v>
      </c>
      <c r="C324" s="92">
        <v>2.0960000000000001</v>
      </c>
      <c r="D324" s="92"/>
      <c r="E324" s="92">
        <v>4.1760000000000002</v>
      </c>
      <c r="F324" s="92">
        <v>13</v>
      </c>
      <c r="G324" s="22">
        <f t="shared" si="13"/>
        <v>8.8239999999999998</v>
      </c>
      <c r="H324" s="22">
        <f>IFERROR(IF(Yearending&gt;B323,'5. Historical demand'!F324-'5. Historical demand'!C324-'5. Historical demand'!D324,""),"")</f>
        <v>10.904</v>
      </c>
      <c r="I324" s="22">
        <f t="shared" si="14"/>
        <v>-2.08</v>
      </c>
    </row>
    <row r="325" spans="2:9" x14ac:dyDescent="0.2">
      <c r="B325" s="203">
        <f t="shared" si="12"/>
        <v>45756</v>
      </c>
      <c r="C325" s="92">
        <v>2.0960000000000001</v>
      </c>
      <c r="D325" s="92"/>
      <c r="E325" s="92">
        <v>3.5470000000000002</v>
      </c>
      <c r="F325" s="92">
        <v>13</v>
      </c>
      <c r="G325" s="22">
        <f t="shared" si="13"/>
        <v>9.4529999999999994</v>
      </c>
      <c r="H325" s="22">
        <f>IFERROR(IF(Yearending&gt;B324,'5. Historical demand'!F325-'5. Historical demand'!C325-'5. Historical demand'!D325,""),"")</f>
        <v>10.904</v>
      </c>
      <c r="I325" s="22">
        <f t="shared" si="14"/>
        <v>-1.4510000000000001</v>
      </c>
    </row>
    <row r="326" spans="2:9" x14ac:dyDescent="0.2">
      <c r="B326" s="203">
        <f t="shared" si="12"/>
        <v>45757</v>
      </c>
      <c r="C326" s="92">
        <v>2.0960000000000001</v>
      </c>
      <c r="D326" s="92"/>
      <c r="E326" s="92">
        <v>3.867</v>
      </c>
      <c r="F326" s="92">
        <v>13</v>
      </c>
      <c r="G326" s="22">
        <f t="shared" si="13"/>
        <v>9.1329999999999991</v>
      </c>
      <c r="H326" s="22">
        <f>IFERROR(IF(Yearending&gt;B325,'5. Historical demand'!F326-'5. Historical demand'!C326-'5. Historical demand'!D326,""),"")</f>
        <v>10.904</v>
      </c>
      <c r="I326" s="22">
        <f t="shared" si="14"/>
        <v>-1.7709999999999999</v>
      </c>
    </row>
    <row r="327" spans="2:9" x14ac:dyDescent="0.2">
      <c r="B327" s="203">
        <f t="shared" si="12"/>
        <v>45758</v>
      </c>
      <c r="C327" s="92">
        <v>2.0960000000000001</v>
      </c>
      <c r="D327" s="92"/>
      <c r="E327" s="92">
        <v>3.4049999999999998</v>
      </c>
      <c r="F327" s="92">
        <v>13</v>
      </c>
      <c r="G327" s="22">
        <f t="shared" si="13"/>
        <v>9.5950000000000006</v>
      </c>
      <c r="H327" s="22">
        <f>IFERROR(IF(Yearending&gt;B326,'5. Historical demand'!F327-'5. Historical demand'!C327-'5. Historical demand'!D327,""),"")</f>
        <v>10.904</v>
      </c>
      <c r="I327" s="22">
        <f t="shared" si="14"/>
        <v>-1.3089999999999997</v>
      </c>
    </row>
    <row r="328" spans="2:9" x14ac:dyDescent="0.2">
      <c r="B328" s="203">
        <f t="shared" si="12"/>
        <v>45759</v>
      </c>
      <c r="C328" s="92">
        <v>2.0960000000000001</v>
      </c>
      <c r="D328" s="92"/>
      <c r="E328" s="92">
        <v>2.9950000000000001</v>
      </c>
      <c r="F328" s="92">
        <v>13</v>
      </c>
      <c r="G328" s="22">
        <f t="shared" si="13"/>
        <v>10.004999999999999</v>
      </c>
      <c r="H328" s="22">
        <f>IFERROR(IF(Yearending&gt;B327,'5. Historical demand'!F328-'5. Historical demand'!C328-'5. Historical demand'!D328,""),"")</f>
        <v>10.904</v>
      </c>
      <c r="I328" s="22">
        <f t="shared" si="14"/>
        <v>-0.89900000000000002</v>
      </c>
    </row>
    <row r="329" spans="2:9" x14ac:dyDescent="0.2">
      <c r="B329" s="203">
        <f t="shared" si="12"/>
        <v>45760</v>
      </c>
      <c r="C329" s="92">
        <v>2.0960000000000001</v>
      </c>
      <c r="D329" s="92"/>
      <c r="E329" s="92">
        <v>3.3820000000000001</v>
      </c>
      <c r="F329" s="92">
        <v>13</v>
      </c>
      <c r="G329" s="22">
        <f t="shared" si="13"/>
        <v>9.6180000000000003</v>
      </c>
      <c r="H329" s="22">
        <f>IFERROR(IF(Yearending&gt;B328,'5. Historical demand'!F329-'5. Historical demand'!C329-'5. Historical demand'!D329,""),"")</f>
        <v>10.904</v>
      </c>
      <c r="I329" s="22">
        <f t="shared" si="14"/>
        <v>-1.286</v>
      </c>
    </row>
    <row r="330" spans="2:9" x14ac:dyDescent="0.2">
      <c r="B330" s="203">
        <f t="shared" si="12"/>
        <v>45761</v>
      </c>
      <c r="C330" s="92">
        <v>2.0960000000000001</v>
      </c>
      <c r="D330" s="92"/>
      <c r="E330" s="92">
        <v>3.0270000000000001</v>
      </c>
      <c r="F330" s="92">
        <v>13</v>
      </c>
      <c r="G330" s="22">
        <f t="shared" si="13"/>
        <v>9.972999999999999</v>
      </c>
      <c r="H330" s="22">
        <f>IFERROR(IF(Yearending&gt;B329,'5. Historical demand'!F330-'5. Historical demand'!C330-'5. Historical demand'!D330,""),"")</f>
        <v>10.904</v>
      </c>
      <c r="I330" s="22">
        <f t="shared" si="14"/>
        <v>-0.93100000000000005</v>
      </c>
    </row>
    <row r="331" spans="2:9" x14ac:dyDescent="0.2">
      <c r="B331" s="203">
        <f t="shared" si="12"/>
        <v>45762</v>
      </c>
      <c r="C331" s="92">
        <v>2.0960000000000001</v>
      </c>
      <c r="D331" s="92"/>
      <c r="E331" s="92">
        <v>4.1539999999999999</v>
      </c>
      <c r="F331" s="92">
        <v>13</v>
      </c>
      <c r="G331" s="22">
        <f t="shared" si="13"/>
        <v>8.8460000000000001</v>
      </c>
      <c r="H331" s="22">
        <f>IFERROR(IF(Yearending&gt;B330,'5. Historical demand'!F331-'5. Historical demand'!C331-'5. Historical demand'!D331,""),"")</f>
        <v>10.904</v>
      </c>
      <c r="I331" s="22">
        <f t="shared" si="14"/>
        <v>-2.0579999999999998</v>
      </c>
    </row>
    <row r="332" spans="2:9" x14ac:dyDescent="0.2">
      <c r="B332" s="203">
        <f t="shared" si="12"/>
        <v>45763</v>
      </c>
      <c r="C332" s="92">
        <v>2.0960000000000001</v>
      </c>
      <c r="D332" s="92"/>
      <c r="E332" s="92">
        <v>4.383</v>
      </c>
      <c r="F332" s="92">
        <v>13</v>
      </c>
      <c r="G332" s="22">
        <f t="shared" si="13"/>
        <v>8.6170000000000009</v>
      </c>
      <c r="H332" s="22">
        <f>IFERROR(IF(Yearending&gt;B331,'5. Historical demand'!F332-'5. Historical demand'!C332-'5. Historical demand'!D332,""),"")</f>
        <v>10.904</v>
      </c>
      <c r="I332" s="22">
        <f t="shared" si="14"/>
        <v>-2.2869999999999999</v>
      </c>
    </row>
    <row r="333" spans="2:9" x14ac:dyDescent="0.2">
      <c r="B333" s="203">
        <f t="shared" si="12"/>
        <v>45764</v>
      </c>
      <c r="C333" s="92">
        <v>2.0960000000000001</v>
      </c>
      <c r="D333" s="92"/>
      <c r="E333" s="92">
        <v>4.0039999999999996</v>
      </c>
      <c r="F333" s="92">
        <v>13</v>
      </c>
      <c r="G333" s="22">
        <f t="shared" si="13"/>
        <v>8.9960000000000004</v>
      </c>
      <c r="H333" s="22">
        <f>IFERROR(IF(Yearending&gt;B332,'5. Historical demand'!F333-'5. Historical demand'!C333-'5. Historical demand'!D333,""),"")</f>
        <v>10.904</v>
      </c>
      <c r="I333" s="22">
        <f t="shared" si="14"/>
        <v>-1.9079999999999995</v>
      </c>
    </row>
    <row r="334" spans="2:9" x14ac:dyDescent="0.2">
      <c r="B334" s="203">
        <f t="shared" si="12"/>
        <v>45765</v>
      </c>
      <c r="C334" s="92">
        <v>2.0960000000000001</v>
      </c>
      <c r="D334" s="92"/>
      <c r="E334" s="92">
        <v>3.444</v>
      </c>
      <c r="F334" s="92">
        <v>13</v>
      </c>
      <c r="G334" s="22">
        <f t="shared" si="13"/>
        <v>9.5560000000000009</v>
      </c>
      <c r="H334" s="22">
        <f>IFERROR(IF(Yearending&gt;B333,'5. Historical demand'!F334-'5. Historical demand'!C334-'5. Historical demand'!D334,""),"")</f>
        <v>10.904</v>
      </c>
      <c r="I334" s="22">
        <f t="shared" si="14"/>
        <v>-1.3479999999999999</v>
      </c>
    </row>
    <row r="335" spans="2:9" x14ac:dyDescent="0.2">
      <c r="B335" s="203">
        <f t="shared" si="12"/>
        <v>45766</v>
      </c>
      <c r="C335" s="92">
        <v>2.0960000000000001</v>
      </c>
      <c r="D335" s="92"/>
      <c r="E335" s="92">
        <v>1.589</v>
      </c>
      <c r="F335" s="92">
        <v>13</v>
      </c>
      <c r="G335" s="22">
        <f t="shared" si="13"/>
        <v>11.411</v>
      </c>
      <c r="H335" s="22">
        <f>IFERROR(IF(Yearending&gt;B334,'5. Historical demand'!F335-'5. Historical demand'!C335-'5. Historical demand'!D335,""),"")</f>
        <v>10.904</v>
      </c>
      <c r="I335" s="22">
        <f t="shared" si="14"/>
        <v>0.50700000000000012</v>
      </c>
    </row>
    <row r="336" spans="2:9" x14ac:dyDescent="0.2">
      <c r="B336" s="203">
        <f t="shared" si="12"/>
        <v>45767</v>
      </c>
      <c r="C336" s="92">
        <v>2.0960000000000001</v>
      </c>
      <c r="D336" s="92"/>
      <c r="E336" s="92">
        <v>1.0289999999999999</v>
      </c>
      <c r="F336" s="92">
        <v>13</v>
      </c>
      <c r="G336" s="22">
        <f t="shared" si="13"/>
        <v>11.971</v>
      </c>
      <c r="H336" s="22">
        <f>IFERROR(IF(Yearending&gt;B335,'5. Historical demand'!F336-'5. Historical demand'!C336-'5. Historical demand'!D336,""),"")</f>
        <v>10.904</v>
      </c>
      <c r="I336" s="22">
        <f t="shared" si="14"/>
        <v>1.0670000000000002</v>
      </c>
    </row>
    <row r="337" spans="2:9" x14ac:dyDescent="0.2">
      <c r="B337" s="203">
        <f t="shared" si="12"/>
        <v>45768</v>
      </c>
      <c r="C337" s="92">
        <v>2.0960000000000001</v>
      </c>
      <c r="D337" s="92"/>
      <c r="E337" s="92">
        <v>1.649</v>
      </c>
      <c r="F337" s="92">
        <v>13</v>
      </c>
      <c r="G337" s="22">
        <f t="shared" si="13"/>
        <v>11.350999999999999</v>
      </c>
      <c r="H337" s="22">
        <f>IFERROR(IF(Yearending&gt;B336,'5. Historical demand'!F337-'5. Historical demand'!C337-'5. Historical demand'!D337,""),"")</f>
        <v>10.904</v>
      </c>
      <c r="I337" s="22">
        <f t="shared" si="14"/>
        <v>0.44700000000000006</v>
      </c>
    </row>
    <row r="338" spans="2:9" x14ac:dyDescent="0.2">
      <c r="B338" s="203">
        <f t="shared" si="12"/>
        <v>45769</v>
      </c>
      <c r="C338" s="92">
        <v>2.0960000000000001</v>
      </c>
      <c r="D338" s="92"/>
      <c r="E338" s="92">
        <v>3.2130000000000001</v>
      </c>
      <c r="F338" s="92">
        <v>13</v>
      </c>
      <c r="G338" s="22">
        <f t="shared" si="13"/>
        <v>9.786999999999999</v>
      </c>
      <c r="H338" s="22">
        <f>IFERROR(IF(Yearending&gt;B337,'5. Historical demand'!F338-'5. Historical demand'!C338-'5. Historical demand'!D338,""),"")</f>
        <v>10.904</v>
      </c>
      <c r="I338" s="22">
        <f t="shared" si="14"/>
        <v>-1.117</v>
      </c>
    </row>
    <row r="339" spans="2:9" x14ac:dyDescent="0.2">
      <c r="B339" s="203">
        <f t="shared" si="12"/>
        <v>45770</v>
      </c>
      <c r="C339" s="92">
        <v>2.0960000000000001</v>
      </c>
      <c r="D339" s="92"/>
      <c r="E339" s="92">
        <v>3.9870000000000001</v>
      </c>
      <c r="F339" s="92">
        <v>13</v>
      </c>
      <c r="G339" s="22">
        <f t="shared" si="13"/>
        <v>9.0129999999999999</v>
      </c>
      <c r="H339" s="22">
        <f>IFERROR(IF(Yearending&gt;B338,'5. Historical demand'!F339-'5. Historical demand'!C339-'5. Historical demand'!D339,""),"")</f>
        <v>10.904</v>
      </c>
      <c r="I339" s="22">
        <f t="shared" si="14"/>
        <v>-1.891</v>
      </c>
    </row>
    <row r="340" spans="2:9" x14ac:dyDescent="0.2">
      <c r="B340" s="203">
        <f t="shared" si="12"/>
        <v>45771</v>
      </c>
      <c r="C340" s="92">
        <v>2.0960000000000001</v>
      </c>
      <c r="D340" s="92"/>
      <c r="E340" s="92">
        <v>3.8119999999999998</v>
      </c>
      <c r="F340" s="92">
        <v>13</v>
      </c>
      <c r="G340" s="22">
        <f t="shared" si="13"/>
        <v>9.1880000000000006</v>
      </c>
      <c r="H340" s="22">
        <f>IFERROR(IF(Yearending&gt;B339,'5. Historical demand'!F340-'5. Historical demand'!C340-'5. Historical demand'!D340,""),"")</f>
        <v>10.904</v>
      </c>
      <c r="I340" s="22">
        <f t="shared" si="14"/>
        <v>-1.7159999999999997</v>
      </c>
    </row>
    <row r="341" spans="2:9" x14ac:dyDescent="0.2">
      <c r="B341" s="203">
        <f t="shared" si="12"/>
        <v>45772</v>
      </c>
      <c r="C341" s="92">
        <v>2.0960000000000001</v>
      </c>
      <c r="D341" s="92"/>
      <c r="E341" s="92">
        <v>1.909</v>
      </c>
      <c r="F341" s="92">
        <v>13</v>
      </c>
      <c r="G341" s="22">
        <f t="shared" si="13"/>
        <v>11.090999999999999</v>
      </c>
      <c r="H341" s="22">
        <f>IFERROR(IF(Yearending&gt;B340,'5. Historical demand'!F341-'5. Historical demand'!C341-'5. Historical demand'!D341,""),"")</f>
        <v>10.904</v>
      </c>
      <c r="I341" s="22">
        <f t="shared" si="14"/>
        <v>0.18700000000000006</v>
      </c>
    </row>
    <row r="342" spans="2:9" x14ac:dyDescent="0.2">
      <c r="B342" s="203">
        <f t="shared" si="12"/>
        <v>45773</v>
      </c>
      <c r="C342" s="92">
        <v>2.0960000000000001</v>
      </c>
      <c r="D342" s="92"/>
      <c r="E342" s="92">
        <v>0.89600000000000002</v>
      </c>
      <c r="F342" s="92">
        <v>13</v>
      </c>
      <c r="G342" s="22">
        <f t="shared" si="13"/>
        <v>12.103999999999999</v>
      </c>
      <c r="H342" s="22">
        <f>IFERROR(IF(Yearending&gt;B341,'5. Historical demand'!F342-'5. Historical demand'!C342-'5. Historical demand'!D342,""),"")</f>
        <v>10.904</v>
      </c>
      <c r="I342" s="22">
        <f t="shared" si="14"/>
        <v>1.2000000000000002</v>
      </c>
    </row>
    <row r="343" spans="2:9" x14ac:dyDescent="0.2">
      <c r="B343" s="203">
        <f t="shared" si="12"/>
        <v>45774</v>
      </c>
      <c r="C343" s="92">
        <v>2.0960000000000001</v>
      </c>
      <c r="D343" s="92"/>
      <c r="E343" s="92">
        <v>1.4890000000000001</v>
      </c>
      <c r="F343" s="92">
        <v>13</v>
      </c>
      <c r="G343" s="22">
        <f t="shared" si="13"/>
        <v>11.510999999999999</v>
      </c>
      <c r="H343" s="22">
        <f>IFERROR(IF(Yearending&gt;B342,'5. Historical demand'!F343-'5. Historical demand'!C343-'5. Historical demand'!D343,""),"")</f>
        <v>10.904</v>
      </c>
      <c r="I343" s="22">
        <f t="shared" si="14"/>
        <v>0.60699999999999998</v>
      </c>
    </row>
    <row r="344" spans="2:9" x14ac:dyDescent="0.2">
      <c r="B344" s="203">
        <f t="shared" si="12"/>
        <v>45775</v>
      </c>
      <c r="C344" s="92">
        <v>2.0960000000000001</v>
      </c>
      <c r="D344" s="92"/>
      <c r="E344" s="92">
        <v>3.375</v>
      </c>
      <c r="F344" s="92">
        <v>13</v>
      </c>
      <c r="G344" s="22">
        <f t="shared" si="13"/>
        <v>9.625</v>
      </c>
      <c r="H344" s="22">
        <f>IFERROR(IF(Yearending&gt;B343,'5. Historical demand'!F344-'5. Historical demand'!C344-'5. Historical demand'!D344,""),"")</f>
        <v>10.904</v>
      </c>
      <c r="I344" s="22">
        <f t="shared" si="14"/>
        <v>-1.2789999999999999</v>
      </c>
    </row>
    <row r="345" spans="2:9" x14ac:dyDescent="0.2">
      <c r="B345" s="203">
        <f t="shared" si="12"/>
        <v>45776</v>
      </c>
      <c r="C345" s="92">
        <v>2.0960000000000001</v>
      </c>
      <c r="D345" s="92"/>
      <c r="E345" s="92">
        <v>3.7519999999999998</v>
      </c>
      <c r="F345" s="92">
        <v>13</v>
      </c>
      <c r="G345" s="22">
        <f t="shared" si="13"/>
        <v>9.2480000000000011</v>
      </c>
      <c r="H345" s="22">
        <f>IFERROR(IF(Yearending&gt;B344,'5. Historical demand'!F345-'5. Historical demand'!C345-'5. Historical demand'!D345,""),"")</f>
        <v>10.904</v>
      </c>
      <c r="I345" s="22">
        <f t="shared" si="14"/>
        <v>-1.6559999999999997</v>
      </c>
    </row>
    <row r="346" spans="2:9" x14ac:dyDescent="0.2">
      <c r="B346" s="203">
        <f t="shared" si="12"/>
        <v>45777</v>
      </c>
      <c r="C346" s="92">
        <v>2.0960000000000001</v>
      </c>
      <c r="D346" s="92"/>
      <c r="E346" s="92">
        <v>3.6520000000000001</v>
      </c>
      <c r="F346" s="92">
        <v>13</v>
      </c>
      <c r="G346" s="22">
        <f t="shared" si="13"/>
        <v>9.347999999999999</v>
      </c>
      <c r="H346" s="22">
        <f>IFERROR(IF(Yearending&gt;B345,'5. Historical demand'!F346-'5. Historical demand'!C346-'5. Historical demand'!D346,""),"")</f>
        <v>10.904</v>
      </c>
      <c r="I346" s="22">
        <f t="shared" si="14"/>
        <v>-1.556</v>
      </c>
    </row>
    <row r="347" spans="2:9" x14ac:dyDescent="0.2">
      <c r="B347" s="203">
        <f t="shared" si="12"/>
        <v>45778</v>
      </c>
      <c r="C347" s="92">
        <v>2.0960000000000001</v>
      </c>
      <c r="D347" s="92"/>
      <c r="E347" s="92">
        <v>4.2069999999999999</v>
      </c>
      <c r="F347" s="92">
        <v>13</v>
      </c>
      <c r="G347" s="22">
        <f t="shared" si="13"/>
        <v>8.7929999999999993</v>
      </c>
      <c r="H347" s="22">
        <f>IFERROR(IF(Yearending&gt;B346,'5. Historical demand'!F347-'5. Historical demand'!C347-'5. Historical demand'!D347,""),"")</f>
        <v>10.904</v>
      </c>
      <c r="I347" s="22">
        <f t="shared" si="14"/>
        <v>-2.1109999999999998</v>
      </c>
    </row>
    <row r="348" spans="2:9" x14ac:dyDescent="0.2">
      <c r="B348" s="203">
        <f t="shared" si="12"/>
        <v>45779</v>
      </c>
      <c r="C348" s="92">
        <v>2.0960000000000001</v>
      </c>
      <c r="D348" s="92"/>
      <c r="E348" s="92">
        <v>4.726</v>
      </c>
      <c r="F348" s="92">
        <v>13</v>
      </c>
      <c r="G348" s="22">
        <f t="shared" si="13"/>
        <v>8.2740000000000009</v>
      </c>
      <c r="H348" s="22">
        <f>IFERROR(IF(Yearending&gt;B347,'5. Historical demand'!F348-'5. Historical demand'!C348-'5. Historical demand'!D348,""),"")</f>
        <v>10.904</v>
      </c>
      <c r="I348" s="22">
        <f t="shared" si="14"/>
        <v>-2.63</v>
      </c>
    </row>
    <row r="349" spans="2:9" x14ac:dyDescent="0.2">
      <c r="B349" s="203">
        <f t="shared" si="12"/>
        <v>45780</v>
      </c>
      <c r="C349" s="92">
        <v>2.0960000000000001</v>
      </c>
      <c r="D349" s="92"/>
      <c r="E349" s="92">
        <v>4.0650000000000004</v>
      </c>
      <c r="F349" s="92">
        <v>13</v>
      </c>
      <c r="G349" s="22">
        <f t="shared" si="13"/>
        <v>8.9349999999999987</v>
      </c>
      <c r="H349" s="22">
        <f>IFERROR(IF(Yearending&gt;B348,'5. Historical demand'!F349-'5. Historical demand'!C349-'5. Historical demand'!D349,""),"")</f>
        <v>10.904</v>
      </c>
      <c r="I349" s="22">
        <f t="shared" si="14"/>
        <v>-1.9690000000000003</v>
      </c>
    </row>
    <row r="350" spans="2:9" x14ac:dyDescent="0.2">
      <c r="B350" s="203">
        <f t="shared" si="12"/>
        <v>45781</v>
      </c>
      <c r="C350" s="92">
        <v>2.0960000000000001</v>
      </c>
      <c r="D350" s="92"/>
      <c r="E350" s="92">
        <v>3.9140000000000001</v>
      </c>
      <c r="F350" s="92">
        <v>13</v>
      </c>
      <c r="G350" s="22">
        <f t="shared" si="13"/>
        <v>9.0860000000000003</v>
      </c>
      <c r="H350" s="22">
        <f>IFERROR(IF(Yearending&gt;B349,'5. Historical demand'!F350-'5. Historical demand'!C350-'5. Historical demand'!D350,""),"")</f>
        <v>10.904</v>
      </c>
      <c r="I350" s="22">
        <f t="shared" si="14"/>
        <v>-1.8180000000000001</v>
      </c>
    </row>
    <row r="351" spans="2:9" x14ac:dyDescent="0.2">
      <c r="B351" s="203">
        <f t="shared" si="12"/>
        <v>45782</v>
      </c>
      <c r="C351" s="92">
        <v>2.0960000000000001</v>
      </c>
      <c r="D351" s="92"/>
      <c r="E351" s="92">
        <v>3.8380000000000001</v>
      </c>
      <c r="F351" s="92">
        <v>13</v>
      </c>
      <c r="G351" s="22">
        <f t="shared" si="13"/>
        <v>9.161999999999999</v>
      </c>
      <c r="H351" s="22">
        <f>IFERROR(IF(Yearending&gt;B350,'5. Historical demand'!F351-'5. Historical demand'!C351-'5. Historical demand'!D351,""),"")</f>
        <v>10.904</v>
      </c>
      <c r="I351" s="22">
        <f t="shared" si="14"/>
        <v>-1.742</v>
      </c>
    </row>
    <row r="352" spans="2:9" x14ac:dyDescent="0.2">
      <c r="B352" s="203">
        <f t="shared" si="12"/>
        <v>45783</v>
      </c>
      <c r="C352" s="92">
        <v>2.0960000000000001</v>
      </c>
      <c r="D352" s="92"/>
      <c r="E352" s="92">
        <v>4.024</v>
      </c>
      <c r="F352" s="92">
        <v>13</v>
      </c>
      <c r="G352" s="22">
        <f t="shared" si="13"/>
        <v>8.9759999999999991</v>
      </c>
      <c r="H352" s="22">
        <f>IFERROR(IF(Yearending&gt;B351,'5. Historical demand'!F352-'5. Historical demand'!C352-'5. Historical demand'!D352,""),"")</f>
        <v>10.904</v>
      </c>
      <c r="I352" s="22">
        <f t="shared" si="14"/>
        <v>-1.9279999999999999</v>
      </c>
    </row>
    <row r="353" spans="2:9" x14ac:dyDescent="0.2">
      <c r="B353" s="203">
        <f t="shared" si="12"/>
        <v>45784</v>
      </c>
      <c r="C353" s="92">
        <v>2.0960000000000001</v>
      </c>
      <c r="D353" s="92"/>
      <c r="E353" s="92">
        <v>4.702</v>
      </c>
      <c r="F353" s="92">
        <v>13</v>
      </c>
      <c r="G353" s="22">
        <f t="shared" si="13"/>
        <v>8.298</v>
      </c>
      <c r="H353" s="22">
        <f>IFERROR(IF(Yearending&gt;B352,'5. Historical demand'!F353-'5. Historical demand'!C353-'5. Historical demand'!D353,""),"")</f>
        <v>10.904</v>
      </c>
      <c r="I353" s="22">
        <f t="shared" si="14"/>
        <v>-2.6059999999999999</v>
      </c>
    </row>
    <row r="354" spans="2:9" x14ac:dyDescent="0.2">
      <c r="B354" s="203">
        <f t="shared" si="12"/>
        <v>45785</v>
      </c>
      <c r="C354" s="92">
        <v>2.0960000000000001</v>
      </c>
      <c r="D354" s="92"/>
      <c r="E354" s="92">
        <v>3.8380000000000001</v>
      </c>
      <c r="F354" s="92">
        <v>13</v>
      </c>
      <c r="G354" s="22">
        <f t="shared" si="13"/>
        <v>9.161999999999999</v>
      </c>
      <c r="H354" s="22">
        <f>IFERROR(IF(Yearending&gt;B353,'5. Historical demand'!F354-'5. Historical demand'!C354-'5. Historical demand'!D354,""),"")</f>
        <v>10.904</v>
      </c>
      <c r="I354" s="22">
        <f t="shared" si="14"/>
        <v>-1.742</v>
      </c>
    </row>
    <row r="355" spans="2:9" x14ac:dyDescent="0.2">
      <c r="B355" s="203">
        <f t="shared" si="12"/>
        <v>45786</v>
      </c>
      <c r="C355" s="92">
        <v>2.0960000000000001</v>
      </c>
      <c r="D355" s="92"/>
      <c r="E355" s="92">
        <v>4.2380000000000004</v>
      </c>
      <c r="F355" s="92">
        <v>13</v>
      </c>
      <c r="G355" s="22">
        <f t="shared" si="13"/>
        <v>8.7620000000000005</v>
      </c>
      <c r="H355" s="22">
        <f>IFERROR(IF(Yearending&gt;B354,'5. Historical demand'!F355-'5. Historical demand'!C355-'5. Historical demand'!D355,""),"")</f>
        <v>10.904</v>
      </c>
      <c r="I355" s="22">
        <f t="shared" si="14"/>
        <v>-2.1420000000000003</v>
      </c>
    </row>
    <row r="356" spans="2:9" x14ac:dyDescent="0.2">
      <c r="B356" s="203">
        <f t="shared" si="12"/>
        <v>45787</v>
      </c>
      <c r="C356" s="92">
        <v>2.0960000000000001</v>
      </c>
      <c r="D356" s="92"/>
      <c r="E356" s="92">
        <v>4.3730000000000002</v>
      </c>
      <c r="F356" s="92">
        <v>13</v>
      </c>
      <c r="G356" s="22">
        <f t="shared" si="13"/>
        <v>8.6269999999999989</v>
      </c>
      <c r="H356" s="22">
        <f>IFERROR(IF(Yearending&gt;B355,'5. Historical demand'!F356-'5. Historical demand'!C356-'5. Historical demand'!D356,""),"")</f>
        <v>10.904</v>
      </c>
      <c r="I356" s="22">
        <f t="shared" si="14"/>
        <v>-2.2770000000000001</v>
      </c>
    </row>
    <row r="357" spans="2:9" x14ac:dyDescent="0.2">
      <c r="B357" s="203">
        <f t="shared" si="12"/>
        <v>45788</v>
      </c>
      <c r="C357" s="92">
        <v>2.0960000000000001</v>
      </c>
      <c r="D357" s="92"/>
      <c r="E357" s="92">
        <v>3.637</v>
      </c>
      <c r="F357" s="92">
        <v>13</v>
      </c>
      <c r="G357" s="22">
        <f t="shared" si="13"/>
        <v>9.3629999999999995</v>
      </c>
      <c r="H357" s="22">
        <f>IFERROR(IF(Yearending&gt;B356,'5. Historical demand'!F357-'5. Historical demand'!C357-'5. Historical demand'!D357,""),"")</f>
        <v>10.904</v>
      </c>
      <c r="I357" s="22">
        <f t="shared" si="14"/>
        <v>-1.5409999999999999</v>
      </c>
    </row>
    <row r="358" spans="2:9" x14ac:dyDescent="0.2">
      <c r="B358" s="203">
        <f t="shared" si="12"/>
        <v>45789</v>
      </c>
      <c r="C358" s="92">
        <v>2.0960000000000001</v>
      </c>
      <c r="D358" s="92"/>
      <c r="E358" s="92">
        <v>2.1680000000000001</v>
      </c>
      <c r="F358" s="92">
        <v>13</v>
      </c>
      <c r="G358" s="22">
        <f t="shared" si="13"/>
        <v>10.832000000000001</v>
      </c>
      <c r="H358" s="22">
        <f>IFERROR(IF(Yearending&gt;B357,'5. Historical demand'!F358-'5. Historical demand'!C358-'5. Historical demand'!D358,""),"")</f>
        <v>10.904</v>
      </c>
      <c r="I358" s="22">
        <f t="shared" si="14"/>
        <v>-7.2000000000000064E-2</v>
      </c>
    </row>
    <row r="359" spans="2:9" x14ac:dyDescent="0.2">
      <c r="B359" s="203">
        <f t="shared" si="12"/>
        <v>45790</v>
      </c>
      <c r="C359" s="92">
        <v>2.0960000000000001</v>
      </c>
      <c r="D359" s="92"/>
      <c r="E359" s="92">
        <v>2.2599999999999998</v>
      </c>
      <c r="F359" s="92">
        <v>13</v>
      </c>
      <c r="G359" s="22">
        <f t="shared" si="13"/>
        <v>10.74</v>
      </c>
      <c r="H359" s="22">
        <f>IFERROR(IF(Yearending&gt;B358,'5. Historical demand'!F359-'5. Historical demand'!C359-'5. Historical demand'!D359,""),"")</f>
        <v>10.904</v>
      </c>
      <c r="I359" s="22">
        <f t="shared" si="14"/>
        <v>-0.1639999999999997</v>
      </c>
    </row>
    <row r="360" spans="2:9" x14ac:dyDescent="0.2">
      <c r="B360" s="203">
        <f t="shared" si="12"/>
        <v>45791</v>
      </c>
      <c r="C360" s="92">
        <v>2.0960000000000001</v>
      </c>
      <c r="D360" s="92"/>
      <c r="E360" s="92">
        <v>4.7510000000000003</v>
      </c>
      <c r="F360" s="92">
        <v>13</v>
      </c>
      <c r="G360" s="22">
        <f t="shared" si="13"/>
        <v>8.2489999999999988</v>
      </c>
      <c r="H360" s="22">
        <f>IFERROR(IF(Yearending&gt;B359,'5. Historical demand'!F360-'5. Historical demand'!C360-'5. Historical demand'!D360,""),"")</f>
        <v>10.904</v>
      </c>
      <c r="I360" s="22">
        <f t="shared" si="14"/>
        <v>-2.6550000000000002</v>
      </c>
    </row>
    <row r="361" spans="2:9" x14ac:dyDescent="0.2">
      <c r="B361" s="203">
        <f t="shared" si="12"/>
        <v>45792</v>
      </c>
      <c r="C361" s="92">
        <v>2.0960000000000001</v>
      </c>
      <c r="D361" s="92"/>
      <c r="E361" s="92">
        <v>3.7440000000000002</v>
      </c>
      <c r="F361" s="92">
        <v>13</v>
      </c>
      <c r="G361" s="22">
        <f t="shared" si="13"/>
        <v>9.2560000000000002</v>
      </c>
      <c r="H361" s="22">
        <f>IFERROR(IF(Yearending&gt;B360,'5. Historical demand'!F361-'5. Historical demand'!C361-'5. Historical demand'!D361,""),"")</f>
        <v>10.904</v>
      </c>
      <c r="I361" s="22">
        <f t="shared" si="14"/>
        <v>-1.6480000000000001</v>
      </c>
    </row>
    <row r="362" spans="2:9" x14ac:dyDescent="0.2">
      <c r="B362" s="203">
        <f t="shared" si="12"/>
        <v>45793</v>
      </c>
      <c r="C362" s="92">
        <v>2.0960000000000001</v>
      </c>
      <c r="D362" s="92"/>
      <c r="E362" s="92">
        <v>4.1210000000000004</v>
      </c>
      <c r="F362" s="92">
        <v>13</v>
      </c>
      <c r="G362" s="22">
        <f t="shared" si="13"/>
        <v>8.8789999999999996</v>
      </c>
      <c r="H362" s="22">
        <f>IFERROR(IF(Yearending&gt;B361,'5. Historical demand'!F362-'5. Historical demand'!C362-'5. Historical demand'!D362,""),"")</f>
        <v>10.904</v>
      </c>
      <c r="I362" s="22">
        <f t="shared" si="14"/>
        <v>-2.0250000000000004</v>
      </c>
    </row>
    <row r="363" spans="2:9" x14ac:dyDescent="0.2">
      <c r="B363" s="203">
        <f t="shared" si="12"/>
        <v>45794</v>
      </c>
      <c r="C363" s="92">
        <v>2.0960000000000001</v>
      </c>
      <c r="D363" s="92"/>
      <c r="E363" s="92">
        <v>3.335</v>
      </c>
      <c r="F363" s="92">
        <v>13</v>
      </c>
      <c r="G363" s="22">
        <f t="shared" si="13"/>
        <v>9.6649999999999991</v>
      </c>
      <c r="H363" s="22">
        <f>IFERROR(IF(Yearending&gt;B362,'5. Historical demand'!F363-'5. Historical demand'!C363-'5. Historical demand'!D363,""),"")</f>
        <v>10.904</v>
      </c>
      <c r="I363" s="22">
        <f t="shared" si="14"/>
        <v>-1.2389999999999999</v>
      </c>
    </row>
    <row r="364" spans="2:9" x14ac:dyDescent="0.2">
      <c r="B364" s="203">
        <f t="shared" ref="B364:B408" si="15">IFERROR(IF(Yearending&gt;B363, B363+1, ""),"")</f>
        <v>45795</v>
      </c>
      <c r="C364" s="92">
        <v>2.0960000000000001</v>
      </c>
      <c r="D364" s="92"/>
      <c r="E364" s="92">
        <v>5.343</v>
      </c>
      <c r="F364" s="92">
        <v>13</v>
      </c>
      <c r="G364" s="22">
        <f t="shared" ref="G364:G408" si="16">IFERROR(IF(Yearending&gt;B363,F364-E364,""),"")</f>
        <v>7.657</v>
      </c>
      <c r="H364" s="22">
        <f>IFERROR(IF(Yearending&gt;B363,'5. Historical demand'!F364-'5. Historical demand'!C364-'5. Historical demand'!D364,""),"")</f>
        <v>10.904</v>
      </c>
      <c r="I364" s="22">
        <f t="shared" ref="I364:I408" si="17">IFERROR(IF(Yearending&gt;B363,C364+D364-E364,""),"")</f>
        <v>-3.2469999999999999</v>
      </c>
    </row>
    <row r="365" spans="2:9" x14ac:dyDescent="0.2">
      <c r="B365" s="203">
        <f t="shared" si="15"/>
        <v>45796</v>
      </c>
      <c r="C365" s="92">
        <v>2.0960000000000001</v>
      </c>
      <c r="D365" s="92"/>
      <c r="E365" s="92">
        <v>6.0010000000000003</v>
      </c>
      <c r="F365" s="92">
        <v>13</v>
      </c>
      <c r="G365" s="22">
        <f t="shared" si="16"/>
        <v>6.9989999999999997</v>
      </c>
      <c r="H365" s="22">
        <f>IFERROR(IF(Yearending&gt;B364,'5. Historical demand'!F365-'5. Historical demand'!C365-'5. Historical demand'!D365,""),"")</f>
        <v>10.904</v>
      </c>
      <c r="I365" s="22">
        <f t="shared" si="17"/>
        <v>-3.9050000000000002</v>
      </c>
    </row>
    <row r="366" spans="2:9" x14ac:dyDescent="0.2">
      <c r="B366" s="203">
        <f t="shared" si="15"/>
        <v>45797</v>
      </c>
      <c r="C366" s="92">
        <v>2.0960000000000001</v>
      </c>
      <c r="D366" s="92"/>
      <c r="E366" s="92">
        <v>5.5069999999999997</v>
      </c>
      <c r="F366" s="92">
        <v>13</v>
      </c>
      <c r="G366" s="22">
        <f t="shared" si="16"/>
        <v>7.4930000000000003</v>
      </c>
      <c r="H366" s="22">
        <f>IFERROR(IF(Yearending&gt;B365,'5. Historical demand'!F366-'5. Historical demand'!C366-'5. Historical demand'!D366,""),"")</f>
        <v>10.904</v>
      </c>
      <c r="I366" s="22">
        <f t="shared" si="17"/>
        <v>-3.4109999999999996</v>
      </c>
    </row>
    <row r="367" spans="2:9" x14ac:dyDescent="0.2">
      <c r="B367" s="203">
        <f t="shared" si="15"/>
        <v>45798</v>
      </c>
      <c r="C367" s="92">
        <v>2.0960000000000001</v>
      </c>
      <c r="D367" s="92"/>
      <c r="E367" s="92">
        <v>5.327</v>
      </c>
      <c r="F367" s="92">
        <v>13</v>
      </c>
      <c r="G367" s="22">
        <f t="shared" si="16"/>
        <v>7.673</v>
      </c>
      <c r="H367" s="22">
        <f>IFERROR(IF(Yearending&gt;B366,'5. Historical demand'!F367-'5. Historical demand'!C367-'5. Historical demand'!D367,""),"")</f>
        <v>10.904</v>
      </c>
      <c r="I367" s="22">
        <f t="shared" si="17"/>
        <v>-3.2309999999999999</v>
      </c>
    </row>
    <row r="368" spans="2:9" x14ac:dyDescent="0.2">
      <c r="B368" s="203">
        <f t="shared" si="15"/>
        <v>45799</v>
      </c>
      <c r="C368" s="92">
        <v>2.0960000000000001</v>
      </c>
      <c r="D368" s="92"/>
      <c r="E368" s="92">
        <v>4.7549999999999999</v>
      </c>
      <c r="F368" s="92">
        <v>13</v>
      </c>
      <c r="G368" s="22">
        <f t="shared" si="16"/>
        <v>8.245000000000001</v>
      </c>
      <c r="H368" s="22">
        <f>IFERROR(IF(Yearending&gt;B367,'5. Historical demand'!F368-'5. Historical demand'!C368-'5. Historical demand'!D368,""),"")</f>
        <v>10.904</v>
      </c>
      <c r="I368" s="22">
        <f t="shared" si="17"/>
        <v>-2.6589999999999998</v>
      </c>
    </row>
    <row r="369" spans="2:9" x14ac:dyDescent="0.2">
      <c r="B369" s="203">
        <f t="shared" si="15"/>
        <v>45800</v>
      </c>
      <c r="C369" s="92">
        <v>2.0960000000000001</v>
      </c>
      <c r="D369" s="92"/>
      <c r="E369" s="92">
        <v>4.5670000000000002</v>
      </c>
      <c r="F369" s="92">
        <v>13</v>
      </c>
      <c r="G369" s="22">
        <f t="shared" si="16"/>
        <v>8.4329999999999998</v>
      </c>
      <c r="H369" s="22">
        <f>IFERROR(IF(Yearending&gt;B368,'5. Historical demand'!F369-'5. Historical demand'!C369-'5. Historical demand'!D369,""),"")</f>
        <v>10.904</v>
      </c>
      <c r="I369" s="22">
        <f t="shared" si="17"/>
        <v>-2.4710000000000001</v>
      </c>
    </row>
    <row r="370" spans="2:9" x14ac:dyDescent="0.2">
      <c r="B370" s="203">
        <f t="shared" si="15"/>
        <v>45801</v>
      </c>
      <c r="C370" s="92">
        <v>2.0960000000000001</v>
      </c>
      <c r="D370" s="92"/>
      <c r="E370" s="92">
        <v>3.4710000000000001</v>
      </c>
      <c r="F370" s="92">
        <v>13</v>
      </c>
      <c r="G370" s="22">
        <f t="shared" si="16"/>
        <v>9.5289999999999999</v>
      </c>
      <c r="H370" s="22">
        <f>IFERROR(IF(Yearending&gt;B369,'5. Historical demand'!F370-'5. Historical demand'!C370-'5. Historical demand'!D370,""),"")</f>
        <v>10.904</v>
      </c>
      <c r="I370" s="22">
        <f t="shared" si="17"/>
        <v>-1.375</v>
      </c>
    </row>
    <row r="371" spans="2:9" x14ac:dyDescent="0.2">
      <c r="B371" s="203">
        <f t="shared" si="15"/>
        <v>45802</v>
      </c>
      <c r="C371" s="92">
        <v>2.0960000000000001</v>
      </c>
      <c r="D371" s="92"/>
      <c r="E371" s="92">
        <v>2.8119999999999998</v>
      </c>
      <c r="F371" s="92">
        <v>13</v>
      </c>
      <c r="G371" s="22">
        <f t="shared" si="16"/>
        <v>10.188000000000001</v>
      </c>
      <c r="H371" s="22">
        <f>IFERROR(IF(Yearending&gt;B370,'5. Historical demand'!F371-'5. Historical demand'!C371-'5. Historical demand'!D371,""),"")</f>
        <v>10.904</v>
      </c>
      <c r="I371" s="22">
        <f t="shared" si="17"/>
        <v>-0.71599999999999975</v>
      </c>
    </row>
    <row r="372" spans="2:9" x14ac:dyDescent="0.2">
      <c r="B372" s="203">
        <f t="shared" si="15"/>
        <v>45803</v>
      </c>
      <c r="C372" s="92">
        <v>2.0960000000000001</v>
      </c>
      <c r="D372" s="92"/>
      <c r="E372" s="92">
        <v>4.266</v>
      </c>
      <c r="F372" s="92">
        <v>13</v>
      </c>
      <c r="G372" s="22">
        <f t="shared" si="16"/>
        <v>8.734</v>
      </c>
      <c r="H372" s="22">
        <f>IFERROR(IF(Yearending&gt;B371,'5. Historical demand'!F372-'5. Historical demand'!C372-'5. Historical demand'!D372,""),"")</f>
        <v>10.904</v>
      </c>
      <c r="I372" s="22">
        <f t="shared" si="17"/>
        <v>-2.17</v>
      </c>
    </row>
    <row r="373" spans="2:9" x14ac:dyDescent="0.2">
      <c r="B373" s="203">
        <f t="shared" si="15"/>
        <v>45804</v>
      </c>
      <c r="C373" s="92">
        <v>2.0960000000000001</v>
      </c>
      <c r="D373" s="92"/>
      <c r="E373" s="92">
        <v>5.0620000000000003</v>
      </c>
      <c r="F373" s="92">
        <v>13</v>
      </c>
      <c r="G373" s="22">
        <f t="shared" si="16"/>
        <v>7.9379999999999997</v>
      </c>
      <c r="H373" s="22">
        <f>IFERROR(IF(Yearending&gt;B372,'5. Historical demand'!F373-'5. Historical demand'!C373-'5. Historical demand'!D373,""),"")</f>
        <v>10.904</v>
      </c>
      <c r="I373" s="22">
        <f t="shared" si="17"/>
        <v>-2.9660000000000002</v>
      </c>
    </row>
    <row r="374" spans="2:9" x14ac:dyDescent="0.2">
      <c r="B374" s="203">
        <f t="shared" si="15"/>
        <v>45805</v>
      </c>
      <c r="C374" s="92">
        <v>2.0960000000000001</v>
      </c>
      <c r="D374" s="92"/>
      <c r="E374" s="92">
        <v>5.0650000000000004</v>
      </c>
      <c r="F374" s="92">
        <v>13</v>
      </c>
      <c r="G374" s="22">
        <f t="shared" si="16"/>
        <v>7.9349999999999996</v>
      </c>
      <c r="H374" s="22">
        <f>IFERROR(IF(Yearending&gt;B373,'5. Historical demand'!F374-'5. Historical demand'!C374-'5. Historical demand'!D374,""),"")</f>
        <v>10.904</v>
      </c>
      <c r="I374" s="22">
        <f t="shared" si="17"/>
        <v>-2.9690000000000003</v>
      </c>
    </row>
    <row r="375" spans="2:9" x14ac:dyDescent="0.2">
      <c r="B375" s="203">
        <f t="shared" si="15"/>
        <v>45806</v>
      </c>
      <c r="C375" s="92">
        <v>2.0960000000000001</v>
      </c>
      <c r="D375" s="92"/>
      <c r="E375" s="92">
        <v>4.6180000000000003</v>
      </c>
      <c r="F375" s="92">
        <v>13</v>
      </c>
      <c r="G375" s="22">
        <f t="shared" si="16"/>
        <v>8.3819999999999997</v>
      </c>
      <c r="H375" s="22">
        <f>IFERROR(IF(Yearending&gt;B374,'5. Historical demand'!F375-'5. Historical demand'!C375-'5. Historical demand'!D375,""),"")</f>
        <v>10.904</v>
      </c>
      <c r="I375" s="22">
        <f t="shared" si="17"/>
        <v>-2.5220000000000002</v>
      </c>
    </row>
    <row r="376" spans="2:9" x14ac:dyDescent="0.2">
      <c r="B376" s="203">
        <f t="shared" si="15"/>
        <v>45807</v>
      </c>
      <c r="C376" s="92">
        <v>2.0960000000000001</v>
      </c>
      <c r="D376" s="92"/>
      <c r="E376" s="92">
        <v>3.5419999999999998</v>
      </c>
      <c r="F376" s="92">
        <v>13</v>
      </c>
      <c r="G376" s="22">
        <f t="shared" si="16"/>
        <v>9.4580000000000002</v>
      </c>
      <c r="H376" s="22">
        <f>IFERROR(IF(Yearending&gt;B375,'5. Historical demand'!F376-'5. Historical demand'!C376-'5. Historical demand'!D376,""),"")</f>
        <v>10.904</v>
      </c>
      <c r="I376" s="22">
        <f t="shared" si="17"/>
        <v>-1.4459999999999997</v>
      </c>
    </row>
    <row r="377" spans="2:9" x14ac:dyDescent="0.2">
      <c r="B377" s="203">
        <f t="shared" si="15"/>
        <v>45808</v>
      </c>
      <c r="C377" s="92">
        <v>2.0960000000000001</v>
      </c>
      <c r="D377" s="92"/>
      <c r="E377" s="92">
        <v>3.681</v>
      </c>
      <c r="F377" s="92">
        <v>13</v>
      </c>
      <c r="G377" s="22">
        <f t="shared" si="16"/>
        <v>9.3189999999999991</v>
      </c>
      <c r="H377" s="22">
        <f>IFERROR(IF(Yearending&gt;B376,'5. Historical demand'!F377-'5. Historical demand'!C377-'5. Historical demand'!D377,""),"")</f>
        <v>10.904</v>
      </c>
      <c r="I377" s="22">
        <f t="shared" si="17"/>
        <v>-1.585</v>
      </c>
    </row>
    <row r="378" spans="2:9" x14ac:dyDescent="0.2">
      <c r="B378" s="203">
        <f t="shared" si="15"/>
        <v>45809</v>
      </c>
      <c r="C378" s="92">
        <v>2.0960000000000001</v>
      </c>
      <c r="D378" s="92"/>
      <c r="E378" s="92">
        <v>5.1909999999999998</v>
      </c>
      <c r="F378" s="92">
        <v>13</v>
      </c>
      <c r="G378" s="22">
        <f t="shared" si="16"/>
        <v>7.8090000000000002</v>
      </c>
      <c r="H378" s="22">
        <f>IFERROR(IF(Yearending&gt;B377,'5. Historical demand'!F378-'5. Historical demand'!C378-'5. Historical demand'!D378,""),"")</f>
        <v>10.904</v>
      </c>
      <c r="I378" s="22">
        <f t="shared" si="17"/>
        <v>-3.0949999999999998</v>
      </c>
    </row>
    <row r="379" spans="2:9" x14ac:dyDescent="0.2">
      <c r="B379" s="203">
        <f t="shared" si="15"/>
        <v>45810</v>
      </c>
      <c r="C379" s="92">
        <v>2.0960000000000001</v>
      </c>
      <c r="D379" s="92"/>
      <c r="E379" s="92">
        <v>4.9359999999999999</v>
      </c>
      <c r="F379" s="92">
        <v>13</v>
      </c>
      <c r="G379" s="22">
        <f t="shared" si="16"/>
        <v>8.0640000000000001</v>
      </c>
      <c r="H379" s="22">
        <f>IFERROR(IF(Yearending&gt;B378,'5. Historical demand'!F379-'5. Historical demand'!C379-'5. Historical demand'!D379,""),"")</f>
        <v>10.904</v>
      </c>
      <c r="I379" s="22">
        <f t="shared" si="17"/>
        <v>-2.84</v>
      </c>
    </row>
    <row r="380" spans="2:9" x14ac:dyDescent="0.2">
      <c r="B380" s="203">
        <f t="shared" si="15"/>
        <v>45811</v>
      </c>
      <c r="C380" s="92">
        <v>2.0960000000000001</v>
      </c>
      <c r="D380" s="92"/>
      <c r="E380" s="92">
        <v>5.2240000000000002</v>
      </c>
      <c r="F380" s="92">
        <v>13</v>
      </c>
      <c r="G380" s="22">
        <f t="shared" si="16"/>
        <v>7.7759999999999998</v>
      </c>
      <c r="H380" s="22">
        <f>IFERROR(IF(Yearending&gt;B379,'5. Historical demand'!F380-'5. Historical demand'!C380-'5. Historical demand'!D380,""),"")</f>
        <v>10.904</v>
      </c>
      <c r="I380" s="22">
        <f t="shared" si="17"/>
        <v>-3.1280000000000001</v>
      </c>
    </row>
    <row r="381" spans="2:9" x14ac:dyDescent="0.2">
      <c r="B381" s="203">
        <f t="shared" si="15"/>
        <v>45812</v>
      </c>
      <c r="C381" s="92">
        <v>2.0960000000000001</v>
      </c>
      <c r="D381" s="92"/>
      <c r="E381" s="92">
        <v>4.8840000000000003</v>
      </c>
      <c r="F381" s="92">
        <v>13</v>
      </c>
      <c r="G381" s="22">
        <f t="shared" si="16"/>
        <v>8.1159999999999997</v>
      </c>
      <c r="H381" s="22">
        <f>IFERROR(IF(Yearending&gt;B380,'5. Historical demand'!F381-'5. Historical demand'!C381-'5. Historical demand'!D381,""),"")</f>
        <v>10.904</v>
      </c>
      <c r="I381" s="22">
        <f t="shared" si="17"/>
        <v>-2.7880000000000003</v>
      </c>
    </row>
    <row r="382" spans="2:9" x14ac:dyDescent="0.2">
      <c r="B382" s="203">
        <f t="shared" si="15"/>
        <v>45813</v>
      </c>
      <c r="C382" s="92">
        <v>2.0960000000000001</v>
      </c>
      <c r="D382" s="92"/>
      <c r="E382" s="92">
        <v>5.585</v>
      </c>
      <c r="F382" s="92">
        <v>13</v>
      </c>
      <c r="G382" s="22">
        <f t="shared" si="16"/>
        <v>7.415</v>
      </c>
      <c r="H382" s="22">
        <f>IFERROR(IF(Yearending&gt;B381,'5. Historical demand'!F382-'5. Historical demand'!C382-'5. Historical demand'!D382,""),"")</f>
        <v>10.904</v>
      </c>
      <c r="I382" s="22">
        <f t="shared" si="17"/>
        <v>-3.4889999999999999</v>
      </c>
    </row>
    <row r="383" spans="2:9" x14ac:dyDescent="0.2">
      <c r="B383" s="203">
        <f t="shared" si="15"/>
        <v>45814</v>
      </c>
      <c r="C383" s="92">
        <v>2.0960000000000001</v>
      </c>
      <c r="D383" s="92"/>
      <c r="E383" s="92">
        <v>4.7560000000000002</v>
      </c>
      <c r="F383" s="92">
        <v>13</v>
      </c>
      <c r="G383" s="22">
        <f t="shared" si="16"/>
        <v>8.2439999999999998</v>
      </c>
      <c r="H383" s="22">
        <f>IFERROR(IF(Yearending&gt;B382,'5. Historical demand'!F383-'5. Historical demand'!C383-'5. Historical demand'!D383,""),"")</f>
        <v>10.904</v>
      </c>
      <c r="I383" s="22">
        <f t="shared" si="17"/>
        <v>-2.66</v>
      </c>
    </row>
    <row r="384" spans="2:9" x14ac:dyDescent="0.2">
      <c r="B384" s="203">
        <f t="shared" si="15"/>
        <v>45815</v>
      </c>
      <c r="C384" s="92">
        <v>2.0960000000000001</v>
      </c>
      <c r="D384" s="92"/>
      <c r="E384" s="92">
        <v>3.8279999999999998</v>
      </c>
      <c r="F384" s="92">
        <v>13</v>
      </c>
      <c r="G384" s="22">
        <f t="shared" si="16"/>
        <v>9.1720000000000006</v>
      </c>
      <c r="H384" s="22">
        <f>IFERROR(IF(Yearending&gt;B383,'5. Historical demand'!F384-'5. Historical demand'!C384-'5. Historical demand'!D384,""),"")</f>
        <v>10.904</v>
      </c>
      <c r="I384" s="22">
        <f t="shared" si="17"/>
        <v>-1.7319999999999998</v>
      </c>
    </row>
    <row r="385" spans="2:9" x14ac:dyDescent="0.2">
      <c r="B385" s="203">
        <f t="shared" si="15"/>
        <v>45816</v>
      </c>
      <c r="C385" s="92">
        <v>2.0960000000000001</v>
      </c>
      <c r="D385" s="92"/>
      <c r="E385" s="92">
        <v>3.407</v>
      </c>
      <c r="F385" s="92">
        <v>13</v>
      </c>
      <c r="G385" s="22">
        <f t="shared" si="16"/>
        <v>9.593</v>
      </c>
      <c r="H385" s="22">
        <f>IFERROR(IF(Yearending&gt;B384,'5. Historical demand'!F385-'5. Historical demand'!C385-'5. Historical demand'!D385,""),"")</f>
        <v>10.904</v>
      </c>
      <c r="I385" s="22">
        <f t="shared" si="17"/>
        <v>-1.3109999999999999</v>
      </c>
    </row>
    <row r="386" spans="2:9" x14ac:dyDescent="0.2">
      <c r="B386" s="203">
        <f t="shared" si="15"/>
        <v>45817</v>
      </c>
      <c r="C386" s="92">
        <v>2.0960000000000001</v>
      </c>
      <c r="D386" s="92"/>
      <c r="E386" s="92">
        <v>4.9939999999999998</v>
      </c>
      <c r="F386" s="92">
        <v>13</v>
      </c>
      <c r="G386" s="22">
        <f t="shared" si="16"/>
        <v>8.0060000000000002</v>
      </c>
      <c r="H386" s="22">
        <f>IFERROR(IF(Yearending&gt;B385,'5. Historical demand'!F386-'5. Historical demand'!C386-'5. Historical demand'!D386,""),"")</f>
        <v>10.904</v>
      </c>
      <c r="I386" s="22">
        <f t="shared" si="17"/>
        <v>-2.8979999999999997</v>
      </c>
    </row>
    <row r="387" spans="2:9" x14ac:dyDescent="0.2">
      <c r="B387" s="203">
        <f t="shared" si="15"/>
        <v>45818</v>
      </c>
      <c r="C387" s="92">
        <v>2.0960000000000001</v>
      </c>
      <c r="D387" s="92"/>
      <c r="E387" s="92">
        <v>6.8070000000000004</v>
      </c>
      <c r="F387" s="92">
        <v>13</v>
      </c>
      <c r="G387" s="22">
        <f t="shared" si="16"/>
        <v>6.1929999999999996</v>
      </c>
      <c r="H387" s="22">
        <f>IFERROR(IF(Yearending&gt;B386,'5. Historical demand'!F387-'5. Historical demand'!C387-'5. Historical demand'!D387,""),"")</f>
        <v>10.904</v>
      </c>
      <c r="I387" s="22">
        <f t="shared" si="17"/>
        <v>-4.7110000000000003</v>
      </c>
    </row>
    <row r="388" spans="2:9" x14ac:dyDescent="0.2">
      <c r="B388" s="203">
        <f t="shared" si="15"/>
        <v>45819</v>
      </c>
      <c r="C388" s="92">
        <v>2.0960000000000001</v>
      </c>
      <c r="D388" s="92"/>
      <c r="E388" s="92">
        <v>6.7960000000000003</v>
      </c>
      <c r="F388" s="92">
        <v>13</v>
      </c>
      <c r="G388" s="22">
        <f t="shared" si="16"/>
        <v>6.2039999999999997</v>
      </c>
      <c r="H388" s="22">
        <f>IFERROR(IF(Yearending&gt;B387,'5. Historical demand'!F388-'5. Historical demand'!C388-'5. Historical demand'!D388,""),"")</f>
        <v>10.904</v>
      </c>
      <c r="I388" s="22">
        <f t="shared" si="17"/>
        <v>-4.7</v>
      </c>
    </row>
    <row r="389" spans="2:9" x14ac:dyDescent="0.2">
      <c r="B389" s="203">
        <f t="shared" si="15"/>
        <v>45820</v>
      </c>
      <c r="C389" s="92">
        <v>2.0960000000000001</v>
      </c>
      <c r="D389" s="92"/>
      <c r="E389" s="92">
        <v>5.5060000000000002</v>
      </c>
      <c r="F389" s="92">
        <v>13</v>
      </c>
      <c r="G389" s="22">
        <f t="shared" si="16"/>
        <v>7.4939999999999998</v>
      </c>
      <c r="H389" s="22">
        <f>IFERROR(IF(Yearending&gt;B388,'5. Historical demand'!F389-'5. Historical demand'!C389-'5. Historical demand'!D389,""),"")</f>
        <v>10.904</v>
      </c>
      <c r="I389" s="22">
        <f t="shared" si="17"/>
        <v>-3.41</v>
      </c>
    </row>
    <row r="390" spans="2:9" x14ac:dyDescent="0.2">
      <c r="B390" s="203">
        <f t="shared" si="15"/>
        <v>45821</v>
      </c>
      <c r="C390" s="92">
        <v>2.0960000000000001</v>
      </c>
      <c r="D390" s="92"/>
      <c r="E390" s="92">
        <v>4.8739999999999997</v>
      </c>
      <c r="F390" s="92">
        <v>13</v>
      </c>
      <c r="G390" s="22">
        <f t="shared" si="16"/>
        <v>8.1260000000000012</v>
      </c>
      <c r="H390" s="22">
        <f>IFERROR(IF(Yearending&gt;B389,'5. Historical demand'!F390-'5. Historical demand'!C390-'5. Historical demand'!D390,""),"")</f>
        <v>10.904</v>
      </c>
      <c r="I390" s="22">
        <f t="shared" si="17"/>
        <v>-2.7779999999999996</v>
      </c>
    </row>
    <row r="391" spans="2:9" x14ac:dyDescent="0.2">
      <c r="B391" s="203">
        <f t="shared" si="15"/>
        <v>45822</v>
      </c>
      <c r="C391" s="92">
        <v>2.0960000000000001</v>
      </c>
      <c r="D391" s="92"/>
      <c r="E391" s="92">
        <v>4.258</v>
      </c>
      <c r="F391" s="92">
        <v>13</v>
      </c>
      <c r="G391" s="22">
        <f t="shared" si="16"/>
        <v>8.7420000000000009</v>
      </c>
      <c r="H391" s="22">
        <f>IFERROR(IF(Yearending&gt;B390,'5. Historical demand'!F391-'5. Historical demand'!C391-'5. Historical demand'!D391,""),"")</f>
        <v>10.904</v>
      </c>
      <c r="I391" s="22">
        <f t="shared" si="17"/>
        <v>-2.1619999999999999</v>
      </c>
    </row>
    <row r="392" spans="2:9" x14ac:dyDescent="0.2">
      <c r="B392" s="203">
        <f t="shared" si="15"/>
        <v>45823</v>
      </c>
      <c r="C392" s="92">
        <v>2.0960000000000001</v>
      </c>
      <c r="D392" s="92"/>
      <c r="E392" s="92">
        <v>4.4960000000000004</v>
      </c>
      <c r="F392" s="92">
        <v>13</v>
      </c>
      <c r="G392" s="22">
        <f t="shared" si="16"/>
        <v>8.5039999999999996</v>
      </c>
      <c r="H392" s="22">
        <f>IFERROR(IF(Yearending&gt;B391,'5. Historical demand'!F392-'5. Historical demand'!C392-'5. Historical demand'!D392,""),"")</f>
        <v>10.904</v>
      </c>
      <c r="I392" s="22">
        <f t="shared" si="17"/>
        <v>-2.4000000000000004</v>
      </c>
    </row>
    <row r="393" spans="2:9" x14ac:dyDescent="0.2">
      <c r="B393" s="203">
        <f t="shared" si="15"/>
        <v>45824</v>
      </c>
      <c r="C393" s="92">
        <v>2.0960000000000001</v>
      </c>
      <c r="D393" s="92"/>
      <c r="E393" s="92">
        <v>5.42</v>
      </c>
      <c r="F393" s="92">
        <v>13</v>
      </c>
      <c r="G393" s="22">
        <f t="shared" si="16"/>
        <v>7.58</v>
      </c>
      <c r="H393" s="22">
        <f>IFERROR(IF(Yearending&gt;B392,'5. Historical demand'!F393-'5. Historical demand'!C393-'5. Historical demand'!D393,""),"")</f>
        <v>10.904</v>
      </c>
      <c r="I393" s="22">
        <f t="shared" si="17"/>
        <v>-3.3239999999999998</v>
      </c>
    </row>
    <row r="394" spans="2:9" x14ac:dyDescent="0.2">
      <c r="B394" s="203">
        <f t="shared" si="15"/>
        <v>45825</v>
      </c>
      <c r="C394" s="92">
        <v>2.0960000000000001</v>
      </c>
      <c r="D394" s="92"/>
      <c r="E394" s="92">
        <v>5.6390000000000002</v>
      </c>
      <c r="F394" s="92">
        <v>13</v>
      </c>
      <c r="G394" s="22">
        <f t="shared" si="16"/>
        <v>7.3609999999999998</v>
      </c>
      <c r="H394" s="22">
        <f>IFERROR(IF(Yearending&gt;B393,'5. Historical demand'!F394-'5. Historical demand'!C394-'5. Historical demand'!D394,""),"")</f>
        <v>10.904</v>
      </c>
      <c r="I394" s="22">
        <f t="shared" si="17"/>
        <v>-3.5430000000000001</v>
      </c>
    </row>
    <row r="395" spans="2:9" x14ac:dyDescent="0.2">
      <c r="B395" s="203">
        <f t="shared" si="15"/>
        <v>45826</v>
      </c>
      <c r="C395" s="92">
        <v>2.0960000000000001</v>
      </c>
      <c r="D395" s="92"/>
      <c r="E395" s="92">
        <v>4.7729999999999997</v>
      </c>
      <c r="F395" s="92">
        <v>13</v>
      </c>
      <c r="G395" s="22">
        <f t="shared" si="16"/>
        <v>8.2270000000000003</v>
      </c>
      <c r="H395" s="22">
        <f>IFERROR(IF(Yearending&gt;B394,'5. Historical demand'!F395-'5. Historical demand'!C395-'5. Historical demand'!D395,""),"")</f>
        <v>10.904</v>
      </c>
      <c r="I395" s="22">
        <f t="shared" si="17"/>
        <v>-2.6769999999999996</v>
      </c>
    </row>
    <row r="396" spans="2:9" x14ac:dyDescent="0.2">
      <c r="B396" s="203">
        <f t="shared" si="15"/>
        <v>45827</v>
      </c>
      <c r="C396" s="92">
        <v>2.0960000000000001</v>
      </c>
      <c r="D396" s="92"/>
      <c r="E396" s="92">
        <v>6.367</v>
      </c>
      <c r="F396" s="92">
        <v>13</v>
      </c>
      <c r="G396" s="22">
        <f t="shared" si="16"/>
        <v>6.633</v>
      </c>
      <c r="H396" s="22">
        <f>IFERROR(IF(Yearending&gt;B395,'5. Historical demand'!F396-'5. Historical demand'!C396-'5. Historical demand'!D396,""),"")</f>
        <v>10.904</v>
      </c>
      <c r="I396" s="22">
        <f t="shared" si="17"/>
        <v>-4.2709999999999999</v>
      </c>
    </row>
    <row r="397" spans="2:9" x14ac:dyDescent="0.2">
      <c r="B397" s="203">
        <f t="shared" si="15"/>
        <v>45828</v>
      </c>
      <c r="C397" s="92">
        <v>2.0960000000000001</v>
      </c>
      <c r="D397" s="92"/>
      <c r="E397" s="92">
        <v>5.9119999999999999</v>
      </c>
      <c r="F397" s="92">
        <v>13</v>
      </c>
      <c r="G397" s="22">
        <f t="shared" si="16"/>
        <v>7.0880000000000001</v>
      </c>
      <c r="H397" s="22">
        <f>IFERROR(IF(Yearending&gt;B396,'5. Historical demand'!F397-'5. Historical demand'!C397-'5. Historical demand'!D397,""),"")</f>
        <v>10.904</v>
      </c>
      <c r="I397" s="22">
        <f t="shared" si="17"/>
        <v>-3.8159999999999998</v>
      </c>
    </row>
    <row r="398" spans="2:9" x14ac:dyDescent="0.2">
      <c r="B398" s="203">
        <f t="shared" si="15"/>
        <v>45829</v>
      </c>
      <c r="C398" s="92">
        <v>2.0960000000000001</v>
      </c>
      <c r="D398" s="92"/>
      <c r="E398" s="92">
        <v>4.8029999999999999</v>
      </c>
      <c r="F398" s="92">
        <v>13</v>
      </c>
      <c r="G398" s="22">
        <f t="shared" si="16"/>
        <v>8.1969999999999992</v>
      </c>
      <c r="H398" s="22">
        <f>IFERROR(IF(Yearending&gt;B397,'5. Historical demand'!F398-'5. Historical demand'!C398-'5. Historical demand'!D398,""),"")</f>
        <v>10.904</v>
      </c>
      <c r="I398" s="22">
        <f t="shared" si="17"/>
        <v>-2.7069999999999999</v>
      </c>
    </row>
    <row r="399" spans="2:9" x14ac:dyDescent="0.2">
      <c r="B399" s="203">
        <f t="shared" si="15"/>
        <v>45830</v>
      </c>
      <c r="C399" s="92">
        <v>2.0960000000000001</v>
      </c>
      <c r="D399" s="92"/>
      <c r="E399" s="92">
        <v>4.6500000000000004</v>
      </c>
      <c r="F399" s="92">
        <v>13</v>
      </c>
      <c r="G399" s="22">
        <f t="shared" si="16"/>
        <v>8.35</v>
      </c>
      <c r="H399" s="22">
        <f>IFERROR(IF(Yearending&gt;B398,'5. Historical demand'!F399-'5. Historical demand'!C399-'5. Historical demand'!D399,""),"")</f>
        <v>10.904</v>
      </c>
      <c r="I399" s="22">
        <f t="shared" si="17"/>
        <v>-2.5540000000000003</v>
      </c>
    </row>
    <row r="400" spans="2:9" x14ac:dyDescent="0.2">
      <c r="B400" s="203">
        <f t="shared" si="15"/>
        <v>45831</v>
      </c>
      <c r="C400" s="92">
        <v>2.0960000000000001</v>
      </c>
      <c r="D400" s="92"/>
      <c r="E400" s="92">
        <v>5.7759999999999998</v>
      </c>
      <c r="F400" s="92">
        <v>13</v>
      </c>
      <c r="G400" s="22">
        <f t="shared" si="16"/>
        <v>7.2240000000000002</v>
      </c>
      <c r="H400" s="22">
        <f>IFERROR(IF(Yearending&gt;B399,'5. Historical demand'!F400-'5. Historical demand'!C400-'5. Historical demand'!D400,""),"")</f>
        <v>10.904</v>
      </c>
      <c r="I400" s="22">
        <f t="shared" si="17"/>
        <v>-3.6799999999999997</v>
      </c>
    </row>
    <row r="401" spans="2:9" x14ac:dyDescent="0.2">
      <c r="B401" s="203">
        <f t="shared" si="15"/>
        <v>45832</v>
      </c>
      <c r="C401" s="92">
        <v>2.0960000000000001</v>
      </c>
      <c r="D401" s="92"/>
      <c r="E401" s="92">
        <v>5.31</v>
      </c>
      <c r="F401" s="92">
        <v>13</v>
      </c>
      <c r="G401" s="22">
        <f t="shared" si="16"/>
        <v>7.69</v>
      </c>
      <c r="H401" s="22">
        <f>IFERROR(IF(Yearending&gt;B400,'5. Historical demand'!F401-'5. Historical demand'!C401-'5. Historical demand'!D401,""),"")</f>
        <v>10.904</v>
      </c>
      <c r="I401" s="22">
        <f t="shared" si="17"/>
        <v>-3.2139999999999995</v>
      </c>
    </row>
    <row r="402" spans="2:9" x14ac:dyDescent="0.2">
      <c r="B402" s="203">
        <f t="shared" si="15"/>
        <v>45833</v>
      </c>
      <c r="C402" s="92">
        <v>2.0960000000000001</v>
      </c>
      <c r="D402" s="92"/>
      <c r="E402" s="92">
        <v>4.9690000000000003</v>
      </c>
      <c r="F402" s="92">
        <v>13</v>
      </c>
      <c r="G402" s="22">
        <f t="shared" si="16"/>
        <v>8.0309999999999988</v>
      </c>
      <c r="H402" s="22">
        <f>IFERROR(IF(Yearending&gt;B401,'5. Historical demand'!F402-'5. Historical demand'!C402-'5. Historical demand'!D402,""),"")</f>
        <v>10.904</v>
      </c>
      <c r="I402" s="22">
        <f t="shared" si="17"/>
        <v>-2.8730000000000002</v>
      </c>
    </row>
    <row r="403" spans="2:9" x14ac:dyDescent="0.2">
      <c r="B403" s="203">
        <f t="shared" si="15"/>
        <v>45834</v>
      </c>
      <c r="C403" s="92">
        <v>2.0960000000000001</v>
      </c>
      <c r="D403" s="92"/>
      <c r="E403" s="92">
        <v>6.0369999999999999</v>
      </c>
      <c r="F403" s="92">
        <v>13</v>
      </c>
      <c r="G403" s="22">
        <f t="shared" si="16"/>
        <v>6.9630000000000001</v>
      </c>
      <c r="H403" s="22">
        <f>IFERROR(IF(Yearending&gt;B402,'5. Historical demand'!F403-'5. Historical demand'!C403-'5. Historical demand'!D403,""),"")</f>
        <v>10.904</v>
      </c>
      <c r="I403" s="22">
        <f t="shared" si="17"/>
        <v>-3.9409999999999998</v>
      </c>
    </row>
    <row r="404" spans="2:9" x14ac:dyDescent="0.2">
      <c r="B404" s="203">
        <f t="shared" si="15"/>
        <v>45835</v>
      </c>
      <c r="C404" s="92">
        <v>2.0960000000000001</v>
      </c>
      <c r="D404" s="92"/>
      <c r="E404" s="92">
        <v>5.97</v>
      </c>
      <c r="F404" s="92">
        <v>13</v>
      </c>
      <c r="G404" s="22">
        <f t="shared" si="16"/>
        <v>7.03</v>
      </c>
      <c r="H404" s="22">
        <f>IFERROR(IF(Yearending&gt;B403,'5. Historical demand'!F404-'5. Historical demand'!C404-'5. Historical demand'!D404,""),"")</f>
        <v>10.904</v>
      </c>
      <c r="I404" s="22">
        <f t="shared" si="17"/>
        <v>-3.8739999999999997</v>
      </c>
    </row>
    <row r="405" spans="2:9" x14ac:dyDescent="0.2">
      <c r="B405" s="203">
        <f t="shared" si="15"/>
        <v>45836</v>
      </c>
      <c r="C405" s="92">
        <v>2.0960000000000001</v>
      </c>
      <c r="D405" s="92"/>
      <c r="E405" s="92">
        <v>3.02</v>
      </c>
      <c r="F405" s="92">
        <v>13</v>
      </c>
      <c r="G405" s="22">
        <f t="shared" si="16"/>
        <v>9.98</v>
      </c>
      <c r="H405" s="22">
        <f>IFERROR(IF(Yearending&gt;B404,'5. Historical demand'!F405-'5. Historical demand'!C405-'5. Historical demand'!D405,""),"")</f>
        <v>10.904</v>
      </c>
      <c r="I405" s="22">
        <f t="shared" si="17"/>
        <v>-0.92399999999999993</v>
      </c>
    </row>
    <row r="406" spans="2:9" x14ac:dyDescent="0.2">
      <c r="B406" s="203">
        <f t="shared" si="15"/>
        <v>45837</v>
      </c>
      <c r="C406" s="92">
        <v>2.0960000000000001</v>
      </c>
      <c r="D406" s="92"/>
      <c r="E406" s="92">
        <v>4.4329999999999998</v>
      </c>
      <c r="F406" s="92">
        <v>13</v>
      </c>
      <c r="G406" s="22">
        <f t="shared" si="16"/>
        <v>8.5670000000000002</v>
      </c>
      <c r="H406" s="22">
        <f>IFERROR(IF(Yearending&gt;B405,'5. Historical demand'!F406-'5. Historical demand'!C406-'5. Historical demand'!D406,""),"")</f>
        <v>10.904</v>
      </c>
      <c r="I406" s="22">
        <f t="shared" si="17"/>
        <v>-2.3369999999999997</v>
      </c>
    </row>
    <row r="407" spans="2:9" x14ac:dyDescent="0.2">
      <c r="B407" s="203">
        <f t="shared" si="15"/>
        <v>45838</v>
      </c>
      <c r="C407" s="92">
        <v>2.0960000000000001</v>
      </c>
      <c r="D407" s="92"/>
      <c r="E407" s="92">
        <v>4.5730000000000004</v>
      </c>
      <c r="F407" s="92">
        <v>13</v>
      </c>
      <c r="G407" s="22">
        <f t="shared" si="16"/>
        <v>8.4269999999999996</v>
      </c>
      <c r="H407" s="22">
        <f>IFERROR(IF(Yearending&gt;B406,'5. Historical demand'!F407-'5. Historical demand'!C407-'5. Historical demand'!D407,""),"")</f>
        <v>10.904</v>
      </c>
      <c r="I407" s="22">
        <f t="shared" si="17"/>
        <v>-2.4770000000000003</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A1E0-762E-465A-A29D-A158167C400A}">
  <sheetPr>
    <tabColor theme="5" tint="0.79998168889431442"/>
  </sheetPr>
  <dimension ref="A1:Z2"/>
  <sheetViews>
    <sheetView workbookViewId="0"/>
  </sheetViews>
  <sheetFormatPr defaultColWidth="9.140625" defaultRowHeight="12.75" x14ac:dyDescent="0.2"/>
  <cols>
    <col min="1" max="16384" width="9.140625" style="391"/>
  </cols>
  <sheetData>
    <row r="1" spans="1:26" x14ac:dyDescent="0.2">
      <c r="A1"/>
      <c r="Z1"/>
    </row>
    <row r="2" spans="1:26" x14ac:dyDescent="0.2">
      <c r="N2"/>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140625" defaultRowHeight="12.75" x14ac:dyDescent="0.2"/>
  <cols>
    <col min="1" max="1" width="11.85546875" style="201" customWidth="1"/>
    <col min="2" max="2" width="57.85546875" style="201" customWidth="1"/>
    <col min="3" max="3" width="44.85546875" style="201" customWidth="1"/>
    <col min="4" max="11" width="39" style="201" customWidth="1"/>
    <col min="12" max="16384" width="9.140625" style="201"/>
  </cols>
  <sheetData>
    <row r="1" spans="1:4" ht="20.25" x14ac:dyDescent="0.2">
      <c r="A1" s="202"/>
      <c r="B1" s="146" t="s">
        <v>53</v>
      </c>
      <c r="C1" s="146"/>
    </row>
    <row r="2" spans="1:4" ht="20.25" x14ac:dyDescent="0.2">
      <c r="A2" s="202"/>
      <c r="B2" s="146" t="str">
        <f>IF(Tradingname=0," ",Tradingname)</f>
        <v>APT PIPELINES (NSW) PTY LIMITED</v>
      </c>
      <c r="C2" s="146"/>
    </row>
    <row r="3" spans="1:4" ht="20.25" x14ac:dyDescent="0.3">
      <c r="B3" s="146" t="s">
        <v>30</v>
      </c>
      <c r="C3" s="110">
        <f>IF(Yearending=0, "0/01/2000", Yearending)</f>
        <v>45838</v>
      </c>
    </row>
    <row r="4" spans="1:4" ht="20.25" x14ac:dyDescent="0.2">
      <c r="B4" s="102" t="s">
        <v>402</v>
      </c>
      <c r="C4" s="102"/>
    </row>
    <row r="5" spans="1:4" x14ac:dyDescent="0.2">
      <c r="B5" s="201" t="s">
        <v>403</v>
      </c>
    </row>
    <row r="6" spans="1:4" ht="15.75" x14ac:dyDescent="0.25">
      <c r="B6" s="200"/>
    </row>
    <row r="7" spans="1:4" ht="12.75" customHeight="1" x14ac:dyDescent="0.2">
      <c r="B7" s="502" t="s">
        <v>404</v>
      </c>
      <c r="C7" s="502"/>
      <c r="D7" s="502"/>
    </row>
    <row r="8" spans="1:4" ht="12.75" customHeight="1" x14ac:dyDescent="0.2">
      <c r="B8" s="502"/>
      <c r="C8" s="502"/>
      <c r="D8" s="502"/>
    </row>
    <row r="9" spans="1:4" ht="12.75" customHeight="1" x14ac:dyDescent="0.2">
      <c r="B9" s="502"/>
      <c r="C9" s="502"/>
      <c r="D9" s="502"/>
    </row>
    <row r="10" spans="1:4" ht="12.75" customHeight="1" x14ac:dyDescent="0.2">
      <c r="B10" s="502"/>
      <c r="C10" s="502"/>
      <c r="D10" s="502"/>
    </row>
    <row r="11" spans="1:4" ht="12.75" customHeight="1" x14ac:dyDescent="0.2">
      <c r="B11" s="502"/>
      <c r="C11" s="502"/>
      <c r="D11" s="502"/>
    </row>
    <row r="12" spans="1:4" ht="12.75" customHeight="1" x14ac:dyDescent="0.2">
      <c r="B12" s="502"/>
      <c r="C12" s="502"/>
      <c r="D12" s="502"/>
    </row>
    <row r="13" spans="1:4" ht="12.75" customHeight="1" x14ac:dyDescent="0.2">
      <c r="B13" s="502"/>
      <c r="C13" s="502"/>
      <c r="D13" s="502"/>
    </row>
    <row r="16" spans="1:4" ht="12.75" customHeight="1" x14ac:dyDescent="0.25">
      <c r="B16" s="200" t="s">
        <v>405</v>
      </c>
    </row>
    <row r="17" spans="2:5" ht="12.75" customHeight="1" x14ac:dyDescent="0.25">
      <c r="B17" s="200"/>
    </row>
    <row r="18" spans="2:5" x14ac:dyDescent="0.2">
      <c r="B18" s="497" t="s">
        <v>406</v>
      </c>
      <c r="C18" s="499"/>
      <c r="D18" s="497" t="s">
        <v>407</v>
      </c>
      <c r="E18" s="499"/>
    </row>
    <row r="19" spans="2:5" x14ac:dyDescent="0.2">
      <c r="B19" s="523" t="s">
        <v>114</v>
      </c>
      <c r="C19" s="313" t="s">
        <v>408</v>
      </c>
      <c r="D19" s="527" t="s">
        <v>114</v>
      </c>
      <c r="E19" s="525" t="s">
        <v>164</v>
      </c>
    </row>
    <row r="20" spans="2:5" x14ac:dyDescent="0.2">
      <c r="B20" s="524"/>
      <c r="C20" s="122" t="s">
        <v>164</v>
      </c>
      <c r="D20" s="528"/>
      <c r="E20" s="526"/>
    </row>
    <row r="21" spans="2:5" x14ac:dyDescent="0.2">
      <c r="B21" s="123" t="s">
        <v>78</v>
      </c>
      <c r="C21" s="210">
        <v>0.99772819674909263</v>
      </c>
      <c r="D21" s="199" t="s">
        <v>409</v>
      </c>
      <c r="E21" s="210">
        <v>4.4600000000000001E-2</v>
      </c>
    </row>
    <row r="22" spans="2:5" x14ac:dyDescent="0.2">
      <c r="B22" s="123" t="s">
        <v>80</v>
      </c>
      <c r="C22" s="210">
        <v>0</v>
      </c>
      <c r="D22" s="199" t="s">
        <v>410</v>
      </c>
      <c r="E22" s="209">
        <v>0.6</v>
      </c>
    </row>
    <row r="23" spans="2:5" x14ac:dyDescent="0.2">
      <c r="B23" s="123" t="s">
        <v>81</v>
      </c>
      <c r="C23" s="210">
        <v>0</v>
      </c>
      <c r="D23" s="199" t="s">
        <v>411</v>
      </c>
      <c r="E23" s="209">
        <v>0.3</v>
      </c>
    </row>
    <row r="24" spans="2:5" x14ac:dyDescent="0.2">
      <c r="B24" s="123" t="s">
        <v>82</v>
      </c>
      <c r="C24" s="210">
        <v>0</v>
      </c>
      <c r="D24" s="199" t="s">
        <v>412</v>
      </c>
      <c r="E24" s="209">
        <v>0.56999999999999995</v>
      </c>
    </row>
    <row r="25" spans="2:5" x14ac:dyDescent="0.2">
      <c r="B25" s="205" t="s">
        <v>83</v>
      </c>
      <c r="C25" s="210">
        <v>0</v>
      </c>
      <c r="D25" s="198" t="s">
        <v>413</v>
      </c>
      <c r="E25" s="210">
        <v>4.99E-2</v>
      </c>
    </row>
    <row r="26" spans="2:5" x14ac:dyDescent="0.2">
      <c r="B26" s="123" t="s">
        <v>84</v>
      </c>
      <c r="C26" s="210">
        <v>0</v>
      </c>
      <c r="D26" s="25"/>
      <c r="E26" s="25"/>
    </row>
    <row r="27" spans="2:5" x14ac:dyDescent="0.2">
      <c r="B27" s="123" t="s">
        <v>85</v>
      </c>
      <c r="C27" s="210">
        <v>0</v>
      </c>
      <c r="D27" s="25"/>
      <c r="E27" s="25"/>
    </row>
    <row r="28" spans="2:5" x14ac:dyDescent="0.2">
      <c r="B28" s="123" t="s">
        <v>86</v>
      </c>
      <c r="C28" s="210">
        <v>2.271803250907283E-3</v>
      </c>
      <c r="D28" s="25"/>
      <c r="E28" s="25"/>
    </row>
    <row r="29" spans="2:5" x14ac:dyDescent="0.2">
      <c r="B29" s="123" t="s">
        <v>88</v>
      </c>
      <c r="C29" s="210">
        <v>0</v>
      </c>
      <c r="D29" s="25"/>
      <c r="E29" s="25"/>
    </row>
    <row r="30" spans="2:5" x14ac:dyDescent="0.2">
      <c r="B30" s="123" t="s">
        <v>90</v>
      </c>
      <c r="C30" s="210">
        <v>0</v>
      </c>
      <c r="D30" s="25"/>
      <c r="E30" s="25"/>
    </row>
    <row r="31" spans="2:5" x14ac:dyDescent="0.2">
      <c r="B31" s="197" t="s">
        <v>56</v>
      </c>
      <c r="C31" s="129">
        <f>SUM(C21:C30)</f>
        <v>0.99999999999999989</v>
      </c>
      <c r="D31" s="25"/>
      <c r="E31" s="25"/>
    </row>
    <row r="34" spans="2:8" ht="15.75" x14ac:dyDescent="0.25">
      <c r="B34" s="200" t="s">
        <v>414</v>
      </c>
      <c r="C34" s="200"/>
    </row>
    <row r="36" spans="2:8" x14ac:dyDescent="0.2">
      <c r="B36" s="196"/>
      <c r="C36" s="196"/>
      <c r="D36" s="196" t="s">
        <v>415</v>
      </c>
      <c r="E36" s="196" t="s">
        <v>416</v>
      </c>
      <c r="F36" s="196" t="s">
        <v>417</v>
      </c>
      <c r="G36" s="196" t="s">
        <v>74</v>
      </c>
      <c r="H36" s="196" t="s">
        <v>75</v>
      </c>
    </row>
    <row r="37" spans="2:8" x14ac:dyDescent="0.2">
      <c r="B37" s="521" t="s">
        <v>78</v>
      </c>
      <c r="C37" s="196" t="s">
        <v>76</v>
      </c>
      <c r="D37" s="195">
        <f>MIN(C64:D64)</f>
        <v>1.2058301253218155</v>
      </c>
      <c r="E37" s="195">
        <f>MIN(E64:G64)</f>
        <v>0</v>
      </c>
      <c r="F37" s="195">
        <f>MIN(H64,J64)+MIN(I64,K64)</f>
        <v>1.7765352832209715</v>
      </c>
      <c r="G37" s="195">
        <f t="shared" ref="G37:G56" si="0">SUM(D37:F37)</f>
        <v>2.9823654085427869</v>
      </c>
      <c r="H37" s="520" t="s">
        <v>79</v>
      </c>
    </row>
    <row r="38" spans="2:8" x14ac:dyDescent="0.2">
      <c r="B38" s="522"/>
      <c r="C38" s="196" t="s">
        <v>77</v>
      </c>
      <c r="D38" s="195">
        <f>MAX(C64:D64)</f>
        <v>1.9731396905918577</v>
      </c>
      <c r="E38" s="195">
        <f>MAX(E64:G64)</f>
        <v>1.6861276960806053</v>
      </c>
      <c r="F38" s="195">
        <f>MAX(H64,J64)+MAX(I64,K64)</f>
        <v>1.7765352832209715</v>
      </c>
      <c r="G38" s="195">
        <f t="shared" si="0"/>
        <v>5.4358026698934339</v>
      </c>
      <c r="H38" s="520"/>
    </row>
    <row r="39" spans="2:8" x14ac:dyDescent="0.2">
      <c r="B39" s="521" t="s">
        <v>80</v>
      </c>
      <c r="C39" s="196" t="s">
        <v>76</v>
      </c>
      <c r="D39" s="195">
        <f>MIN(C65:D65)</f>
        <v>0</v>
      </c>
      <c r="E39" s="195">
        <f>MIN(E65:G65)</f>
        <v>0</v>
      </c>
      <c r="F39" s="195">
        <f>MIN(H65,J65)+MIN(I65,K65)</f>
        <v>0</v>
      </c>
      <c r="G39" s="195">
        <f t="shared" si="0"/>
        <v>0</v>
      </c>
      <c r="H39" s="520" t="s">
        <v>79</v>
      </c>
    </row>
    <row r="40" spans="2:8" x14ac:dyDescent="0.2">
      <c r="B40" s="522"/>
      <c r="C40" s="196" t="s">
        <v>77</v>
      </c>
      <c r="D40" s="195">
        <f>MAX(C65:D65)</f>
        <v>0</v>
      </c>
      <c r="E40" s="195">
        <f>MAX(E65:G65)</f>
        <v>0</v>
      </c>
      <c r="F40" s="195">
        <f>MAX(H65,J65)+MAX(I65,K65)</f>
        <v>0</v>
      </c>
      <c r="G40" s="195">
        <f t="shared" si="0"/>
        <v>0</v>
      </c>
      <c r="H40" s="520"/>
    </row>
    <row r="41" spans="2:8" x14ac:dyDescent="0.2">
      <c r="B41" s="521" t="s">
        <v>81</v>
      </c>
      <c r="C41" s="196" t="s">
        <v>76</v>
      </c>
      <c r="D41" s="195">
        <f>MIN(C66:D66)</f>
        <v>0</v>
      </c>
      <c r="E41" s="195">
        <f>MIN(E66:G66)</f>
        <v>0</v>
      </c>
      <c r="F41" s="195">
        <f>MIN(H66,J66)+MIN(I66,K66)</f>
        <v>0</v>
      </c>
      <c r="G41" s="195">
        <f t="shared" si="0"/>
        <v>0</v>
      </c>
      <c r="H41" s="520" t="s">
        <v>79</v>
      </c>
    </row>
    <row r="42" spans="2:8" x14ac:dyDescent="0.2">
      <c r="B42" s="522"/>
      <c r="C42" s="196" t="s">
        <v>77</v>
      </c>
      <c r="D42" s="195">
        <f>MAX(C66:D66)</f>
        <v>0</v>
      </c>
      <c r="E42" s="195">
        <f>MAX(E66:G66)</f>
        <v>0</v>
      </c>
      <c r="F42" s="195">
        <f>MAX(H66,J66)+MAX(I66,K66)</f>
        <v>0</v>
      </c>
      <c r="G42" s="195">
        <f t="shared" si="0"/>
        <v>0</v>
      </c>
      <c r="H42" s="520"/>
    </row>
    <row r="43" spans="2:8" x14ac:dyDescent="0.2">
      <c r="B43" s="521" t="s">
        <v>82</v>
      </c>
      <c r="C43" s="196" t="s">
        <v>76</v>
      </c>
      <c r="D43" s="195">
        <f>MIN(C67:D67)</f>
        <v>0</v>
      </c>
      <c r="E43" s="195">
        <f>MIN(E67:G67)</f>
        <v>0</v>
      </c>
      <c r="F43" s="195">
        <f>MIN(H67,J67)+MIN(I67,K67)</f>
        <v>0</v>
      </c>
      <c r="G43" s="195">
        <f t="shared" si="0"/>
        <v>0</v>
      </c>
      <c r="H43" s="520" t="s">
        <v>79</v>
      </c>
    </row>
    <row r="44" spans="2:8" x14ac:dyDescent="0.2">
      <c r="B44" s="522"/>
      <c r="C44" s="196" t="s">
        <v>77</v>
      </c>
      <c r="D44" s="195">
        <f>MAX(C67:D67)</f>
        <v>0</v>
      </c>
      <c r="E44" s="195">
        <f>MAX(E67:G67)</f>
        <v>0</v>
      </c>
      <c r="F44" s="195">
        <f>MAX(H67,J67)+MAX(I67,K67)</f>
        <v>0</v>
      </c>
      <c r="G44" s="195">
        <f t="shared" si="0"/>
        <v>0</v>
      </c>
      <c r="H44" s="520"/>
    </row>
    <row r="45" spans="2:8" x14ac:dyDescent="0.2">
      <c r="B45" s="521" t="s">
        <v>83</v>
      </c>
      <c r="C45" s="196" t="s">
        <v>76</v>
      </c>
      <c r="D45" s="195">
        <f>MIN(C68:D68)</f>
        <v>0</v>
      </c>
      <c r="E45" s="195">
        <f>MIN(E68:G68)</f>
        <v>0</v>
      </c>
      <c r="F45" s="195">
        <f>MIN(H68,J68)+MIN(I68,K68)</f>
        <v>0</v>
      </c>
      <c r="G45" s="195">
        <f t="shared" si="0"/>
        <v>0</v>
      </c>
      <c r="H45" s="520" t="s">
        <v>79</v>
      </c>
    </row>
    <row r="46" spans="2:8" x14ac:dyDescent="0.2">
      <c r="B46" s="522"/>
      <c r="C46" s="196" t="s">
        <v>77</v>
      </c>
      <c r="D46" s="195">
        <f>MAX(C68:D68)</f>
        <v>0</v>
      </c>
      <c r="E46" s="195">
        <f>MAX(E68:G68)</f>
        <v>0</v>
      </c>
      <c r="F46" s="195">
        <f>MAX(H68,J68)+MAX(I68,K68)</f>
        <v>0</v>
      </c>
      <c r="G46" s="195">
        <f t="shared" si="0"/>
        <v>0</v>
      </c>
      <c r="H46" s="520"/>
    </row>
    <row r="47" spans="2:8" x14ac:dyDescent="0.2">
      <c r="B47" s="521" t="s">
        <v>84</v>
      </c>
      <c r="C47" s="196" t="s">
        <v>76</v>
      </c>
      <c r="D47" s="195">
        <f>MIN(C69:D69)</f>
        <v>0</v>
      </c>
      <c r="E47" s="195">
        <f>MIN(E69:G69)</f>
        <v>0</v>
      </c>
      <c r="F47" s="195">
        <f>MIN(H69,J69)+MIN(I69,K69)</f>
        <v>0</v>
      </c>
      <c r="G47" s="195">
        <f t="shared" si="0"/>
        <v>0</v>
      </c>
      <c r="H47" s="520" t="s">
        <v>79</v>
      </c>
    </row>
    <row r="48" spans="2:8" x14ac:dyDescent="0.2">
      <c r="B48" s="522"/>
      <c r="C48" s="196" t="s">
        <v>77</v>
      </c>
      <c r="D48" s="195">
        <f>MAX(C69:D69)</f>
        <v>0</v>
      </c>
      <c r="E48" s="195">
        <f>MAX(E69:G69)</f>
        <v>0</v>
      </c>
      <c r="F48" s="195">
        <f>MAX(H69,J69)+MAX(I69,K69)</f>
        <v>0</v>
      </c>
      <c r="G48" s="195">
        <f t="shared" si="0"/>
        <v>0</v>
      </c>
      <c r="H48" s="520"/>
    </row>
    <row r="49" spans="2:11" x14ac:dyDescent="0.2">
      <c r="B49" s="521" t="s">
        <v>85</v>
      </c>
      <c r="C49" s="196" t="s">
        <v>76</v>
      </c>
      <c r="D49" s="195">
        <f>MIN(C70:D70)</f>
        <v>0</v>
      </c>
      <c r="E49" s="195">
        <f>MIN(E70:G70)</f>
        <v>0</v>
      </c>
      <c r="F49" s="195">
        <f>MIN(H70,J70)+MIN(I70,K70)</f>
        <v>0</v>
      </c>
      <c r="G49" s="195">
        <f t="shared" si="0"/>
        <v>0</v>
      </c>
      <c r="H49" s="520" t="s">
        <v>79</v>
      </c>
    </row>
    <row r="50" spans="2:11" x14ac:dyDescent="0.2">
      <c r="B50" s="522"/>
      <c r="C50" s="196" t="s">
        <v>77</v>
      </c>
      <c r="D50" s="195">
        <f>MAX(C70:D70)</f>
        <v>0</v>
      </c>
      <c r="E50" s="195">
        <f>MAX(E70:G70)</f>
        <v>0</v>
      </c>
      <c r="F50" s="195">
        <f>MAX(H70,J70)+MAX(I70,K70)</f>
        <v>0</v>
      </c>
      <c r="G50" s="195">
        <f t="shared" si="0"/>
        <v>0</v>
      </c>
      <c r="H50" s="520"/>
    </row>
    <row r="51" spans="2:11" x14ac:dyDescent="0.2">
      <c r="B51" s="521" t="s">
        <v>86</v>
      </c>
      <c r="C51" s="196" t="s">
        <v>76</v>
      </c>
      <c r="D51" s="195">
        <f>MIN(C71:D71)</f>
        <v>0</v>
      </c>
      <c r="E51" s="195">
        <f>MIN(E71:G71)</f>
        <v>0</v>
      </c>
      <c r="F51" s="195">
        <f>MIN(H71,J71)+MIN(I71,K71)</f>
        <v>0</v>
      </c>
      <c r="G51" s="195">
        <f t="shared" si="0"/>
        <v>0</v>
      </c>
      <c r="H51" s="520" t="s">
        <v>87</v>
      </c>
    </row>
    <row r="52" spans="2:11" x14ac:dyDescent="0.2">
      <c r="B52" s="522"/>
      <c r="C52" s="196" t="s">
        <v>77</v>
      </c>
      <c r="D52" s="195">
        <f>MAX(C71:D71)</f>
        <v>0</v>
      </c>
      <c r="E52" s="195">
        <f>MAX(E71:G71)</f>
        <v>0</v>
      </c>
      <c r="F52" s="195">
        <f>MAX(H71,J71)+MAX(I71,K71)</f>
        <v>0</v>
      </c>
      <c r="G52" s="195">
        <f t="shared" si="0"/>
        <v>0</v>
      </c>
      <c r="H52" s="520"/>
    </row>
    <row r="53" spans="2:11" x14ac:dyDescent="0.2">
      <c r="B53" s="521" t="s">
        <v>88</v>
      </c>
      <c r="C53" s="196" t="s">
        <v>76</v>
      </c>
      <c r="D53" s="195">
        <f>MIN(C72:D72)</f>
        <v>0</v>
      </c>
      <c r="E53" s="195">
        <f>MIN(E72:G72)</f>
        <v>0</v>
      </c>
      <c r="F53" s="195">
        <f>MIN(H72,J72)+MIN(I72,K72)</f>
        <v>0</v>
      </c>
      <c r="G53" s="195">
        <f t="shared" si="0"/>
        <v>0</v>
      </c>
      <c r="H53" s="520" t="s">
        <v>89</v>
      </c>
    </row>
    <row r="54" spans="2:11" x14ac:dyDescent="0.2">
      <c r="B54" s="522"/>
      <c r="C54" s="196" t="s">
        <v>77</v>
      </c>
      <c r="D54" s="195">
        <f>MAX(C72:D72)</f>
        <v>0</v>
      </c>
      <c r="E54" s="195">
        <f>MAX(E72:G72)</f>
        <v>0</v>
      </c>
      <c r="F54" s="195">
        <f>MAX(H72,J72)+MAX(I72,K72)</f>
        <v>0</v>
      </c>
      <c r="G54" s="195">
        <f t="shared" si="0"/>
        <v>0</v>
      </c>
      <c r="H54" s="520"/>
    </row>
    <row r="55" spans="2:11" x14ac:dyDescent="0.2">
      <c r="B55" s="521" t="s">
        <v>90</v>
      </c>
      <c r="C55" s="196" t="s">
        <v>76</v>
      </c>
      <c r="D55" s="195">
        <f>MIN(C73:D73)</f>
        <v>0</v>
      </c>
      <c r="E55" s="195">
        <f>MIN(E73:G73)</f>
        <v>0</v>
      </c>
      <c r="F55" s="195">
        <f>MIN(H73,J73)+MIN(I73,K73)</f>
        <v>0</v>
      </c>
      <c r="G55" s="195">
        <f t="shared" si="0"/>
        <v>0</v>
      </c>
      <c r="H55" s="520"/>
    </row>
    <row r="56" spans="2:11" x14ac:dyDescent="0.2">
      <c r="B56" s="522"/>
      <c r="C56" s="196" t="s">
        <v>77</v>
      </c>
      <c r="D56" s="195">
        <f>MAX(C73:D73)</f>
        <v>0</v>
      </c>
      <c r="E56" s="195">
        <f>MAX(E73:G73)</f>
        <v>0</v>
      </c>
      <c r="F56" s="195">
        <f>MAX(H73,J73)+MAX(I73,K73)</f>
        <v>0</v>
      </c>
      <c r="G56" s="195">
        <f t="shared" si="0"/>
        <v>0</v>
      </c>
      <c r="H56" s="520"/>
    </row>
    <row r="59" spans="2:11" ht="15.75" x14ac:dyDescent="0.25">
      <c r="B59" s="200" t="s">
        <v>418</v>
      </c>
    </row>
    <row r="60" spans="2:11" ht="16.5" thickBot="1" x14ac:dyDescent="0.3">
      <c r="B60" s="194" t="s">
        <v>419</v>
      </c>
    </row>
    <row r="61" spans="2:11" s="192" customFormat="1" ht="13.5" thickBot="1" x14ac:dyDescent="0.25">
      <c r="B61" s="193"/>
      <c r="C61" s="534" t="s">
        <v>420</v>
      </c>
      <c r="D61" s="536"/>
      <c r="E61" s="534" t="s">
        <v>421</v>
      </c>
      <c r="F61" s="535"/>
      <c r="G61" s="536"/>
      <c r="H61" s="531" t="s">
        <v>422</v>
      </c>
      <c r="I61" s="532"/>
      <c r="J61" s="532"/>
      <c r="K61" s="533"/>
    </row>
    <row r="62" spans="2:11" s="192" customFormat="1" x14ac:dyDescent="0.2">
      <c r="B62" s="193"/>
      <c r="C62" s="537" t="s">
        <v>423</v>
      </c>
      <c r="D62" s="541" t="s">
        <v>424</v>
      </c>
      <c r="E62" s="537" t="s">
        <v>425</v>
      </c>
      <c r="F62" s="539" t="s">
        <v>426</v>
      </c>
      <c r="G62" s="541" t="s">
        <v>427</v>
      </c>
      <c r="H62" s="534" t="s">
        <v>428</v>
      </c>
      <c r="I62" s="536"/>
      <c r="J62" s="529" t="s">
        <v>429</v>
      </c>
      <c r="K62" s="530"/>
    </row>
    <row r="63" spans="2:11" s="192" customFormat="1" x14ac:dyDescent="0.2">
      <c r="B63" s="193"/>
      <c r="C63" s="538"/>
      <c r="D63" s="542"/>
      <c r="E63" s="538"/>
      <c r="F63" s="540"/>
      <c r="G63" s="542"/>
      <c r="H63" s="191" t="s">
        <v>430</v>
      </c>
      <c r="I63" s="230" t="s">
        <v>431</v>
      </c>
      <c r="J63" s="191" t="s">
        <v>430</v>
      </c>
      <c r="K63" s="230" t="s">
        <v>431</v>
      </c>
    </row>
    <row r="64" spans="2:11" x14ac:dyDescent="0.2">
      <c r="B64" s="123" t="s">
        <v>78</v>
      </c>
      <c r="C64" s="190">
        <f>INDEX($F$79:$G$88,MATCH($B64,$B$79:$B$88,0),MATCH(C$62,$F$78:$G$78,0))</f>
        <v>1.9731396905918577</v>
      </c>
      <c r="D64" s="189">
        <f>INDEX($F$79:$G$88,MATCH($B64,$B$79:$B$88,0),MATCH(D$62,$F$78:$G$78,0))</f>
        <v>1.2058301253218155</v>
      </c>
      <c r="E64" s="190">
        <f t="shared" ref="E64:F73" si="1">F104</f>
        <v>1.6861276960806053</v>
      </c>
      <c r="F64" s="188">
        <f t="shared" si="1"/>
        <v>1.4792804716126828</v>
      </c>
      <c r="G64" s="189">
        <f t="shared" ref="G64:G73" si="2">G116</f>
        <v>0</v>
      </c>
      <c r="H64" s="190" t="str">
        <f>I137</f>
        <v xml:space="preserve"> - </v>
      </c>
      <c r="I64" s="189" t="str">
        <f>J137</f>
        <v xml:space="preserve"> - </v>
      </c>
      <c r="J64" s="190">
        <f>I149</f>
        <v>1.662363112634113</v>
      </c>
      <c r="K64" s="189">
        <f>J149</f>
        <v>0.11417217058685869</v>
      </c>
    </row>
    <row r="65" spans="2:11" x14ac:dyDescent="0.2">
      <c r="B65" s="123" t="s">
        <v>80</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81</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82</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83</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84</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85</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
      <c r="B71" s="123" t="s">
        <v>86</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88</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90</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432</v>
      </c>
    </row>
    <row r="77" spans="2:11" ht="15.75" x14ac:dyDescent="0.25">
      <c r="B77" s="194" t="s">
        <v>433</v>
      </c>
    </row>
    <row r="78" spans="2:11" s="182" customFormat="1" ht="24.75" customHeight="1" x14ac:dyDescent="0.2">
      <c r="B78" s="184" t="s">
        <v>434</v>
      </c>
      <c r="C78" s="183" t="s">
        <v>435</v>
      </c>
      <c r="D78" s="183" t="s">
        <v>436</v>
      </c>
      <c r="E78" s="183" t="s">
        <v>437</v>
      </c>
      <c r="F78" s="184" t="s">
        <v>423</v>
      </c>
      <c r="G78" s="184" t="s">
        <v>424</v>
      </c>
    </row>
    <row r="79" spans="2:11" x14ac:dyDescent="0.2">
      <c r="B79" s="123" t="s">
        <v>78</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1387500.2835026083</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847932.68754233478</v>
      </c>
      <c r="E79" s="180">
        <f>INDEX('5. Historical demand'!$C$26:$C$35,MATCH('6. Pricing template'!B79,'5. Historical demand'!$B$26:$B$35,0),1)*(Yearending-Yearstart)</f>
        <v>703.19414794520583</v>
      </c>
      <c r="F79" s="179">
        <f>IFERROR(C79/(E79*1000)," -")</f>
        <v>1.9731396905918577</v>
      </c>
      <c r="G79" s="179">
        <f>IFERROR(D79/(E79*1000)," -")</f>
        <v>1.2058301253218155</v>
      </c>
    </row>
    <row r="80" spans="2:11" x14ac:dyDescent="0.2">
      <c r="B80" s="123" t="s">
        <v>80</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81</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0</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0</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82</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83</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84</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85</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80">
        <f>INDEX('5. Historical demand'!$C$26:$C$35,MATCH('6. Pricing template'!B85,'5. Historical demand'!$B$26:$B$35,0),1)*(Yearending-Yearstart)</f>
        <v>0</v>
      </c>
      <c r="F85" s="179" t="str">
        <f t="shared" si="6"/>
        <v xml:space="preserve"> -</v>
      </c>
      <c r="G85" s="179" t="str">
        <f t="shared" si="7"/>
        <v xml:space="preserve"> -</v>
      </c>
    </row>
    <row r="86" spans="2:7" x14ac:dyDescent="0.2">
      <c r="B86" s="123" t="s">
        <v>86</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3159.304974006558</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1930.7224576651488</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88</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90</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0</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0</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360</v>
      </c>
    </row>
    <row r="91" spans="2:7" x14ac:dyDescent="0.2">
      <c r="B91" s="178" t="s">
        <v>438</v>
      </c>
      <c r="C91" s="199" t="s">
        <v>439</v>
      </c>
      <c r="D91" s="199" t="s">
        <v>440</v>
      </c>
      <c r="E91" s="199" t="s">
        <v>441</v>
      </c>
    </row>
    <row r="92" spans="2:7" x14ac:dyDescent="0.2">
      <c r="B92" s="123" t="s">
        <v>78</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23416155.234350849</v>
      </c>
      <c r="D92" s="181">
        <f>ABS('2.1 Profit &amp; Loss by component'!$F$26)*INDEX('2.2 Allocation to services'!$D$68:$D$77,MATCH('6. Pricing template'!B79,'2.2 Allocation to services'!$C$68:$C$77,0),1)/(Yearending-Yearstart)*365</f>
        <v>1043079.121826365</v>
      </c>
      <c r="E92" s="177">
        <f t="shared" ref="E92:E101" si="8">IFERROR(C92/D92," - ")</f>
        <v>22.449069053698107</v>
      </c>
    </row>
    <row r="93" spans="2:7" x14ac:dyDescent="0.2">
      <c r="B93" s="123" t="s">
        <v>80</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81</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0</v>
      </c>
      <c r="D94" s="181">
        <f>ABS('2.1 Profit &amp; Loss by component'!$F$26)*INDEX('2.2 Allocation to services'!$D$68:$D$77,MATCH('6. Pricing template'!B81,'2.2 Allocation to services'!$C$68:$C$77,0),1)/(Yearending-Yearstart)*365</f>
        <v>0</v>
      </c>
      <c r="E94" s="177" t="str">
        <f t="shared" si="8"/>
        <v xml:space="preserve"> - </v>
      </c>
    </row>
    <row r="95" spans="2:7" x14ac:dyDescent="0.2">
      <c r="B95" s="123" t="s">
        <v>82</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83</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84</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1">
        <f>ABS('2.1 Profit &amp; Loss by component'!$F$26)*INDEX('2.2 Allocation to services'!$D$68:$D$77,MATCH('6. Pricing template'!B84,'2.2 Allocation to services'!$C$68:$C$77,0),1)/(Yearending-Yearstart)*365</f>
        <v>0</v>
      </c>
      <c r="E97" s="177" t="str">
        <f t="shared" si="8"/>
        <v xml:space="preserve"> - </v>
      </c>
    </row>
    <row r="98" spans="2:7" x14ac:dyDescent="0.2">
      <c r="B98" s="123" t="s">
        <v>85</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81">
        <f>ABS('2.1 Profit &amp; Loss by component'!$F$26)*INDEX('2.2 Allocation to services'!$D$68:$D$77,MATCH('6. Pricing template'!B85,'2.2 Allocation to services'!$C$68:$C$77,0),1)/(Yearending-Yearstart)*365</f>
        <v>0</v>
      </c>
      <c r="E98" s="177" t="str">
        <f t="shared" si="8"/>
        <v xml:space="preserve"> - </v>
      </c>
    </row>
    <row r="99" spans="2:7" x14ac:dyDescent="0.2">
      <c r="B99" s="123" t="s">
        <v>86</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53318.025649149553</v>
      </c>
      <c r="D99" s="181">
        <f>ABS('2.1 Profit &amp; Loss by component'!$F$26)*INDEX('2.2 Allocation to services'!$D$68:$D$77,MATCH('6. Pricing template'!B86,'2.2 Allocation to services'!$C$68:$C$77,0),1)/(Yearending-Yearstart)*365</f>
        <v>2375.0662230853759</v>
      </c>
      <c r="E99" s="177">
        <f t="shared" si="8"/>
        <v>22.449069053698107</v>
      </c>
    </row>
    <row r="100" spans="2:7" x14ac:dyDescent="0.2">
      <c r="B100" s="123" t="s">
        <v>88</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81">
        <f>ABS('2.1 Profit &amp; Loss by component'!$F$26)*INDEX('2.2 Allocation to services'!$D$68:$D$77,MATCH('6. Pricing template'!B87,'2.2 Allocation to services'!$C$68:$C$77,0),1)/(Yearending-Yearstart)*365</f>
        <v>0</v>
      </c>
      <c r="E100" s="177" t="str">
        <f t="shared" si="8"/>
        <v xml:space="preserve"> - </v>
      </c>
    </row>
    <row r="101" spans="2:7" x14ac:dyDescent="0.2">
      <c r="B101" s="123" t="s">
        <v>90</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0</v>
      </c>
      <c r="D101" s="181">
        <f>ABS('2.1 Profit &amp; Loss by component'!$F$26)*INDEX('2.2 Allocation to services'!$D$68:$D$77,MATCH('6. Pricing template'!B88,'2.2 Allocation to services'!$C$68:$C$77,0),1)/(Yearending-Yearstart)*365</f>
        <v>0</v>
      </c>
      <c r="E101" s="177" t="str">
        <f t="shared" si="8"/>
        <v xml:space="preserve"> - </v>
      </c>
    </row>
    <row r="103" spans="2:7" s="182" customFormat="1" ht="27" customHeight="1" x14ac:dyDescent="0.2">
      <c r="B103" s="175" t="s">
        <v>442</v>
      </c>
      <c r="C103" s="183" t="s">
        <v>443</v>
      </c>
      <c r="D103" s="183" t="s">
        <v>444</v>
      </c>
      <c r="E103" s="183" t="s">
        <v>437</v>
      </c>
      <c r="F103" s="184" t="s">
        <v>425</v>
      </c>
      <c r="G103" s="211" t="s">
        <v>426</v>
      </c>
    </row>
    <row r="104" spans="2:7" x14ac:dyDescent="0.2">
      <c r="B104" s="123" t="s">
        <v>78</v>
      </c>
      <c r="C104" s="181">
        <f>ABS('2.1 Profit &amp; Loss by component'!$F$26+'2.1 Profit &amp; Loss by component'!$F$37)*INDEX('2.2 Allocation to services'!$D$68:$D$77,MATCH(B104,'2.2 Allocation to services'!$C$68:$C$77,0),1)</f>
        <v>1185675.1285722142</v>
      </c>
      <c r="D104" s="181">
        <f>ABS('2.1 Profit &amp; Loss by component'!$F$26*INDEX('2.2 Allocation to services'!$D$68:$D$77,MATCH(B104,'2.2 Allocation to services'!$C$68:$C$77,0),1))</f>
        <v>1040221.3708076627</v>
      </c>
      <c r="E104" s="180">
        <f>INDEX('5. Historical demand'!$C$26:$C$35,MATCH(B104,'5. Historical demand'!$B$26:$B$35,0),1)*(Yearending-Yearstart)</f>
        <v>703.19414794520583</v>
      </c>
      <c r="F104" s="212">
        <f>IFERROR(C104/(E104*1000)," - ")</f>
        <v>1.6861276960806053</v>
      </c>
      <c r="G104" s="212">
        <f>IFERROR(D104/(E104*1000)," - ")</f>
        <v>1.4792804716126828</v>
      </c>
    </row>
    <row r="105" spans="2:7" x14ac:dyDescent="0.2">
      <c r="B105" s="123" t="s">
        <v>80</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81</v>
      </c>
      <c r="C106" s="181">
        <f>ABS('2.1 Profit &amp; Loss by component'!$F$26+'2.1 Profit &amp; Loss by component'!$F$37)*INDEX('2.2 Allocation to services'!$D$68:$D$77,MATCH(B106,'2.2 Allocation to services'!$C$68:$C$77,0),1)</f>
        <v>0</v>
      </c>
      <c r="D106" s="181">
        <f>ABS('2.1 Profit &amp; Loss by component'!$F$26*INDEX('2.2 Allocation to services'!$D$68:$D$77,MATCH(B106,'2.2 Allocation to services'!$C$68:$C$77,0),1))</f>
        <v>0</v>
      </c>
      <c r="E106" s="180">
        <f>INDEX('5. Historical demand'!$C$26:$C$35,MATCH(B106,'5. Historical demand'!$B$26:$B$35,0),1)*(Yearending-Yearstart)</f>
        <v>0</v>
      </c>
      <c r="F106" s="212" t="str">
        <f t="shared" si="9"/>
        <v xml:space="preserve"> - </v>
      </c>
      <c r="G106" s="212" t="str">
        <f t="shared" si="10"/>
        <v xml:space="preserve"> - </v>
      </c>
    </row>
    <row r="107" spans="2:7" x14ac:dyDescent="0.2">
      <c r="B107" s="123" t="s">
        <v>82</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83</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84</v>
      </c>
      <c r="C109" s="181">
        <f>ABS('2.1 Profit &amp; Loss by component'!$F$26+'2.1 Profit &amp; Loss by component'!$F$37)*INDEX('2.2 Allocation to services'!$D$68:$D$77,MATCH(B109,'2.2 Allocation to services'!$C$68:$C$77,0),1)</f>
        <v>0</v>
      </c>
      <c r="D109" s="181">
        <f>ABS('2.1 Profit &amp; Loss by component'!$F$26*INDEX('2.2 Allocation to services'!$D$68:$D$77,MATCH(B109,'2.2 Allocation to services'!$C$68:$C$77,0),1))</f>
        <v>0</v>
      </c>
      <c r="E109" s="180">
        <f>INDEX('5. Historical demand'!$C$26:$C$35,MATCH(B109,'5. Historical demand'!$B$26:$B$35,0),1)*(Yearending-Yearstart)</f>
        <v>0</v>
      </c>
      <c r="F109" s="212" t="str">
        <f t="shared" si="9"/>
        <v xml:space="preserve"> - </v>
      </c>
      <c r="G109" s="212" t="str">
        <f t="shared" si="10"/>
        <v xml:space="preserve"> - </v>
      </c>
    </row>
    <row r="110" spans="2:7" x14ac:dyDescent="0.2">
      <c r="B110" s="123" t="s">
        <v>85</v>
      </c>
      <c r="C110" s="181">
        <f>ABS('2.1 Profit &amp; Loss by component'!$F$26+'2.1 Profit &amp; Loss by component'!$F$37)*INDEX('2.2 Allocation to services'!$D$68:$D$77,MATCH(B110,'2.2 Allocation to services'!$C$68:$C$77,0),1)</f>
        <v>0</v>
      </c>
      <c r="D110" s="181">
        <f>ABS('2.1 Profit &amp; Loss by component'!$F$26*INDEX('2.2 Allocation to services'!$D$68:$D$77,MATCH(B110,'2.2 Allocation to services'!$C$68:$C$77,0),1))</f>
        <v>0</v>
      </c>
      <c r="E110" s="180">
        <f>INDEX('5. Historical demand'!$C$26:$C$35,MATCH(B110,'5. Historical demand'!$B$26:$B$35,0),1)*(Yearending-Yearstart)</f>
        <v>0</v>
      </c>
      <c r="F110" s="212" t="str">
        <f t="shared" si="9"/>
        <v xml:space="preserve"> - </v>
      </c>
      <c r="G110" s="212" t="str">
        <f t="shared" si="10"/>
        <v xml:space="preserve"> - </v>
      </c>
    </row>
    <row r="111" spans="2:7" x14ac:dyDescent="0.2">
      <c r="B111" s="123" t="s">
        <v>86</v>
      </c>
      <c r="C111" s="181">
        <f>ABS('2.1 Profit &amp; Loss by component'!$F$26+'2.1 Profit &amp; Loss by component'!$F$37)*INDEX('2.2 Allocation to services'!$D$68:$D$77,MATCH(B111,'2.2 Allocation to services'!$C$68:$C$77,0),1)</f>
        <v>2699.7539213454293</v>
      </c>
      <c r="D111" s="181">
        <f>ABS('2.1 Profit &amp; Loss by component'!$F$26*INDEX('2.2 Allocation to services'!$D$68:$D$77,MATCH(B111,'2.2 Allocation to services'!$C$68:$C$77,0),1))</f>
        <v>2368.5591923371967</v>
      </c>
      <c r="E111" s="180">
        <f>INDEX('5. Historical demand'!$C$26:$C$35,MATCH(B111,'5. Historical demand'!$B$26:$B$35,0),1)*(Yearending-Yearstart)</f>
        <v>0</v>
      </c>
      <c r="F111" s="212" t="str">
        <f t="shared" si="9"/>
        <v xml:space="preserve"> - </v>
      </c>
      <c r="G111" s="212" t="str">
        <f t="shared" si="10"/>
        <v xml:space="preserve"> - </v>
      </c>
    </row>
    <row r="112" spans="2:7" x14ac:dyDescent="0.2">
      <c r="B112" s="123" t="s">
        <v>88</v>
      </c>
      <c r="C112" s="181">
        <f>ABS('2.1 Profit &amp; Loss by component'!$F$26+'2.1 Profit &amp; Loss by component'!$F$37)*INDEX('2.2 Allocation to services'!$D$68:$D$77,MATCH(B112,'2.2 Allocation to services'!$C$68:$C$77,0),1)</f>
        <v>0</v>
      </c>
      <c r="D112" s="181">
        <f>ABS('2.1 Profit &amp; Loss by component'!$F$26*INDEX('2.2 Allocation to services'!$D$68:$D$77,MATCH(B112,'2.2 Allocation to services'!$C$68:$C$77,0),1))</f>
        <v>0</v>
      </c>
      <c r="E112" s="180">
        <f>INDEX('5. Historical demand'!$C$26:$C$35,MATCH(B112,'5. Historical demand'!$B$26:$B$35,0),1)*(Yearending-Yearstart)</f>
        <v>0</v>
      </c>
      <c r="F112" s="212" t="str">
        <f t="shared" si="9"/>
        <v xml:space="preserve"> - </v>
      </c>
      <c r="G112" s="212" t="str">
        <f t="shared" si="10"/>
        <v xml:space="preserve"> - </v>
      </c>
    </row>
    <row r="113" spans="2:7" x14ac:dyDescent="0.2">
      <c r="B113" s="123" t="s">
        <v>90</v>
      </c>
      <c r="C113" s="181">
        <f>ABS('2.1 Profit &amp; Loss by component'!$F$26+'2.1 Profit &amp; Loss by component'!$F$37)*INDEX('2.2 Allocation to services'!$D$68:$D$77,MATCH(B113,'2.2 Allocation to services'!$C$68:$C$77,0),1)</f>
        <v>0</v>
      </c>
      <c r="D113" s="181">
        <f>ABS('2.1 Profit &amp; Loss by component'!$F$26*INDEX('2.2 Allocation to services'!$D$68:$D$77,MATCH(B113,'2.2 Allocation to services'!$C$68:$C$77,0),1))</f>
        <v>0</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445</v>
      </c>
      <c r="C115" s="213" t="s">
        <v>446</v>
      </c>
      <c r="D115" s="213" t="s">
        <v>441</v>
      </c>
      <c r="E115" s="213" t="s">
        <v>447</v>
      </c>
      <c r="F115" s="183" t="s">
        <v>437</v>
      </c>
      <c r="G115" s="211" t="s">
        <v>427</v>
      </c>
    </row>
    <row r="116" spans="2:7" x14ac:dyDescent="0.2">
      <c r="B116" s="123" t="s">
        <v>78</v>
      </c>
      <c r="C116" s="121">
        <f>'4. Recovered Capital'!$E$37*C21</f>
        <v>0</v>
      </c>
      <c r="D116" s="177">
        <f>E92</f>
        <v>22.449069053698107</v>
      </c>
      <c r="E116" s="121">
        <f t="shared" ref="E116:E125" si="11">IFERROR(C116/D116, " - ")</f>
        <v>0</v>
      </c>
      <c r="F116" s="180">
        <f>INDEX('5. Historical demand'!$C$26:$C$35,MATCH(B116,'5. Historical demand'!$B$26:$B$35,0),1)*(Yearending-Yearstart)</f>
        <v>703.19414794520583</v>
      </c>
      <c r="G116" s="212">
        <f>IFERROR(E116/(E104*1000), " - ")</f>
        <v>0</v>
      </c>
    </row>
    <row r="117" spans="2:7" x14ac:dyDescent="0.2">
      <c r="B117" s="123" t="s">
        <v>80</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81</v>
      </c>
      <c r="C118" s="121">
        <f>'4. Recovered Capital'!$E$37*C23</f>
        <v>0</v>
      </c>
      <c r="D118" s="177" t="str">
        <f t="shared" si="12"/>
        <v xml:space="preserve"> - </v>
      </c>
      <c r="E118" s="121" t="str">
        <f t="shared" si="11"/>
        <v xml:space="preserve"> - </v>
      </c>
      <c r="F118" s="180">
        <f>INDEX('5. Historical demand'!$C$26:$C$35,MATCH(B118,'5. Historical demand'!$B$26:$B$35,0),1)*(Yearending-Yearstart)</f>
        <v>0</v>
      </c>
      <c r="G118" s="212" t="str">
        <f t="shared" si="13"/>
        <v xml:space="preserve"> - </v>
      </c>
    </row>
    <row r="119" spans="2:7" x14ac:dyDescent="0.2">
      <c r="B119" s="123" t="s">
        <v>82</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83</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84</v>
      </c>
      <c r="C121" s="121">
        <f>'4. Recovered Capital'!$E$37*C26</f>
        <v>0</v>
      </c>
      <c r="D121" s="177" t="str">
        <f t="shared" si="12"/>
        <v xml:space="preserve"> - </v>
      </c>
      <c r="E121" s="121" t="str">
        <f t="shared" si="11"/>
        <v xml:space="preserve"> - </v>
      </c>
      <c r="F121" s="180">
        <f>INDEX('5. Historical demand'!$C$26:$C$35,MATCH(B121,'5. Historical demand'!$B$26:$B$35,0),1)*(Yearending-Yearstart)</f>
        <v>0</v>
      </c>
      <c r="G121" s="212" t="str">
        <f t="shared" si="13"/>
        <v xml:space="preserve"> - </v>
      </c>
    </row>
    <row r="122" spans="2:7" x14ac:dyDescent="0.2">
      <c r="B122" s="123" t="s">
        <v>85</v>
      </c>
      <c r="C122" s="121">
        <f>'4. Recovered Capital'!$E$37*C27</f>
        <v>0</v>
      </c>
      <c r="D122" s="177" t="str">
        <f t="shared" si="12"/>
        <v xml:space="preserve"> - </v>
      </c>
      <c r="E122" s="121" t="str">
        <f t="shared" si="11"/>
        <v xml:space="preserve"> - </v>
      </c>
      <c r="F122" s="180">
        <f>INDEX('5. Historical demand'!$C$26:$C$35,MATCH(B122,'5. Historical demand'!$B$26:$B$35,0),1)*(Yearending-Yearstart)</f>
        <v>0</v>
      </c>
      <c r="G122" s="212" t="str">
        <f t="shared" si="13"/>
        <v xml:space="preserve"> - </v>
      </c>
    </row>
    <row r="123" spans="2:7" x14ac:dyDescent="0.2">
      <c r="B123" s="123" t="s">
        <v>86</v>
      </c>
      <c r="C123" s="121">
        <f>'4. Recovered Capital'!$E$37*C28</f>
        <v>0</v>
      </c>
      <c r="D123" s="177">
        <f t="shared" si="12"/>
        <v>22.449069053698107</v>
      </c>
      <c r="E123" s="121">
        <f t="shared" si="11"/>
        <v>0</v>
      </c>
      <c r="F123" s="180">
        <f>INDEX('5. Historical demand'!$C$26:$C$35,MATCH(B123,'5. Historical demand'!$B$26:$B$35,0),1)*(Yearending-Yearstart)</f>
        <v>0</v>
      </c>
      <c r="G123" s="212" t="str">
        <f t="shared" si="13"/>
        <v xml:space="preserve"> - </v>
      </c>
    </row>
    <row r="124" spans="2:7" x14ac:dyDescent="0.2">
      <c r="B124" s="123" t="s">
        <v>88</v>
      </c>
      <c r="C124" s="121">
        <f>'4. Recovered Capital'!$E$37*C29</f>
        <v>0</v>
      </c>
      <c r="D124" s="177" t="str">
        <f t="shared" si="12"/>
        <v xml:space="preserve"> - </v>
      </c>
      <c r="E124" s="121" t="str">
        <f t="shared" si="11"/>
        <v xml:space="preserve"> - </v>
      </c>
      <c r="F124" s="180">
        <f>INDEX('5. Historical demand'!$C$26:$C$35,MATCH(B124,'5. Historical demand'!$B$26:$B$35,0),1)*(Yearending-Yearstart)</f>
        <v>0</v>
      </c>
      <c r="G124" s="212" t="str">
        <f t="shared" si="13"/>
        <v xml:space="preserve"> - </v>
      </c>
    </row>
    <row r="125" spans="2:7" x14ac:dyDescent="0.2">
      <c r="B125" s="123" t="s">
        <v>90</v>
      </c>
      <c r="C125" s="121">
        <f>'4. Recovered Capital'!$E$37*C30</f>
        <v>0</v>
      </c>
      <c r="D125" s="177" t="str">
        <f t="shared" si="12"/>
        <v xml:space="preserve"> - </v>
      </c>
      <c r="E125" s="121" t="str">
        <f t="shared" si="11"/>
        <v xml:space="preserve"> - </v>
      </c>
      <c r="F125" s="180">
        <f>INDEX('5. Historical demand'!$C$26:$C$35,MATCH(B125,'5. Historical demand'!$B$26:$B$35,0),1)*(Yearending-Yearstart)</f>
        <v>0</v>
      </c>
      <c r="G125" s="212" t="str">
        <f t="shared" si="13"/>
        <v xml:space="preserve"> - </v>
      </c>
    </row>
    <row r="127" spans="2:7" ht="15.75" x14ac:dyDescent="0.25">
      <c r="B127" s="194" t="s">
        <v>448</v>
      </c>
    </row>
    <row r="128" spans="2:7" x14ac:dyDescent="0.2">
      <c r="B128" s="178" t="s">
        <v>449</v>
      </c>
      <c r="C128" s="178"/>
    </row>
    <row r="129" spans="2:10" x14ac:dyDescent="0.2">
      <c r="B129" s="178" t="s">
        <v>450</v>
      </c>
      <c r="C129" s="214"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8" t="s">
        <v>451</v>
      </c>
      <c r="C130" s="214" t="str">
        <f>IFERROR((C129-E21*E22)/(1-E22), " - ")</f>
        <v xml:space="preserve"> - </v>
      </c>
    </row>
    <row r="131" spans="2:10" x14ac:dyDescent="0.2">
      <c r="B131" s="178" t="s">
        <v>452</v>
      </c>
      <c r="C131" s="214" t="str">
        <f>IFERROR(C130/(1-E23*(1-E24))," - ")</f>
        <v xml:space="preserve"> - </v>
      </c>
    </row>
    <row r="132" spans="2:10" x14ac:dyDescent="0.2">
      <c r="B132" s="178" t="s">
        <v>453</v>
      </c>
      <c r="C132" s="214" t="str">
        <f>IFERROR(C131-C130," - ")</f>
        <v xml:space="preserve"> - </v>
      </c>
    </row>
    <row r="133" spans="2:10" x14ac:dyDescent="0.2">
      <c r="B133" s="178" t="s">
        <v>454</v>
      </c>
      <c r="C133" s="214" t="str">
        <f>IFERROR(C132*(1-E22)," - ")</f>
        <v xml:space="preserve"> - </v>
      </c>
    </row>
    <row r="134" spans="2:10" x14ac:dyDescent="0.2">
      <c r="B134" s="178" t="s">
        <v>455</v>
      </c>
      <c r="C134" s="214" t="str">
        <f>IFERROR(C129+C133," - ")</f>
        <v xml:space="preserve"> - </v>
      </c>
    </row>
    <row r="136" spans="2:10" s="289" customFormat="1" ht="26.25" customHeight="1" x14ac:dyDescent="0.2">
      <c r="B136" s="287" t="s">
        <v>456</v>
      </c>
      <c r="C136" s="183" t="s">
        <v>457</v>
      </c>
      <c r="D136" s="213" t="s">
        <v>450</v>
      </c>
      <c r="E136" s="213" t="s">
        <v>454</v>
      </c>
      <c r="F136" s="213" t="s">
        <v>364</v>
      </c>
      <c r="G136" s="213" t="s">
        <v>458</v>
      </c>
      <c r="H136" s="183" t="s">
        <v>437</v>
      </c>
      <c r="I136" s="288" t="s">
        <v>430</v>
      </c>
      <c r="J136" s="288" t="s">
        <v>431</v>
      </c>
    </row>
    <row r="137" spans="2:10" x14ac:dyDescent="0.2">
      <c r="B137" s="123" t="s">
        <v>78</v>
      </c>
      <c r="C137" s="121">
        <f>IF(Cover!$C$23="Scheme pipeline",'3.2 Regulatory Asset Base'!$H$78*'6. Pricing template'!C21,C92+'3.1 Depreciated Book Value'!$D$80*'6. Pricing template'!C21)</f>
        <v>23426132.51631834</v>
      </c>
      <c r="D137" s="214" t="str">
        <f t="shared" ref="D137:D146" si="14">$C$129</f>
        <v xml:space="preserve"> - </v>
      </c>
      <c r="E137" s="214" t="str">
        <f t="shared" ref="E137:E146" si="15">$C$133</f>
        <v xml:space="preserve"> - </v>
      </c>
      <c r="F137" s="121" t="str">
        <f t="shared" ref="F137:F146" si="16">IFERROR(C137*D137, " -")</f>
        <v xml:space="preserve"> -</v>
      </c>
      <c r="G137" s="121" t="str">
        <f t="shared" ref="G137:G146" si="17">IFERROR(C137*E137, " -")</f>
        <v xml:space="preserve"> -</v>
      </c>
      <c r="H137" s="180">
        <f>INDEX('5. Historical demand'!$C$26:$C$35,MATCH(B137,'5. Historical demand'!$B$26:$B$35,0),1)*(Yearending-Yearstart)</f>
        <v>703.19414794520583</v>
      </c>
      <c r="I137" s="212" t="str">
        <f>IFERROR(F137/(H137*1000)," - ")</f>
        <v xml:space="preserve"> - </v>
      </c>
      <c r="J137" s="212" t="str">
        <f>IFERROR(G137/(H137*1000)," - ")</f>
        <v xml:space="preserve"> - </v>
      </c>
    </row>
    <row r="138" spans="2:10" x14ac:dyDescent="0.2">
      <c r="B138" s="123" t="s">
        <v>80</v>
      </c>
      <c r="C138" s="121">
        <f>IF(Cover!$C$23="Scheme pipeline",'3.2 Regulatory Asset Base'!$H$78*'6. Pricing template'!C22,C93+'3.1 Depreciated Book Value'!$D$80*'6. Pricing template'!C22)</f>
        <v>0</v>
      </c>
      <c r="D138" s="214" t="str">
        <f t="shared" si="14"/>
        <v xml:space="preserve"> - </v>
      </c>
      <c r="E138" s="214" t="str">
        <f t="shared" si="15"/>
        <v xml:space="preserve"> - </v>
      </c>
      <c r="F138" s="121" t="str">
        <f t="shared" si="16"/>
        <v xml:space="preserve"> -</v>
      </c>
      <c r="G138" s="121" t="str">
        <f t="shared" si="17"/>
        <v xml:space="preserve"> -</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81</v>
      </c>
      <c r="C139" s="121">
        <f>IF(Cover!$C$23="Scheme pipeline",'3.2 Regulatory Asset Base'!$H$78*'6. Pricing template'!C23,C94+'3.1 Depreciated Book Value'!$D$80*'6. Pricing template'!C23)</f>
        <v>0</v>
      </c>
      <c r="D139" s="214" t="str">
        <f t="shared" si="14"/>
        <v xml:space="preserve"> - </v>
      </c>
      <c r="E139" s="214" t="str">
        <f t="shared" si="15"/>
        <v xml:space="preserve"> - </v>
      </c>
      <c r="F139" s="121" t="str">
        <f t="shared" si="16"/>
        <v xml:space="preserve"> -</v>
      </c>
      <c r="G139" s="121" t="str">
        <f t="shared" si="17"/>
        <v xml:space="preserve"> -</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82</v>
      </c>
      <c r="C140" s="121">
        <f>IF(Cover!$C$23="Scheme pipeline",'3.2 Regulatory Asset Base'!$H$78*'6. Pricing template'!C24,C95+'3.1 Depreciated Book Value'!$D$80*'6. Pricing template'!C24)</f>
        <v>0</v>
      </c>
      <c r="D140" s="214" t="str">
        <f t="shared" si="14"/>
        <v xml:space="preserve"> - </v>
      </c>
      <c r="E140" s="214" t="str">
        <f t="shared" si="15"/>
        <v xml:space="preserve"> - </v>
      </c>
      <c r="F140" s="121" t="str">
        <f t="shared" si="16"/>
        <v xml:space="preserve"> -</v>
      </c>
      <c r="G140" s="121" t="str">
        <f t="shared" si="17"/>
        <v xml:space="preserve"> -</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83</v>
      </c>
      <c r="C141" s="121">
        <f>IF(Cover!$C$23="Scheme pipeline",'3.2 Regulatory Asset Base'!$H$78*'6. Pricing template'!C25,C96+'3.1 Depreciated Book Value'!$D$80*'6. Pricing template'!C25)</f>
        <v>0</v>
      </c>
      <c r="D141" s="214" t="str">
        <f t="shared" si="14"/>
        <v xml:space="preserve"> - </v>
      </c>
      <c r="E141" s="214" t="str">
        <f t="shared" si="15"/>
        <v xml:space="preserve"> - </v>
      </c>
      <c r="F141" s="121" t="str">
        <f t="shared" si="16"/>
        <v xml:space="preserve"> -</v>
      </c>
      <c r="G141" s="121" t="str">
        <f t="shared" si="17"/>
        <v xml:space="preserve"> -</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84</v>
      </c>
      <c r="C142" s="121">
        <f>IF(Cover!$C$23="Scheme pipeline",'3.2 Regulatory Asset Base'!$H$78*'6. Pricing template'!C26,C97+'3.1 Depreciated Book Value'!$D$80*'6. Pricing template'!C26)</f>
        <v>0</v>
      </c>
      <c r="D142" s="214" t="str">
        <f t="shared" si="14"/>
        <v xml:space="preserve"> - </v>
      </c>
      <c r="E142" s="214" t="str">
        <f t="shared" si="15"/>
        <v xml:space="preserve"> - </v>
      </c>
      <c r="F142" s="121" t="str">
        <f t="shared" si="16"/>
        <v xml:space="preserve"> -</v>
      </c>
      <c r="G142" s="121" t="str">
        <f t="shared" si="17"/>
        <v xml:space="preserve"> -</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85</v>
      </c>
      <c r="C143" s="121">
        <f>IF(Cover!$C$23="Scheme pipeline",'3.2 Regulatory Asset Base'!$H$78*'6. Pricing template'!C27,C98+'3.1 Depreciated Book Value'!$D$80*'6. Pricing template'!C27)</f>
        <v>0</v>
      </c>
      <c r="D143" s="214" t="str">
        <f t="shared" si="14"/>
        <v xml:space="preserve"> - </v>
      </c>
      <c r="E143" s="214" t="str">
        <f t="shared" si="15"/>
        <v xml:space="preserve"> - </v>
      </c>
      <c r="F143" s="121" t="str">
        <f t="shared" si="16"/>
        <v xml:space="preserve"> -</v>
      </c>
      <c r="G143" s="121" t="str">
        <f t="shared" si="17"/>
        <v xml:space="preserve"> -</v>
      </c>
      <c r="H143" s="180">
        <f>INDEX('5. Historical demand'!$C$26:$C$35,MATCH(B143,'5. Historical demand'!$B$26:$B$35,0),1)*(Yearending-Yearstart)</f>
        <v>0</v>
      </c>
      <c r="I143" s="212" t="str">
        <f t="shared" si="18"/>
        <v xml:space="preserve"> - </v>
      </c>
      <c r="J143" s="212" t="str">
        <f t="shared" si="19"/>
        <v xml:space="preserve"> - </v>
      </c>
    </row>
    <row r="144" spans="2:10" x14ac:dyDescent="0.2">
      <c r="B144" s="123" t="s">
        <v>86</v>
      </c>
      <c r="C144" s="121">
        <f>IF(Cover!$C$23="Scheme pipeline",'3.2 Regulatory Asset Base'!$H$78*'6. Pricing template'!C28,C99+'3.1 Depreciated Book Value'!$D$80*'6. Pricing template'!C28)</f>
        <v>53340.743681658627</v>
      </c>
      <c r="D144" s="214" t="str">
        <f t="shared" si="14"/>
        <v xml:space="preserve"> - </v>
      </c>
      <c r="E144" s="214" t="str">
        <f t="shared" si="15"/>
        <v xml:space="preserve"> - </v>
      </c>
      <c r="F144" s="121" t="str">
        <f t="shared" si="16"/>
        <v xml:space="preserve"> -</v>
      </c>
      <c r="G144" s="121" t="str">
        <f t="shared" si="17"/>
        <v xml:space="preserve"> -</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88</v>
      </c>
      <c r="C145" s="121">
        <f>IF(Cover!$C$23="Scheme pipeline",'3.2 Regulatory Asset Base'!$H$78*'6. Pricing template'!C29,C100+'3.1 Depreciated Book Value'!$D$80*'6. Pricing template'!C29)</f>
        <v>0</v>
      </c>
      <c r="D145" s="214" t="str">
        <f t="shared" si="14"/>
        <v xml:space="preserve"> - </v>
      </c>
      <c r="E145" s="214" t="str">
        <f t="shared" si="15"/>
        <v xml:space="preserve"> - </v>
      </c>
      <c r="F145" s="121" t="str">
        <f t="shared" si="16"/>
        <v xml:space="preserve"> -</v>
      </c>
      <c r="G145" s="121" t="str">
        <f t="shared" si="17"/>
        <v xml:space="preserve"> -</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90</v>
      </c>
      <c r="C146" s="121">
        <f>IF(Cover!$C$23="Scheme pipeline",'3.2 Regulatory Asset Base'!$H$78*'6. Pricing template'!C30,C101+'3.1 Depreciated Book Value'!$D$80*'6. Pricing template'!C30)</f>
        <v>0</v>
      </c>
      <c r="D146" s="214" t="str">
        <f t="shared" si="14"/>
        <v xml:space="preserve"> - </v>
      </c>
      <c r="E146" s="214" t="str">
        <f t="shared" si="15"/>
        <v xml:space="preserve"> - </v>
      </c>
      <c r="F146" s="121" t="str">
        <f t="shared" si="16"/>
        <v xml:space="preserve"> -</v>
      </c>
      <c r="G146" s="121" t="str">
        <f t="shared" si="17"/>
        <v xml:space="preserve"> -</v>
      </c>
      <c r="H146" s="180">
        <f>INDEX('5. Historical demand'!$C$26:$C$35,MATCH(B146,'5. Historical demand'!$B$26:$B$35,0),1)*(Yearending-Yearstart)</f>
        <v>0</v>
      </c>
      <c r="I146" s="212" t="str">
        <f t="shared" si="18"/>
        <v xml:space="preserve"> - </v>
      </c>
      <c r="J146" s="212" t="str">
        <f t="shared" si="19"/>
        <v xml:space="preserve"> - </v>
      </c>
    </row>
    <row r="148" spans="2:10" s="289" customFormat="1" ht="25.5" customHeight="1" x14ac:dyDescent="0.2">
      <c r="B148" s="287" t="s">
        <v>459</v>
      </c>
      <c r="C148" s="183" t="s">
        <v>457</v>
      </c>
      <c r="D148" s="213" t="s">
        <v>413</v>
      </c>
      <c r="E148" s="213" t="s">
        <v>454</v>
      </c>
      <c r="F148" s="213" t="s">
        <v>364</v>
      </c>
      <c r="G148" s="213" t="s">
        <v>458</v>
      </c>
      <c r="H148" s="183" t="s">
        <v>437</v>
      </c>
      <c r="I148" s="288" t="s">
        <v>430</v>
      </c>
      <c r="J148" s="288" t="s">
        <v>431</v>
      </c>
    </row>
    <row r="149" spans="2:10" x14ac:dyDescent="0.2">
      <c r="B149" s="123" t="s">
        <v>78</v>
      </c>
      <c r="C149" s="121">
        <f>IF(Cover!$C$23="Scheme pipeline",'3.2 Regulatory Asset Base'!$H$78*'6. Pricing template'!C21,C92+'3.1 Depreciated Book Value'!$D$80*'6. Pricing template'!C21)</f>
        <v>23426132.51631834</v>
      </c>
      <c r="D149" s="214">
        <f t="shared" ref="D149:D158" si="20">IF($E$25=0," - ",$E$25)</f>
        <v>4.99E-2</v>
      </c>
      <c r="E149" s="214">
        <f t="shared" ref="E149:E158" si="21">IFERROR((($E$25-$E$21*$E$22)/(1-$E$22)/(1-$E$23*(1-$E$24))-($E$25-$E$21*$E$22)/(1-$E$22))*(1-$E$22)," - ")</f>
        <v>3.4271641791044751E-3</v>
      </c>
      <c r="F149" s="121">
        <f t="shared" ref="F149:F158" si="22">IFERROR(C149*D149, " -")</f>
        <v>1168964.0125642852</v>
      </c>
      <c r="G149" s="121">
        <f t="shared" ref="G149:G158" si="23">IFERROR(C149*E149, " -")</f>
        <v>80285.202214880788</v>
      </c>
      <c r="H149" s="180">
        <f>INDEX('5. Historical demand'!$C$26:$C$35,MATCH(B149,'5. Historical demand'!$B$26:$B$35,0),1)*(Yearending-Yearstart)</f>
        <v>703.19414794520583</v>
      </c>
      <c r="I149" s="212">
        <f>IFERROR(F149/(H149*1000)," - ")</f>
        <v>1.662363112634113</v>
      </c>
      <c r="J149" s="212">
        <f>IFERROR(G149/(H149*1000)," - ")</f>
        <v>0.11417217058685869</v>
      </c>
    </row>
    <row r="150" spans="2:10" x14ac:dyDescent="0.2">
      <c r="B150" s="123" t="s">
        <v>80</v>
      </c>
      <c r="C150" s="121">
        <f>IF(Cover!$C$23="Scheme pipeline",'3.2 Regulatory Asset Base'!$H$78*'6. Pricing template'!C22,C93+'3.1 Depreciated Book Value'!$D$80*'6. Pricing template'!C22)</f>
        <v>0</v>
      </c>
      <c r="D150" s="214">
        <f t="shared" si="20"/>
        <v>4.99E-2</v>
      </c>
      <c r="E150" s="214">
        <f t="shared" si="21"/>
        <v>3.4271641791044751E-3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81</v>
      </c>
      <c r="C151" s="121">
        <f>IF(Cover!$C$23="Scheme pipeline",'3.2 Regulatory Asset Base'!$H$78*'6. Pricing template'!C23,C94+'3.1 Depreciated Book Value'!$D$80*'6. Pricing template'!C23)</f>
        <v>0</v>
      </c>
      <c r="D151" s="214">
        <f t="shared" si="20"/>
        <v>4.99E-2</v>
      </c>
      <c r="E151" s="214">
        <f t="shared" si="21"/>
        <v>3.4271641791044751E-3</v>
      </c>
      <c r="F151" s="121">
        <f t="shared" si="22"/>
        <v>0</v>
      </c>
      <c r="G151" s="121">
        <f t="shared" si="23"/>
        <v>0</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82</v>
      </c>
      <c r="C152" s="121">
        <f>IF(Cover!$C$23="Scheme pipeline",'3.2 Regulatory Asset Base'!$H$78*'6. Pricing template'!C24,C95+'3.1 Depreciated Book Value'!$D$80*'6. Pricing template'!C24)</f>
        <v>0</v>
      </c>
      <c r="D152" s="214">
        <f t="shared" si="20"/>
        <v>4.99E-2</v>
      </c>
      <c r="E152" s="214">
        <f t="shared" si="21"/>
        <v>3.4271641791044751E-3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83</v>
      </c>
      <c r="C153" s="121">
        <f>IF(Cover!$C$23="Scheme pipeline",'3.2 Regulatory Asset Base'!$H$78*'6. Pricing template'!C25,C96+'3.1 Depreciated Book Value'!$D$80*'6. Pricing template'!C25)</f>
        <v>0</v>
      </c>
      <c r="D153" s="214">
        <f t="shared" si="20"/>
        <v>4.99E-2</v>
      </c>
      <c r="E153" s="214">
        <f t="shared" si="21"/>
        <v>3.4271641791044751E-3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84</v>
      </c>
      <c r="C154" s="121">
        <f>IF(Cover!$C$23="Scheme pipeline",'3.2 Regulatory Asset Base'!$H$78*'6. Pricing template'!C26,C97+'3.1 Depreciated Book Value'!$D$80*'6. Pricing template'!C26)</f>
        <v>0</v>
      </c>
      <c r="D154" s="214">
        <f t="shared" si="20"/>
        <v>4.99E-2</v>
      </c>
      <c r="E154" s="214">
        <f t="shared" si="21"/>
        <v>3.4271641791044751E-3</v>
      </c>
      <c r="F154" s="121">
        <f t="shared" si="22"/>
        <v>0</v>
      </c>
      <c r="G154" s="121">
        <f t="shared" si="23"/>
        <v>0</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85</v>
      </c>
      <c r="C155" s="121">
        <f>IF(Cover!$C$23="Scheme pipeline",'3.2 Regulatory Asset Base'!$H$78*'6. Pricing template'!C27,C98+'3.1 Depreciated Book Value'!$D$80*'6. Pricing template'!C27)</f>
        <v>0</v>
      </c>
      <c r="D155" s="214">
        <f t="shared" si="20"/>
        <v>4.99E-2</v>
      </c>
      <c r="E155" s="214">
        <f t="shared" si="21"/>
        <v>3.4271641791044751E-3</v>
      </c>
      <c r="F155" s="121">
        <f t="shared" si="22"/>
        <v>0</v>
      </c>
      <c r="G155" s="121">
        <f t="shared" si="23"/>
        <v>0</v>
      </c>
      <c r="H155" s="180">
        <f>INDEX('5. Historical demand'!$C$26:$C$35,MATCH(B155,'5. Historical demand'!$B$26:$B$35,0),1)*(Yearending-Yearstart)</f>
        <v>0</v>
      </c>
      <c r="I155" s="212" t="str">
        <f t="shared" si="24"/>
        <v xml:space="preserve"> - </v>
      </c>
      <c r="J155" s="212" t="str">
        <f t="shared" si="25"/>
        <v xml:space="preserve"> - </v>
      </c>
    </row>
    <row r="156" spans="2:10" x14ac:dyDescent="0.2">
      <c r="B156" s="123" t="s">
        <v>86</v>
      </c>
      <c r="C156" s="121">
        <f>IF(Cover!$C$23="Scheme pipeline",'3.2 Regulatory Asset Base'!$H$78*'6. Pricing template'!C28,C99+'3.1 Depreciated Book Value'!$D$80*'6. Pricing template'!C28)</f>
        <v>53340.743681658627</v>
      </c>
      <c r="D156" s="214">
        <f t="shared" si="20"/>
        <v>4.99E-2</v>
      </c>
      <c r="E156" s="214">
        <f t="shared" si="21"/>
        <v>3.4271641791044751E-3</v>
      </c>
      <c r="F156" s="121">
        <f t="shared" si="22"/>
        <v>2661.7031097147656</v>
      </c>
      <c r="G156" s="121">
        <f t="shared" si="23"/>
        <v>182.80748603257379</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88</v>
      </c>
      <c r="C157" s="121">
        <f>IF(Cover!$C$23="Scheme pipeline",'3.2 Regulatory Asset Base'!$H$78*'6. Pricing template'!C29,C100+'3.1 Depreciated Book Value'!$D$80*'6. Pricing template'!C29)</f>
        <v>0</v>
      </c>
      <c r="D157" s="214">
        <f t="shared" si="20"/>
        <v>4.99E-2</v>
      </c>
      <c r="E157" s="214">
        <f t="shared" si="21"/>
        <v>3.4271641791044751E-3</v>
      </c>
      <c r="F157" s="121">
        <f t="shared" si="22"/>
        <v>0</v>
      </c>
      <c r="G157" s="121">
        <f t="shared" si="23"/>
        <v>0</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90</v>
      </c>
      <c r="C158" s="121">
        <f>IF(Cover!$C$23="Scheme pipeline",'3.2 Regulatory Asset Base'!$H$78*'6. Pricing template'!C30,C101+'3.1 Depreciated Book Value'!$D$80*'6. Pricing template'!C30)</f>
        <v>0</v>
      </c>
      <c r="D158" s="214">
        <f t="shared" si="20"/>
        <v>4.99E-2</v>
      </c>
      <c r="E158" s="214">
        <f t="shared" si="21"/>
        <v>3.4271641791044751E-3</v>
      </c>
      <c r="F158" s="121">
        <f t="shared" si="22"/>
        <v>0</v>
      </c>
      <c r="G158" s="121">
        <f t="shared" si="23"/>
        <v>0</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2.1"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Normal="100" workbookViewId="0"/>
  </sheetViews>
  <sheetFormatPr defaultColWidth="0" defaultRowHeight="12.75" x14ac:dyDescent="0.2"/>
  <cols>
    <col min="1" max="1" width="10.140625" bestFit="1" customWidth="1"/>
    <col min="2" max="2" width="22" bestFit="1" customWidth="1"/>
    <col min="3" max="3" width="22.85546875" bestFit="1" customWidth="1"/>
    <col min="4" max="4" width="56.5703125" bestFit="1" customWidth="1"/>
    <col min="5" max="5" width="22.85546875" bestFit="1" customWidth="1"/>
    <col min="6" max="6" width="45.85546875" bestFit="1" customWidth="1"/>
    <col min="7" max="7" width="70.5703125" bestFit="1" customWidth="1"/>
  </cols>
  <sheetData>
    <row r="1" spans="1:7" x14ac:dyDescent="0.2">
      <c r="A1" s="306" t="s">
        <v>460</v>
      </c>
      <c r="B1" s="307" t="s">
        <v>461</v>
      </c>
      <c r="C1" s="308" t="s">
        <v>462</v>
      </c>
      <c r="D1" s="307" t="s">
        <v>463</v>
      </c>
      <c r="E1" s="308" t="s">
        <v>464</v>
      </c>
      <c r="F1" s="308" t="s">
        <v>465</v>
      </c>
      <c r="G1" s="309" t="s">
        <v>466</v>
      </c>
    </row>
    <row r="2" spans="1:7" x14ac:dyDescent="0.2">
      <c r="A2" s="310">
        <v>45775</v>
      </c>
      <c r="B2">
        <v>1</v>
      </c>
      <c r="C2" s="15" t="s">
        <v>467</v>
      </c>
      <c r="E2" s="15" t="s">
        <v>468</v>
      </c>
      <c r="F2" s="15" t="s">
        <v>469</v>
      </c>
      <c r="G2" s="15" t="s">
        <v>470</v>
      </c>
    </row>
    <row r="3" spans="1:7" x14ac:dyDescent="0.2">
      <c r="A3" s="310">
        <v>45775</v>
      </c>
      <c r="B3">
        <v>2</v>
      </c>
      <c r="C3" s="15" t="s">
        <v>471</v>
      </c>
      <c r="D3" t="s">
        <v>92</v>
      </c>
      <c r="E3" s="15" t="s">
        <v>472</v>
      </c>
      <c r="F3" t="s">
        <v>473</v>
      </c>
      <c r="G3" t="s">
        <v>474</v>
      </c>
    </row>
    <row r="4" spans="1:7" x14ac:dyDescent="0.2">
      <c r="A4" s="310">
        <v>45775</v>
      </c>
      <c r="B4">
        <v>3</v>
      </c>
      <c r="C4" s="15" t="s">
        <v>475</v>
      </c>
      <c r="D4" t="s">
        <v>476</v>
      </c>
      <c r="E4" s="15" t="s">
        <v>477</v>
      </c>
      <c r="F4" t="s">
        <v>478</v>
      </c>
      <c r="G4" s="15" t="s">
        <v>479</v>
      </c>
    </row>
  </sheetData>
  <sheetProtection sheet="1"/>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109E-EB0E-4E15-A73C-7541FED16DA9}">
  <sheetPr>
    <tabColor theme="1"/>
  </sheetPr>
  <dimension ref="A1:AS480"/>
  <sheetViews>
    <sheetView showGridLines="0" zoomScale="80" zoomScaleNormal="80" workbookViewId="0">
      <pane xSplit="2" ySplit="13" topLeftCell="C14" activePane="bottomRight" state="frozen"/>
      <selection pane="topRight" activeCell="C1" sqref="C1"/>
      <selection pane="bottomLeft" activeCell="A14" sqref="A14"/>
      <selection pane="bottomRight" activeCell="H36" sqref="H36"/>
    </sheetView>
  </sheetViews>
  <sheetFormatPr defaultColWidth="11" defaultRowHeight="12.75" x14ac:dyDescent="0.2"/>
  <cols>
    <col min="1" max="1" width="21.42578125" style="397" customWidth="1"/>
    <col min="2" max="2" width="13.85546875" style="397" customWidth="1"/>
    <col min="3" max="3" width="33.140625" style="397" customWidth="1"/>
    <col min="4" max="4" width="38" style="397" customWidth="1"/>
    <col min="5" max="5" width="11.5703125" customWidth="1"/>
    <col min="6" max="6" width="22.5703125" style="397" customWidth="1"/>
    <col min="7" max="7" width="14" style="397" customWidth="1"/>
    <col min="8" max="8" width="14.5703125" style="397" customWidth="1"/>
    <col min="9" max="9" width="13.5703125" style="397" customWidth="1"/>
    <col min="10" max="10" width="11.5703125" customWidth="1"/>
    <col min="11" max="11" width="21.5703125" style="397" customWidth="1"/>
    <col min="12" max="12" width="22" style="397" customWidth="1"/>
    <col min="13" max="13" width="41.42578125" style="397" customWidth="1"/>
    <col min="14" max="14" width="22.140625" style="397" customWidth="1"/>
    <col min="15" max="15" width="23" style="397" customWidth="1"/>
    <col min="16" max="16" width="18.85546875" style="397" customWidth="1"/>
    <col min="17" max="17" width="17.5703125" style="397" customWidth="1"/>
    <col min="18" max="18" width="18.42578125" style="397" customWidth="1"/>
    <col min="19" max="19" width="28.85546875" style="397" customWidth="1"/>
    <col min="20" max="20" width="14.140625" style="397" customWidth="1"/>
    <col min="21" max="21" width="72" style="397" customWidth="1"/>
    <col min="22" max="22" width="18.42578125" style="397" customWidth="1"/>
    <col min="23" max="23" width="11.5703125" customWidth="1"/>
    <col min="24" max="24" width="22.140625" style="397" customWidth="1"/>
    <col min="25" max="25" width="11.5703125" customWidth="1"/>
    <col min="26" max="26" width="18.85546875" style="397" customWidth="1"/>
    <col min="27" max="27" width="46.140625" style="397" customWidth="1"/>
    <col min="28" max="28" width="11.5703125" customWidth="1"/>
    <col min="29" max="29" width="46.85546875" style="397" customWidth="1"/>
    <col min="30" max="30" width="16.140625" style="397" customWidth="1"/>
    <col min="31" max="31" width="67" style="397" customWidth="1"/>
    <col min="32" max="32" width="72" style="397" customWidth="1"/>
    <col min="33" max="33" width="12.85546875" style="397" customWidth="1"/>
    <col min="34" max="34" width="60.140625" style="397" customWidth="1"/>
    <col min="35" max="35" width="24.42578125" style="397" customWidth="1"/>
    <col min="36" max="36" width="17.5703125" style="397" customWidth="1"/>
    <col min="37" max="37" width="49.140625" style="397" customWidth="1"/>
    <col min="38" max="38" width="44.140625" style="397" customWidth="1"/>
    <col min="39" max="39" width="28.140625" style="397" customWidth="1"/>
    <col min="40" max="40" width="11.5703125" customWidth="1"/>
    <col min="41" max="41" width="13.5703125" style="397" customWidth="1"/>
    <col min="42" max="42" width="13.140625" style="397" customWidth="1"/>
    <col min="43" max="43" width="15.140625" style="397" customWidth="1"/>
    <col min="44" max="44" width="16.85546875" style="397" customWidth="1"/>
    <col min="45" max="45" width="21.140625" style="397" customWidth="1"/>
    <col min="257" max="257" width="22.42578125" customWidth="1"/>
    <col min="258" max="258" width="12.140625" customWidth="1"/>
    <col min="259" max="259" width="45.5703125" customWidth="1"/>
    <col min="260" max="260" width="23.85546875" customWidth="1"/>
    <col min="261" max="261" width="12.85546875" customWidth="1"/>
    <col min="262" max="262" width="24.140625" customWidth="1"/>
    <col min="263" max="263" width="12.140625" customWidth="1"/>
    <col min="264" max="264" width="48.42578125" customWidth="1"/>
    <col min="265" max="265" width="15.42578125" customWidth="1"/>
    <col min="266" max="266" width="22" customWidth="1"/>
    <col min="267" max="267" width="15.85546875" customWidth="1"/>
    <col min="268" max="268" width="13.5703125" customWidth="1"/>
    <col min="269" max="269" width="17.85546875" customWidth="1"/>
    <col min="270" max="270" width="49.140625" customWidth="1"/>
    <col min="271" max="271" width="13.85546875" customWidth="1"/>
    <col min="272" max="272" width="11.5703125" customWidth="1"/>
    <col min="273" max="273" width="47" customWidth="1"/>
    <col min="274" max="274" width="28.85546875" customWidth="1"/>
    <col min="513" max="513" width="22.42578125" customWidth="1"/>
    <col min="514" max="514" width="12.140625" customWidth="1"/>
    <col min="515" max="515" width="45.5703125" customWidth="1"/>
    <col min="516" max="516" width="23.85546875" customWidth="1"/>
    <col min="517" max="517" width="12.85546875" customWidth="1"/>
    <col min="518" max="518" width="24.140625" customWidth="1"/>
    <col min="519" max="519" width="12.140625" customWidth="1"/>
    <col min="520" max="520" width="48.42578125" customWidth="1"/>
    <col min="521" max="521" width="15.42578125" customWidth="1"/>
    <col min="522" max="522" width="22" customWidth="1"/>
    <col min="523" max="523" width="15.85546875" customWidth="1"/>
    <col min="524" max="524" width="13.5703125" customWidth="1"/>
    <col min="525" max="525" width="17.85546875" customWidth="1"/>
    <col min="526" max="526" width="49.140625" customWidth="1"/>
    <col min="527" max="527" width="13.85546875" customWidth="1"/>
    <col min="528" max="528" width="11.5703125" customWidth="1"/>
    <col min="529" max="529" width="47" customWidth="1"/>
    <col min="530" max="530" width="28.85546875" customWidth="1"/>
    <col min="769" max="769" width="22.42578125" customWidth="1"/>
    <col min="770" max="770" width="12.140625" customWidth="1"/>
    <col min="771" max="771" width="45.5703125" customWidth="1"/>
    <col min="772" max="772" width="23.85546875" customWidth="1"/>
    <col min="773" max="773" width="12.85546875" customWidth="1"/>
    <col min="774" max="774" width="24.140625" customWidth="1"/>
    <col min="775" max="775" width="12.140625" customWidth="1"/>
    <col min="776" max="776" width="48.42578125" customWidth="1"/>
    <col min="777" max="777" width="15.42578125" customWidth="1"/>
    <col min="778" max="778" width="22" customWidth="1"/>
    <col min="779" max="779" width="15.85546875" customWidth="1"/>
    <col min="780" max="780" width="13.5703125" customWidth="1"/>
    <col min="781" max="781" width="17.85546875" customWidth="1"/>
    <col min="782" max="782" width="49.140625" customWidth="1"/>
    <col min="783" max="783" width="13.85546875" customWidth="1"/>
    <col min="784" max="784" width="11.5703125" customWidth="1"/>
    <col min="785" max="785" width="47" customWidth="1"/>
    <col min="786" max="786" width="28.85546875" customWidth="1"/>
    <col min="1025" max="1025" width="22.42578125" customWidth="1"/>
    <col min="1026" max="1026" width="12.140625" customWidth="1"/>
    <col min="1027" max="1027" width="45.5703125" customWidth="1"/>
    <col min="1028" max="1028" width="23.85546875" customWidth="1"/>
    <col min="1029" max="1029" width="12.85546875" customWidth="1"/>
    <col min="1030" max="1030" width="24.140625" customWidth="1"/>
    <col min="1031" max="1031" width="12.140625" customWidth="1"/>
    <col min="1032" max="1032" width="48.42578125" customWidth="1"/>
    <col min="1033" max="1033" width="15.42578125" customWidth="1"/>
    <col min="1034" max="1034" width="22" customWidth="1"/>
    <col min="1035" max="1035" width="15.85546875" customWidth="1"/>
    <col min="1036" max="1036" width="13.5703125" customWidth="1"/>
    <col min="1037" max="1037" width="17.85546875" customWidth="1"/>
    <col min="1038" max="1038" width="49.140625" customWidth="1"/>
    <col min="1039" max="1039" width="13.85546875" customWidth="1"/>
    <col min="1040" max="1040" width="11.5703125" customWidth="1"/>
    <col min="1041" max="1041" width="47" customWidth="1"/>
    <col min="1042" max="1042" width="28.85546875" customWidth="1"/>
    <col min="1281" max="1281" width="22.42578125" customWidth="1"/>
    <col min="1282" max="1282" width="12.140625" customWidth="1"/>
    <col min="1283" max="1283" width="45.5703125" customWidth="1"/>
    <col min="1284" max="1284" width="23.85546875" customWidth="1"/>
    <col min="1285" max="1285" width="12.85546875" customWidth="1"/>
    <col min="1286" max="1286" width="24.140625" customWidth="1"/>
    <col min="1287" max="1287" width="12.140625" customWidth="1"/>
    <col min="1288" max="1288" width="48.42578125" customWidth="1"/>
    <col min="1289" max="1289" width="15.42578125" customWidth="1"/>
    <col min="1290" max="1290" width="22" customWidth="1"/>
    <col min="1291" max="1291" width="15.85546875" customWidth="1"/>
    <col min="1292" max="1292" width="13.5703125" customWidth="1"/>
    <col min="1293" max="1293" width="17.85546875" customWidth="1"/>
    <col min="1294" max="1294" width="49.140625" customWidth="1"/>
    <col min="1295" max="1295" width="13.85546875" customWidth="1"/>
    <col min="1296" max="1296" width="11.5703125" customWidth="1"/>
    <col min="1297" max="1297" width="47" customWidth="1"/>
    <col min="1298" max="1298" width="28.85546875" customWidth="1"/>
    <col min="1537" max="1537" width="22.42578125" customWidth="1"/>
    <col min="1538" max="1538" width="12.140625" customWidth="1"/>
    <col min="1539" max="1539" width="45.5703125" customWidth="1"/>
    <col min="1540" max="1540" width="23.85546875" customWidth="1"/>
    <col min="1541" max="1541" width="12.85546875" customWidth="1"/>
    <col min="1542" max="1542" width="24.140625" customWidth="1"/>
    <col min="1543" max="1543" width="12.140625" customWidth="1"/>
    <col min="1544" max="1544" width="48.42578125" customWidth="1"/>
    <col min="1545" max="1545" width="15.42578125" customWidth="1"/>
    <col min="1546" max="1546" width="22" customWidth="1"/>
    <col min="1547" max="1547" width="15.85546875" customWidth="1"/>
    <col min="1548" max="1548" width="13.5703125" customWidth="1"/>
    <col min="1549" max="1549" width="17.85546875" customWidth="1"/>
    <col min="1550" max="1550" width="49.140625" customWidth="1"/>
    <col min="1551" max="1551" width="13.85546875" customWidth="1"/>
    <col min="1552" max="1552" width="11.5703125" customWidth="1"/>
    <col min="1553" max="1553" width="47" customWidth="1"/>
    <col min="1554" max="1554" width="28.85546875" customWidth="1"/>
    <col min="1793" max="1793" width="22.42578125" customWidth="1"/>
    <col min="1794" max="1794" width="12.140625" customWidth="1"/>
    <col min="1795" max="1795" width="45.5703125" customWidth="1"/>
    <col min="1796" max="1796" width="23.85546875" customWidth="1"/>
    <col min="1797" max="1797" width="12.85546875" customWidth="1"/>
    <col min="1798" max="1798" width="24.140625" customWidth="1"/>
    <col min="1799" max="1799" width="12.140625" customWidth="1"/>
    <col min="1800" max="1800" width="48.42578125" customWidth="1"/>
    <col min="1801" max="1801" width="15.42578125" customWidth="1"/>
    <col min="1802" max="1802" width="22" customWidth="1"/>
    <col min="1803" max="1803" width="15.85546875" customWidth="1"/>
    <col min="1804" max="1804" width="13.5703125" customWidth="1"/>
    <col min="1805" max="1805" width="17.85546875" customWidth="1"/>
    <col min="1806" max="1806" width="49.140625" customWidth="1"/>
    <col min="1807" max="1807" width="13.85546875" customWidth="1"/>
    <col min="1808" max="1808" width="11.5703125" customWidth="1"/>
    <col min="1809" max="1809" width="47" customWidth="1"/>
    <col min="1810" max="1810" width="28.85546875" customWidth="1"/>
    <col min="2049" max="2049" width="22.42578125" customWidth="1"/>
    <col min="2050" max="2050" width="12.140625" customWidth="1"/>
    <col min="2051" max="2051" width="45.5703125" customWidth="1"/>
    <col min="2052" max="2052" width="23.85546875" customWidth="1"/>
    <col min="2053" max="2053" width="12.85546875" customWidth="1"/>
    <col min="2054" max="2054" width="24.140625" customWidth="1"/>
    <col min="2055" max="2055" width="12.140625" customWidth="1"/>
    <col min="2056" max="2056" width="48.42578125" customWidth="1"/>
    <col min="2057" max="2057" width="15.42578125" customWidth="1"/>
    <col min="2058" max="2058" width="22" customWidth="1"/>
    <col min="2059" max="2059" width="15.85546875" customWidth="1"/>
    <col min="2060" max="2060" width="13.5703125" customWidth="1"/>
    <col min="2061" max="2061" width="17.85546875" customWidth="1"/>
    <col min="2062" max="2062" width="49.140625" customWidth="1"/>
    <col min="2063" max="2063" width="13.85546875" customWidth="1"/>
    <col min="2064" max="2064" width="11.5703125" customWidth="1"/>
    <col min="2065" max="2065" width="47" customWidth="1"/>
    <col min="2066" max="2066" width="28.85546875" customWidth="1"/>
    <col min="2305" max="2305" width="22.42578125" customWidth="1"/>
    <col min="2306" max="2306" width="12.140625" customWidth="1"/>
    <col min="2307" max="2307" width="45.5703125" customWidth="1"/>
    <col min="2308" max="2308" width="23.85546875" customWidth="1"/>
    <col min="2309" max="2309" width="12.85546875" customWidth="1"/>
    <col min="2310" max="2310" width="24.140625" customWidth="1"/>
    <col min="2311" max="2311" width="12.140625" customWidth="1"/>
    <col min="2312" max="2312" width="48.42578125" customWidth="1"/>
    <col min="2313" max="2313" width="15.42578125" customWidth="1"/>
    <col min="2314" max="2314" width="22" customWidth="1"/>
    <col min="2315" max="2315" width="15.85546875" customWidth="1"/>
    <col min="2316" max="2316" width="13.5703125" customWidth="1"/>
    <col min="2317" max="2317" width="17.85546875" customWidth="1"/>
    <col min="2318" max="2318" width="49.140625" customWidth="1"/>
    <col min="2319" max="2319" width="13.85546875" customWidth="1"/>
    <col min="2320" max="2320" width="11.5703125" customWidth="1"/>
    <col min="2321" max="2321" width="47" customWidth="1"/>
    <col min="2322" max="2322" width="28.85546875" customWidth="1"/>
    <col min="2561" max="2561" width="22.42578125" customWidth="1"/>
    <col min="2562" max="2562" width="12.140625" customWidth="1"/>
    <col min="2563" max="2563" width="45.5703125" customWidth="1"/>
    <col min="2564" max="2564" width="23.85546875" customWidth="1"/>
    <col min="2565" max="2565" width="12.85546875" customWidth="1"/>
    <col min="2566" max="2566" width="24.140625" customWidth="1"/>
    <col min="2567" max="2567" width="12.140625" customWidth="1"/>
    <col min="2568" max="2568" width="48.42578125" customWidth="1"/>
    <col min="2569" max="2569" width="15.42578125" customWidth="1"/>
    <col min="2570" max="2570" width="22" customWidth="1"/>
    <col min="2571" max="2571" width="15.85546875" customWidth="1"/>
    <col min="2572" max="2572" width="13.5703125" customWidth="1"/>
    <col min="2573" max="2573" width="17.85546875" customWidth="1"/>
    <col min="2574" max="2574" width="49.140625" customWidth="1"/>
    <col min="2575" max="2575" width="13.85546875" customWidth="1"/>
    <col min="2576" max="2576" width="11.5703125" customWidth="1"/>
    <col min="2577" max="2577" width="47" customWidth="1"/>
    <col min="2578" max="2578" width="28.85546875" customWidth="1"/>
    <col min="2817" max="2817" width="22.42578125" customWidth="1"/>
    <col min="2818" max="2818" width="12.140625" customWidth="1"/>
    <col min="2819" max="2819" width="45.5703125" customWidth="1"/>
    <col min="2820" max="2820" width="23.85546875" customWidth="1"/>
    <col min="2821" max="2821" width="12.85546875" customWidth="1"/>
    <col min="2822" max="2822" width="24.140625" customWidth="1"/>
    <col min="2823" max="2823" width="12.140625" customWidth="1"/>
    <col min="2824" max="2824" width="48.42578125" customWidth="1"/>
    <col min="2825" max="2825" width="15.42578125" customWidth="1"/>
    <col min="2826" max="2826" width="22" customWidth="1"/>
    <col min="2827" max="2827" width="15.85546875" customWidth="1"/>
    <col min="2828" max="2828" width="13.5703125" customWidth="1"/>
    <col min="2829" max="2829" width="17.85546875" customWidth="1"/>
    <col min="2830" max="2830" width="49.140625" customWidth="1"/>
    <col min="2831" max="2831" width="13.85546875" customWidth="1"/>
    <col min="2832" max="2832" width="11.5703125" customWidth="1"/>
    <col min="2833" max="2833" width="47" customWidth="1"/>
    <col min="2834" max="2834" width="28.85546875" customWidth="1"/>
    <col min="3073" max="3073" width="22.42578125" customWidth="1"/>
    <col min="3074" max="3074" width="12.140625" customWidth="1"/>
    <col min="3075" max="3075" width="45.5703125" customWidth="1"/>
    <col min="3076" max="3076" width="23.85546875" customWidth="1"/>
    <col min="3077" max="3077" width="12.85546875" customWidth="1"/>
    <col min="3078" max="3078" width="24.140625" customWidth="1"/>
    <col min="3079" max="3079" width="12.140625" customWidth="1"/>
    <col min="3080" max="3080" width="48.42578125" customWidth="1"/>
    <col min="3081" max="3081" width="15.42578125" customWidth="1"/>
    <col min="3082" max="3082" width="22" customWidth="1"/>
    <col min="3083" max="3083" width="15.85546875" customWidth="1"/>
    <col min="3084" max="3084" width="13.5703125" customWidth="1"/>
    <col min="3085" max="3085" width="17.85546875" customWidth="1"/>
    <col min="3086" max="3086" width="49.140625" customWidth="1"/>
    <col min="3087" max="3087" width="13.85546875" customWidth="1"/>
    <col min="3088" max="3088" width="11.5703125" customWidth="1"/>
    <col min="3089" max="3089" width="47" customWidth="1"/>
    <col min="3090" max="3090" width="28.85546875" customWidth="1"/>
    <col min="3329" max="3329" width="22.42578125" customWidth="1"/>
    <col min="3330" max="3330" width="12.140625" customWidth="1"/>
    <col min="3331" max="3331" width="45.5703125" customWidth="1"/>
    <col min="3332" max="3332" width="23.85546875" customWidth="1"/>
    <col min="3333" max="3333" width="12.85546875" customWidth="1"/>
    <col min="3334" max="3334" width="24.140625" customWidth="1"/>
    <col min="3335" max="3335" width="12.140625" customWidth="1"/>
    <col min="3336" max="3336" width="48.42578125" customWidth="1"/>
    <col min="3337" max="3337" width="15.42578125" customWidth="1"/>
    <col min="3338" max="3338" width="22" customWidth="1"/>
    <col min="3339" max="3339" width="15.85546875" customWidth="1"/>
    <col min="3340" max="3340" width="13.5703125" customWidth="1"/>
    <col min="3341" max="3341" width="17.85546875" customWidth="1"/>
    <col min="3342" max="3342" width="49.140625" customWidth="1"/>
    <col min="3343" max="3343" width="13.85546875" customWidth="1"/>
    <col min="3344" max="3344" width="11.5703125" customWidth="1"/>
    <col min="3345" max="3345" width="47" customWidth="1"/>
    <col min="3346" max="3346" width="28.85546875" customWidth="1"/>
    <col min="3585" max="3585" width="22.42578125" customWidth="1"/>
    <col min="3586" max="3586" width="12.140625" customWidth="1"/>
    <col min="3587" max="3587" width="45.5703125" customWidth="1"/>
    <col min="3588" max="3588" width="23.85546875" customWidth="1"/>
    <col min="3589" max="3589" width="12.85546875" customWidth="1"/>
    <col min="3590" max="3590" width="24.140625" customWidth="1"/>
    <col min="3591" max="3591" width="12.140625" customWidth="1"/>
    <col min="3592" max="3592" width="48.42578125" customWidth="1"/>
    <col min="3593" max="3593" width="15.42578125" customWidth="1"/>
    <col min="3594" max="3594" width="22" customWidth="1"/>
    <col min="3595" max="3595" width="15.85546875" customWidth="1"/>
    <col min="3596" max="3596" width="13.5703125" customWidth="1"/>
    <col min="3597" max="3597" width="17.85546875" customWidth="1"/>
    <col min="3598" max="3598" width="49.140625" customWidth="1"/>
    <col min="3599" max="3599" width="13.85546875" customWidth="1"/>
    <col min="3600" max="3600" width="11.5703125" customWidth="1"/>
    <col min="3601" max="3601" width="47" customWidth="1"/>
    <col min="3602" max="3602" width="28.85546875" customWidth="1"/>
    <col min="3841" max="3841" width="22.42578125" customWidth="1"/>
    <col min="3842" max="3842" width="12.140625" customWidth="1"/>
    <col min="3843" max="3843" width="45.5703125" customWidth="1"/>
    <col min="3844" max="3844" width="23.85546875" customWidth="1"/>
    <col min="3845" max="3845" width="12.85546875" customWidth="1"/>
    <col min="3846" max="3846" width="24.140625" customWidth="1"/>
    <col min="3847" max="3847" width="12.140625" customWidth="1"/>
    <col min="3848" max="3848" width="48.42578125" customWidth="1"/>
    <col min="3849" max="3849" width="15.42578125" customWidth="1"/>
    <col min="3850" max="3850" width="22" customWidth="1"/>
    <col min="3851" max="3851" width="15.85546875" customWidth="1"/>
    <col min="3852" max="3852" width="13.5703125" customWidth="1"/>
    <col min="3853" max="3853" width="17.85546875" customWidth="1"/>
    <col min="3854" max="3854" width="49.140625" customWidth="1"/>
    <col min="3855" max="3855" width="13.85546875" customWidth="1"/>
    <col min="3856" max="3856" width="11.5703125" customWidth="1"/>
    <col min="3857" max="3857" width="47" customWidth="1"/>
    <col min="3858" max="3858" width="28.85546875" customWidth="1"/>
    <col min="4097" max="4097" width="22.42578125" customWidth="1"/>
    <col min="4098" max="4098" width="12.140625" customWidth="1"/>
    <col min="4099" max="4099" width="45.5703125" customWidth="1"/>
    <col min="4100" max="4100" width="23.85546875" customWidth="1"/>
    <col min="4101" max="4101" width="12.85546875" customWidth="1"/>
    <col min="4102" max="4102" width="24.140625" customWidth="1"/>
    <col min="4103" max="4103" width="12.140625" customWidth="1"/>
    <col min="4104" max="4104" width="48.42578125" customWidth="1"/>
    <col min="4105" max="4105" width="15.42578125" customWidth="1"/>
    <col min="4106" max="4106" width="22" customWidth="1"/>
    <col min="4107" max="4107" width="15.85546875" customWidth="1"/>
    <col min="4108" max="4108" width="13.5703125" customWidth="1"/>
    <col min="4109" max="4109" width="17.85546875" customWidth="1"/>
    <col min="4110" max="4110" width="49.140625" customWidth="1"/>
    <col min="4111" max="4111" width="13.85546875" customWidth="1"/>
    <col min="4112" max="4112" width="11.5703125" customWidth="1"/>
    <col min="4113" max="4113" width="47" customWidth="1"/>
    <col min="4114" max="4114" width="28.85546875" customWidth="1"/>
    <col min="4353" max="4353" width="22.42578125" customWidth="1"/>
    <col min="4354" max="4354" width="12.140625" customWidth="1"/>
    <col min="4355" max="4355" width="45.5703125" customWidth="1"/>
    <col min="4356" max="4356" width="23.85546875" customWidth="1"/>
    <col min="4357" max="4357" width="12.85546875" customWidth="1"/>
    <col min="4358" max="4358" width="24.140625" customWidth="1"/>
    <col min="4359" max="4359" width="12.140625" customWidth="1"/>
    <col min="4360" max="4360" width="48.42578125" customWidth="1"/>
    <col min="4361" max="4361" width="15.42578125" customWidth="1"/>
    <col min="4362" max="4362" width="22" customWidth="1"/>
    <col min="4363" max="4363" width="15.85546875" customWidth="1"/>
    <col min="4364" max="4364" width="13.5703125" customWidth="1"/>
    <col min="4365" max="4365" width="17.85546875" customWidth="1"/>
    <col min="4366" max="4366" width="49.140625" customWidth="1"/>
    <col min="4367" max="4367" width="13.85546875" customWidth="1"/>
    <col min="4368" max="4368" width="11.5703125" customWidth="1"/>
    <col min="4369" max="4369" width="47" customWidth="1"/>
    <col min="4370" max="4370" width="28.85546875" customWidth="1"/>
    <col min="4609" max="4609" width="22.42578125" customWidth="1"/>
    <col min="4610" max="4610" width="12.140625" customWidth="1"/>
    <col min="4611" max="4611" width="45.5703125" customWidth="1"/>
    <col min="4612" max="4612" width="23.85546875" customWidth="1"/>
    <col min="4613" max="4613" width="12.85546875" customWidth="1"/>
    <col min="4614" max="4614" width="24.140625" customWidth="1"/>
    <col min="4615" max="4615" width="12.140625" customWidth="1"/>
    <col min="4616" max="4616" width="48.42578125" customWidth="1"/>
    <col min="4617" max="4617" width="15.42578125" customWidth="1"/>
    <col min="4618" max="4618" width="22" customWidth="1"/>
    <col min="4619" max="4619" width="15.85546875" customWidth="1"/>
    <col min="4620" max="4620" width="13.5703125" customWidth="1"/>
    <col min="4621" max="4621" width="17.85546875" customWidth="1"/>
    <col min="4622" max="4622" width="49.140625" customWidth="1"/>
    <col min="4623" max="4623" width="13.85546875" customWidth="1"/>
    <col min="4624" max="4624" width="11.5703125" customWidth="1"/>
    <col min="4625" max="4625" width="47" customWidth="1"/>
    <col min="4626" max="4626" width="28.85546875" customWidth="1"/>
    <col min="4865" max="4865" width="22.42578125" customWidth="1"/>
    <col min="4866" max="4866" width="12.140625" customWidth="1"/>
    <col min="4867" max="4867" width="45.5703125" customWidth="1"/>
    <col min="4868" max="4868" width="23.85546875" customWidth="1"/>
    <col min="4869" max="4869" width="12.85546875" customWidth="1"/>
    <col min="4870" max="4870" width="24.140625" customWidth="1"/>
    <col min="4871" max="4871" width="12.140625" customWidth="1"/>
    <col min="4872" max="4872" width="48.42578125" customWidth="1"/>
    <col min="4873" max="4873" width="15.42578125" customWidth="1"/>
    <col min="4874" max="4874" width="22" customWidth="1"/>
    <col min="4875" max="4875" width="15.85546875" customWidth="1"/>
    <col min="4876" max="4876" width="13.5703125" customWidth="1"/>
    <col min="4877" max="4877" width="17.85546875" customWidth="1"/>
    <col min="4878" max="4878" width="49.140625" customWidth="1"/>
    <col min="4879" max="4879" width="13.85546875" customWidth="1"/>
    <col min="4880" max="4880" width="11.5703125" customWidth="1"/>
    <col min="4881" max="4881" width="47" customWidth="1"/>
    <col min="4882" max="4882" width="28.85546875" customWidth="1"/>
    <col min="5121" max="5121" width="22.42578125" customWidth="1"/>
    <col min="5122" max="5122" width="12.140625" customWidth="1"/>
    <col min="5123" max="5123" width="45.5703125" customWidth="1"/>
    <col min="5124" max="5124" width="23.85546875" customWidth="1"/>
    <col min="5125" max="5125" width="12.85546875" customWidth="1"/>
    <col min="5126" max="5126" width="24.140625" customWidth="1"/>
    <col min="5127" max="5127" width="12.140625" customWidth="1"/>
    <col min="5128" max="5128" width="48.42578125" customWidth="1"/>
    <col min="5129" max="5129" width="15.42578125" customWidth="1"/>
    <col min="5130" max="5130" width="22" customWidth="1"/>
    <col min="5131" max="5131" width="15.85546875" customWidth="1"/>
    <col min="5132" max="5132" width="13.5703125" customWidth="1"/>
    <col min="5133" max="5133" width="17.85546875" customWidth="1"/>
    <col min="5134" max="5134" width="49.140625" customWidth="1"/>
    <col min="5135" max="5135" width="13.85546875" customWidth="1"/>
    <col min="5136" max="5136" width="11.5703125" customWidth="1"/>
    <col min="5137" max="5137" width="47" customWidth="1"/>
    <col min="5138" max="5138" width="28.85546875" customWidth="1"/>
    <col min="5377" max="5377" width="22.42578125" customWidth="1"/>
    <col min="5378" max="5378" width="12.140625" customWidth="1"/>
    <col min="5379" max="5379" width="45.5703125" customWidth="1"/>
    <col min="5380" max="5380" width="23.85546875" customWidth="1"/>
    <col min="5381" max="5381" width="12.85546875" customWidth="1"/>
    <col min="5382" max="5382" width="24.140625" customWidth="1"/>
    <col min="5383" max="5383" width="12.140625" customWidth="1"/>
    <col min="5384" max="5384" width="48.42578125" customWidth="1"/>
    <col min="5385" max="5385" width="15.42578125" customWidth="1"/>
    <col min="5386" max="5386" width="22" customWidth="1"/>
    <col min="5387" max="5387" width="15.85546875" customWidth="1"/>
    <col min="5388" max="5388" width="13.5703125" customWidth="1"/>
    <col min="5389" max="5389" width="17.85546875" customWidth="1"/>
    <col min="5390" max="5390" width="49.140625" customWidth="1"/>
    <col min="5391" max="5391" width="13.85546875" customWidth="1"/>
    <col min="5392" max="5392" width="11.5703125" customWidth="1"/>
    <col min="5393" max="5393" width="47" customWidth="1"/>
    <col min="5394" max="5394" width="28.85546875" customWidth="1"/>
    <col min="5633" max="5633" width="22.42578125" customWidth="1"/>
    <col min="5634" max="5634" width="12.140625" customWidth="1"/>
    <col min="5635" max="5635" width="45.5703125" customWidth="1"/>
    <col min="5636" max="5636" width="23.85546875" customWidth="1"/>
    <col min="5637" max="5637" width="12.85546875" customWidth="1"/>
    <col min="5638" max="5638" width="24.140625" customWidth="1"/>
    <col min="5639" max="5639" width="12.140625" customWidth="1"/>
    <col min="5640" max="5640" width="48.42578125" customWidth="1"/>
    <col min="5641" max="5641" width="15.42578125" customWidth="1"/>
    <col min="5642" max="5642" width="22" customWidth="1"/>
    <col min="5643" max="5643" width="15.85546875" customWidth="1"/>
    <col min="5644" max="5644" width="13.5703125" customWidth="1"/>
    <col min="5645" max="5645" width="17.85546875" customWidth="1"/>
    <col min="5646" max="5646" width="49.140625" customWidth="1"/>
    <col min="5647" max="5647" width="13.85546875" customWidth="1"/>
    <col min="5648" max="5648" width="11.5703125" customWidth="1"/>
    <col min="5649" max="5649" width="47" customWidth="1"/>
    <col min="5650" max="5650" width="28.85546875" customWidth="1"/>
    <col min="5889" max="5889" width="22.42578125" customWidth="1"/>
    <col min="5890" max="5890" width="12.140625" customWidth="1"/>
    <col min="5891" max="5891" width="45.5703125" customWidth="1"/>
    <col min="5892" max="5892" width="23.85546875" customWidth="1"/>
    <col min="5893" max="5893" width="12.85546875" customWidth="1"/>
    <col min="5894" max="5894" width="24.140625" customWidth="1"/>
    <col min="5895" max="5895" width="12.140625" customWidth="1"/>
    <col min="5896" max="5896" width="48.42578125" customWidth="1"/>
    <col min="5897" max="5897" width="15.42578125" customWidth="1"/>
    <col min="5898" max="5898" width="22" customWidth="1"/>
    <col min="5899" max="5899" width="15.85546875" customWidth="1"/>
    <col min="5900" max="5900" width="13.5703125" customWidth="1"/>
    <col min="5901" max="5901" width="17.85546875" customWidth="1"/>
    <col min="5902" max="5902" width="49.140625" customWidth="1"/>
    <col min="5903" max="5903" width="13.85546875" customWidth="1"/>
    <col min="5904" max="5904" width="11.5703125" customWidth="1"/>
    <col min="5905" max="5905" width="47" customWidth="1"/>
    <col min="5906" max="5906" width="28.85546875" customWidth="1"/>
    <col min="6145" max="6145" width="22.42578125" customWidth="1"/>
    <col min="6146" max="6146" width="12.140625" customWidth="1"/>
    <col min="6147" max="6147" width="45.5703125" customWidth="1"/>
    <col min="6148" max="6148" width="23.85546875" customWidth="1"/>
    <col min="6149" max="6149" width="12.85546875" customWidth="1"/>
    <col min="6150" max="6150" width="24.140625" customWidth="1"/>
    <col min="6151" max="6151" width="12.140625" customWidth="1"/>
    <col min="6152" max="6152" width="48.42578125" customWidth="1"/>
    <col min="6153" max="6153" width="15.42578125" customWidth="1"/>
    <col min="6154" max="6154" width="22" customWidth="1"/>
    <col min="6155" max="6155" width="15.85546875" customWidth="1"/>
    <col min="6156" max="6156" width="13.5703125" customWidth="1"/>
    <col min="6157" max="6157" width="17.85546875" customWidth="1"/>
    <col min="6158" max="6158" width="49.140625" customWidth="1"/>
    <col min="6159" max="6159" width="13.85546875" customWidth="1"/>
    <col min="6160" max="6160" width="11.5703125" customWidth="1"/>
    <col min="6161" max="6161" width="47" customWidth="1"/>
    <col min="6162" max="6162" width="28.85546875" customWidth="1"/>
    <col min="6401" max="6401" width="22.42578125" customWidth="1"/>
    <col min="6402" max="6402" width="12.140625" customWidth="1"/>
    <col min="6403" max="6403" width="45.5703125" customWidth="1"/>
    <col min="6404" max="6404" width="23.85546875" customWidth="1"/>
    <col min="6405" max="6405" width="12.85546875" customWidth="1"/>
    <col min="6406" max="6406" width="24.140625" customWidth="1"/>
    <col min="6407" max="6407" width="12.140625" customWidth="1"/>
    <col min="6408" max="6408" width="48.42578125" customWidth="1"/>
    <col min="6409" max="6409" width="15.42578125" customWidth="1"/>
    <col min="6410" max="6410" width="22" customWidth="1"/>
    <col min="6411" max="6411" width="15.85546875" customWidth="1"/>
    <col min="6412" max="6412" width="13.5703125" customWidth="1"/>
    <col min="6413" max="6413" width="17.85546875" customWidth="1"/>
    <col min="6414" max="6414" width="49.140625" customWidth="1"/>
    <col min="6415" max="6415" width="13.85546875" customWidth="1"/>
    <col min="6416" max="6416" width="11.5703125" customWidth="1"/>
    <col min="6417" max="6417" width="47" customWidth="1"/>
    <col min="6418" max="6418" width="28.85546875" customWidth="1"/>
    <col min="6657" max="6657" width="22.42578125" customWidth="1"/>
    <col min="6658" max="6658" width="12.140625" customWidth="1"/>
    <col min="6659" max="6659" width="45.5703125" customWidth="1"/>
    <col min="6660" max="6660" width="23.85546875" customWidth="1"/>
    <col min="6661" max="6661" width="12.85546875" customWidth="1"/>
    <col min="6662" max="6662" width="24.140625" customWidth="1"/>
    <col min="6663" max="6663" width="12.140625" customWidth="1"/>
    <col min="6664" max="6664" width="48.42578125" customWidth="1"/>
    <col min="6665" max="6665" width="15.42578125" customWidth="1"/>
    <col min="6666" max="6666" width="22" customWidth="1"/>
    <col min="6667" max="6667" width="15.85546875" customWidth="1"/>
    <col min="6668" max="6668" width="13.5703125" customWidth="1"/>
    <col min="6669" max="6669" width="17.85546875" customWidth="1"/>
    <col min="6670" max="6670" width="49.140625" customWidth="1"/>
    <col min="6671" max="6671" width="13.85546875" customWidth="1"/>
    <col min="6672" max="6672" width="11.5703125" customWidth="1"/>
    <col min="6673" max="6673" width="47" customWidth="1"/>
    <col min="6674" max="6674" width="28.85546875" customWidth="1"/>
    <col min="6913" max="6913" width="22.42578125" customWidth="1"/>
    <col min="6914" max="6914" width="12.140625" customWidth="1"/>
    <col min="6915" max="6915" width="45.5703125" customWidth="1"/>
    <col min="6916" max="6916" width="23.85546875" customWidth="1"/>
    <col min="6917" max="6917" width="12.85546875" customWidth="1"/>
    <col min="6918" max="6918" width="24.140625" customWidth="1"/>
    <col min="6919" max="6919" width="12.140625" customWidth="1"/>
    <col min="6920" max="6920" width="48.42578125" customWidth="1"/>
    <col min="6921" max="6921" width="15.42578125" customWidth="1"/>
    <col min="6922" max="6922" width="22" customWidth="1"/>
    <col min="6923" max="6923" width="15.85546875" customWidth="1"/>
    <col min="6924" max="6924" width="13.5703125" customWidth="1"/>
    <col min="6925" max="6925" width="17.85546875" customWidth="1"/>
    <col min="6926" max="6926" width="49.140625" customWidth="1"/>
    <col min="6927" max="6927" width="13.85546875" customWidth="1"/>
    <col min="6928" max="6928" width="11.5703125" customWidth="1"/>
    <col min="6929" max="6929" width="47" customWidth="1"/>
    <col min="6930" max="6930" width="28.85546875" customWidth="1"/>
    <col min="7169" max="7169" width="22.42578125" customWidth="1"/>
    <col min="7170" max="7170" width="12.140625" customWidth="1"/>
    <col min="7171" max="7171" width="45.5703125" customWidth="1"/>
    <col min="7172" max="7172" width="23.85546875" customWidth="1"/>
    <col min="7173" max="7173" width="12.85546875" customWidth="1"/>
    <col min="7174" max="7174" width="24.140625" customWidth="1"/>
    <col min="7175" max="7175" width="12.140625" customWidth="1"/>
    <col min="7176" max="7176" width="48.42578125" customWidth="1"/>
    <col min="7177" max="7177" width="15.42578125" customWidth="1"/>
    <col min="7178" max="7178" width="22" customWidth="1"/>
    <col min="7179" max="7179" width="15.85546875" customWidth="1"/>
    <col min="7180" max="7180" width="13.5703125" customWidth="1"/>
    <col min="7181" max="7181" width="17.85546875" customWidth="1"/>
    <col min="7182" max="7182" width="49.140625" customWidth="1"/>
    <col min="7183" max="7183" width="13.85546875" customWidth="1"/>
    <col min="7184" max="7184" width="11.5703125" customWidth="1"/>
    <col min="7185" max="7185" width="47" customWidth="1"/>
    <col min="7186" max="7186" width="28.85546875" customWidth="1"/>
    <col min="7425" max="7425" width="22.42578125" customWidth="1"/>
    <col min="7426" max="7426" width="12.140625" customWidth="1"/>
    <col min="7427" max="7427" width="45.5703125" customWidth="1"/>
    <col min="7428" max="7428" width="23.85546875" customWidth="1"/>
    <col min="7429" max="7429" width="12.85546875" customWidth="1"/>
    <col min="7430" max="7430" width="24.140625" customWidth="1"/>
    <col min="7431" max="7431" width="12.140625" customWidth="1"/>
    <col min="7432" max="7432" width="48.42578125" customWidth="1"/>
    <col min="7433" max="7433" width="15.42578125" customWidth="1"/>
    <col min="7434" max="7434" width="22" customWidth="1"/>
    <col min="7435" max="7435" width="15.85546875" customWidth="1"/>
    <col min="7436" max="7436" width="13.5703125" customWidth="1"/>
    <col min="7437" max="7437" width="17.85546875" customWidth="1"/>
    <col min="7438" max="7438" width="49.140625" customWidth="1"/>
    <col min="7439" max="7439" width="13.85546875" customWidth="1"/>
    <col min="7440" max="7440" width="11.5703125" customWidth="1"/>
    <col min="7441" max="7441" width="47" customWidth="1"/>
    <col min="7442" max="7442" width="28.85546875" customWidth="1"/>
    <col min="7681" max="7681" width="22.42578125" customWidth="1"/>
    <col min="7682" max="7682" width="12.140625" customWidth="1"/>
    <col min="7683" max="7683" width="45.5703125" customWidth="1"/>
    <col min="7684" max="7684" width="23.85546875" customWidth="1"/>
    <col min="7685" max="7685" width="12.85546875" customWidth="1"/>
    <col min="7686" max="7686" width="24.140625" customWidth="1"/>
    <col min="7687" max="7687" width="12.140625" customWidth="1"/>
    <col min="7688" max="7688" width="48.42578125" customWidth="1"/>
    <col min="7689" max="7689" width="15.42578125" customWidth="1"/>
    <col min="7690" max="7690" width="22" customWidth="1"/>
    <col min="7691" max="7691" width="15.85546875" customWidth="1"/>
    <col min="7692" max="7692" width="13.5703125" customWidth="1"/>
    <col min="7693" max="7693" width="17.85546875" customWidth="1"/>
    <col min="7694" max="7694" width="49.140625" customWidth="1"/>
    <col min="7695" max="7695" width="13.85546875" customWidth="1"/>
    <col min="7696" max="7696" width="11.5703125" customWidth="1"/>
    <col min="7697" max="7697" width="47" customWidth="1"/>
    <col min="7698" max="7698" width="28.85546875" customWidth="1"/>
    <col min="7937" max="7937" width="22.42578125" customWidth="1"/>
    <col min="7938" max="7938" width="12.140625" customWidth="1"/>
    <col min="7939" max="7939" width="45.5703125" customWidth="1"/>
    <col min="7940" max="7940" width="23.85546875" customWidth="1"/>
    <col min="7941" max="7941" width="12.85546875" customWidth="1"/>
    <col min="7942" max="7942" width="24.140625" customWidth="1"/>
    <col min="7943" max="7943" width="12.140625" customWidth="1"/>
    <col min="7944" max="7944" width="48.42578125" customWidth="1"/>
    <col min="7945" max="7945" width="15.42578125" customWidth="1"/>
    <col min="7946" max="7946" width="22" customWidth="1"/>
    <col min="7947" max="7947" width="15.85546875" customWidth="1"/>
    <col min="7948" max="7948" width="13.5703125" customWidth="1"/>
    <col min="7949" max="7949" width="17.85546875" customWidth="1"/>
    <col min="7950" max="7950" width="49.140625" customWidth="1"/>
    <col min="7951" max="7951" width="13.85546875" customWidth="1"/>
    <col min="7952" max="7952" width="11.5703125" customWidth="1"/>
    <col min="7953" max="7953" width="47" customWidth="1"/>
    <col min="7954" max="7954" width="28.85546875" customWidth="1"/>
    <col min="8193" max="8193" width="22.42578125" customWidth="1"/>
    <col min="8194" max="8194" width="12.140625" customWidth="1"/>
    <col min="8195" max="8195" width="45.5703125" customWidth="1"/>
    <col min="8196" max="8196" width="23.85546875" customWidth="1"/>
    <col min="8197" max="8197" width="12.85546875" customWidth="1"/>
    <col min="8198" max="8198" width="24.140625" customWidth="1"/>
    <col min="8199" max="8199" width="12.140625" customWidth="1"/>
    <col min="8200" max="8200" width="48.42578125" customWidth="1"/>
    <col min="8201" max="8201" width="15.42578125" customWidth="1"/>
    <col min="8202" max="8202" width="22" customWidth="1"/>
    <col min="8203" max="8203" width="15.85546875" customWidth="1"/>
    <col min="8204" max="8204" width="13.5703125" customWidth="1"/>
    <col min="8205" max="8205" width="17.85546875" customWidth="1"/>
    <col min="8206" max="8206" width="49.140625" customWidth="1"/>
    <col min="8207" max="8207" width="13.85546875" customWidth="1"/>
    <col min="8208" max="8208" width="11.5703125" customWidth="1"/>
    <col min="8209" max="8209" width="47" customWidth="1"/>
    <col min="8210" max="8210" width="28.85546875" customWidth="1"/>
    <col min="8449" max="8449" width="22.42578125" customWidth="1"/>
    <col min="8450" max="8450" width="12.140625" customWidth="1"/>
    <col min="8451" max="8451" width="45.5703125" customWidth="1"/>
    <col min="8452" max="8452" width="23.85546875" customWidth="1"/>
    <col min="8453" max="8453" width="12.85546875" customWidth="1"/>
    <col min="8454" max="8454" width="24.140625" customWidth="1"/>
    <col min="8455" max="8455" width="12.140625" customWidth="1"/>
    <col min="8456" max="8456" width="48.42578125" customWidth="1"/>
    <col min="8457" max="8457" width="15.42578125" customWidth="1"/>
    <col min="8458" max="8458" width="22" customWidth="1"/>
    <col min="8459" max="8459" width="15.85546875" customWidth="1"/>
    <col min="8460" max="8460" width="13.5703125" customWidth="1"/>
    <col min="8461" max="8461" width="17.85546875" customWidth="1"/>
    <col min="8462" max="8462" width="49.140625" customWidth="1"/>
    <col min="8463" max="8463" width="13.85546875" customWidth="1"/>
    <col min="8464" max="8464" width="11.5703125" customWidth="1"/>
    <col min="8465" max="8465" width="47" customWidth="1"/>
    <col min="8466" max="8466" width="28.85546875" customWidth="1"/>
    <col min="8705" max="8705" width="22.42578125" customWidth="1"/>
    <col min="8706" max="8706" width="12.140625" customWidth="1"/>
    <col min="8707" max="8707" width="45.5703125" customWidth="1"/>
    <col min="8708" max="8708" width="23.85546875" customWidth="1"/>
    <col min="8709" max="8709" width="12.85546875" customWidth="1"/>
    <col min="8710" max="8710" width="24.140625" customWidth="1"/>
    <col min="8711" max="8711" width="12.140625" customWidth="1"/>
    <col min="8712" max="8712" width="48.42578125" customWidth="1"/>
    <col min="8713" max="8713" width="15.42578125" customWidth="1"/>
    <col min="8714" max="8714" width="22" customWidth="1"/>
    <col min="8715" max="8715" width="15.85546875" customWidth="1"/>
    <col min="8716" max="8716" width="13.5703125" customWidth="1"/>
    <col min="8717" max="8717" width="17.85546875" customWidth="1"/>
    <col min="8718" max="8718" width="49.140625" customWidth="1"/>
    <col min="8719" max="8719" width="13.85546875" customWidth="1"/>
    <col min="8720" max="8720" width="11.5703125" customWidth="1"/>
    <col min="8721" max="8721" width="47" customWidth="1"/>
    <col min="8722" max="8722" width="28.85546875" customWidth="1"/>
    <col min="8961" max="8961" width="22.42578125" customWidth="1"/>
    <col min="8962" max="8962" width="12.140625" customWidth="1"/>
    <col min="8963" max="8963" width="45.5703125" customWidth="1"/>
    <col min="8964" max="8964" width="23.85546875" customWidth="1"/>
    <col min="8965" max="8965" width="12.85546875" customWidth="1"/>
    <col min="8966" max="8966" width="24.140625" customWidth="1"/>
    <col min="8967" max="8967" width="12.140625" customWidth="1"/>
    <col min="8968" max="8968" width="48.42578125" customWidth="1"/>
    <col min="8969" max="8969" width="15.42578125" customWidth="1"/>
    <col min="8970" max="8970" width="22" customWidth="1"/>
    <col min="8971" max="8971" width="15.85546875" customWidth="1"/>
    <col min="8972" max="8972" width="13.5703125" customWidth="1"/>
    <col min="8973" max="8973" width="17.85546875" customWidth="1"/>
    <col min="8974" max="8974" width="49.140625" customWidth="1"/>
    <col min="8975" max="8975" width="13.85546875" customWidth="1"/>
    <col min="8976" max="8976" width="11.5703125" customWidth="1"/>
    <col min="8977" max="8977" width="47" customWidth="1"/>
    <col min="8978" max="8978" width="28.85546875" customWidth="1"/>
    <col min="9217" max="9217" width="22.42578125" customWidth="1"/>
    <col min="9218" max="9218" width="12.140625" customWidth="1"/>
    <col min="9219" max="9219" width="45.5703125" customWidth="1"/>
    <col min="9220" max="9220" width="23.85546875" customWidth="1"/>
    <col min="9221" max="9221" width="12.85546875" customWidth="1"/>
    <col min="9222" max="9222" width="24.140625" customWidth="1"/>
    <col min="9223" max="9223" width="12.140625" customWidth="1"/>
    <col min="9224" max="9224" width="48.42578125" customWidth="1"/>
    <col min="9225" max="9225" width="15.42578125" customWidth="1"/>
    <col min="9226" max="9226" width="22" customWidth="1"/>
    <col min="9227" max="9227" width="15.85546875" customWidth="1"/>
    <col min="9228" max="9228" width="13.5703125" customWidth="1"/>
    <col min="9229" max="9229" width="17.85546875" customWidth="1"/>
    <col min="9230" max="9230" width="49.140625" customWidth="1"/>
    <col min="9231" max="9231" width="13.85546875" customWidth="1"/>
    <col min="9232" max="9232" width="11.5703125" customWidth="1"/>
    <col min="9233" max="9233" width="47" customWidth="1"/>
    <col min="9234" max="9234" width="28.85546875" customWidth="1"/>
    <col min="9473" max="9473" width="22.42578125" customWidth="1"/>
    <col min="9474" max="9474" width="12.140625" customWidth="1"/>
    <col min="9475" max="9475" width="45.5703125" customWidth="1"/>
    <col min="9476" max="9476" width="23.85546875" customWidth="1"/>
    <col min="9477" max="9477" width="12.85546875" customWidth="1"/>
    <col min="9478" max="9478" width="24.140625" customWidth="1"/>
    <col min="9479" max="9479" width="12.140625" customWidth="1"/>
    <col min="9480" max="9480" width="48.42578125" customWidth="1"/>
    <col min="9481" max="9481" width="15.42578125" customWidth="1"/>
    <col min="9482" max="9482" width="22" customWidth="1"/>
    <col min="9483" max="9483" width="15.85546875" customWidth="1"/>
    <col min="9484" max="9484" width="13.5703125" customWidth="1"/>
    <col min="9485" max="9485" width="17.85546875" customWidth="1"/>
    <col min="9486" max="9486" width="49.140625" customWidth="1"/>
    <col min="9487" max="9487" width="13.85546875" customWidth="1"/>
    <col min="9488" max="9488" width="11.5703125" customWidth="1"/>
    <col min="9489" max="9489" width="47" customWidth="1"/>
    <col min="9490" max="9490" width="28.85546875" customWidth="1"/>
    <col min="9729" max="9729" width="22.42578125" customWidth="1"/>
    <col min="9730" max="9730" width="12.140625" customWidth="1"/>
    <col min="9731" max="9731" width="45.5703125" customWidth="1"/>
    <col min="9732" max="9732" width="23.85546875" customWidth="1"/>
    <col min="9733" max="9733" width="12.85546875" customWidth="1"/>
    <col min="9734" max="9734" width="24.140625" customWidth="1"/>
    <col min="9735" max="9735" width="12.140625" customWidth="1"/>
    <col min="9736" max="9736" width="48.42578125" customWidth="1"/>
    <col min="9737" max="9737" width="15.42578125" customWidth="1"/>
    <col min="9738" max="9738" width="22" customWidth="1"/>
    <col min="9739" max="9739" width="15.85546875" customWidth="1"/>
    <col min="9740" max="9740" width="13.5703125" customWidth="1"/>
    <col min="9741" max="9741" width="17.85546875" customWidth="1"/>
    <col min="9742" max="9742" width="49.140625" customWidth="1"/>
    <col min="9743" max="9743" width="13.85546875" customWidth="1"/>
    <col min="9744" max="9744" width="11.5703125" customWidth="1"/>
    <col min="9745" max="9745" width="47" customWidth="1"/>
    <col min="9746" max="9746" width="28.85546875" customWidth="1"/>
    <col min="9985" max="9985" width="22.42578125" customWidth="1"/>
    <col min="9986" max="9986" width="12.140625" customWidth="1"/>
    <col min="9987" max="9987" width="45.5703125" customWidth="1"/>
    <col min="9988" max="9988" width="23.85546875" customWidth="1"/>
    <col min="9989" max="9989" width="12.85546875" customWidth="1"/>
    <col min="9990" max="9990" width="24.140625" customWidth="1"/>
    <col min="9991" max="9991" width="12.140625" customWidth="1"/>
    <col min="9992" max="9992" width="48.42578125" customWidth="1"/>
    <col min="9993" max="9993" width="15.42578125" customWidth="1"/>
    <col min="9994" max="9994" width="22" customWidth="1"/>
    <col min="9995" max="9995" width="15.85546875" customWidth="1"/>
    <col min="9996" max="9996" width="13.5703125" customWidth="1"/>
    <col min="9997" max="9997" width="17.85546875" customWidth="1"/>
    <col min="9998" max="9998" width="49.140625" customWidth="1"/>
    <col min="9999" max="9999" width="13.85546875" customWidth="1"/>
    <col min="10000" max="10000" width="11.5703125" customWidth="1"/>
    <col min="10001" max="10001" width="47" customWidth="1"/>
    <col min="10002" max="10002" width="28.85546875" customWidth="1"/>
    <col min="10241" max="10241" width="22.42578125" customWidth="1"/>
    <col min="10242" max="10242" width="12.140625" customWidth="1"/>
    <col min="10243" max="10243" width="45.5703125" customWidth="1"/>
    <col min="10244" max="10244" width="23.85546875" customWidth="1"/>
    <col min="10245" max="10245" width="12.85546875" customWidth="1"/>
    <col min="10246" max="10246" width="24.140625" customWidth="1"/>
    <col min="10247" max="10247" width="12.140625" customWidth="1"/>
    <col min="10248" max="10248" width="48.42578125" customWidth="1"/>
    <col min="10249" max="10249" width="15.42578125" customWidth="1"/>
    <col min="10250" max="10250" width="22" customWidth="1"/>
    <col min="10251" max="10251" width="15.85546875" customWidth="1"/>
    <col min="10252" max="10252" width="13.5703125" customWidth="1"/>
    <col min="10253" max="10253" width="17.85546875" customWidth="1"/>
    <col min="10254" max="10254" width="49.140625" customWidth="1"/>
    <col min="10255" max="10255" width="13.85546875" customWidth="1"/>
    <col min="10256" max="10256" width="11.5703125" customWidth="1"/>
    <col min="10257" max="10257" width="47" customWidth="1"/>
    <col min="10258" max="10258" width="28.85546875" customWidth="1"/>
    <col min="10497" max="10497" width="22.42578125" customWidth="1"/>
    <col min="10498" max="10498" width="12.140625" customWidth="1"/>
    <col min="10499" max="10499" width="45.5703125" customWidth="1"/>
    <col min="10500" max="10500" width="23.85546875" customWidth="1"/>
    <col min="10501" max="10501" width="12.85546875" customWidth="1"/>
    <col min="10502" max="10502" width="24.140625" customWidth="1"/>
    <col min="10503" max="10503" width="12.140625" customWidth="1"/>
    <col min="10504" max="10504" width="48.42578125" customWidth="1"/>
    <col min="10505" max="10505" width="15.42578125" customWidth="1"/>
    <col min="10506" max="10506" width="22" customWidth="1"/>
    <col min="10507" max="10507" width="15.85546875" customWidth="1"/>
    <col min="10508" max="10508" width="13.5703125" customWidth="1"/>
    <col min="10509" max="10509" width="17.85546875" customWidth="1"/>
    <col min="10510" max="10510" width="49.140625" customWidth="1"/>
    <col min="10511" max="10511" width="13.85546875" customWidth="1"/>
    <col min="10512" max="10512" width="11.5703125" customWidth="1"/>
    <col min="10513" max="10513" width="47" customWidth="1"/>
    <col min="10514" max="10514" width="28.85546875" customWidth="1"/>
    <col min="10753" max="10753" width="22.42578125" customWidth="1"/>
    <col min="10754" max="10754" width="12.140625" customWidth="1"/>
    <col min="10755" max="10755" width="45.5703125" customWidth="1"/>
    <col min="10756" max="10756" width="23.85546875" customWidth="1"/>
    <col min="10757" max="10757" width="12.85546875" customWidth="1"/>
    <col min="10758" max="10758" width="24.140625" customWidth="1"/>
    <col min="10759" max="10759" width="12.140625" customWidth="1"/>
    <col min="10760" max="10760" width="48.42578125" customWidth="1"/>
    <col min="10761" max="10761" width="15.42578125" customWidth="1"/>
    <col min="10762" max="10762" width="22" customWidth="1"/>
    <col min="10763" max="10763" width="15.85546875" customWidth="1"/>
    <col min="10764" max="10764" width="13.5703125" customWidth="1"/>
    <col min="10765" max="10765" width="17.85546875" customWidth="1"/>
    <col min="10766" max="10766" width="49.140625" customWidth="1"/>
    <col min="10767" max="10767" width="13.85546875" customWidth="1"/>
    <col min="10768" max="10768" width="11.5703125" customWidth="1"/>
    <col min="10769" max="10769" width="47" customWidth="1"/>
    <col min="10770" max="10770" width="28.85546875" customWidth="1"/>
    <col min="11009" max="11009" width="22.42578125" customWidth="1"/>
    <col min="11010" max="11010" width="12.140625" customWidth="1"/>
    <col min="11011" max="11011" width="45.5703125" customWidth="1"/>
    <col min="11012" max="11012" width="23.85546875" customWidth="1"/>
    <col min="11013" max="11013" width="12.85546875" customWidth="1"/>
    <col min="11014" max="11014" width="24.140625" customWidth="1"/>
    <col min="11015" max="11015" width="12.140625" customWidth="1"/>
    <col min="11016" max="11016" width="48.42578125" customWidth="1"/>
    <col min="11017" max="11017" width="15.42578125" customWidth="1"/>
    <col min="11018" max="11018" width="22" customWidth="1"/>
    <col min="11019" max="11019" width="15.85546875" customWidth="1"/>
    <col min="11020" max="11020" width="13.5703125" customWidth="1"/>
    <col min="11021" max="11021" width="17.85546875" customWidth="1"/>
    <col min="11022" max="11022" width="49.140625" customWidth="1"/>
    <col min="11023" max="11023" width="13.85546875" customWidth="1"/>
    <col min="11024" max="11024" width="11.5703125" customWidth="1"/>
    <col min="11025" max="11025" width="47" customWidth="1"/>
    <col min="11026" max="11026" width="28.85546875" customWidth="1"/>
    <col min="11265" max="11265" width="22.42578125" customWidth="1"/>
    <col min="11266" max="11266" width="12.140625" customWidth="1"/>
    <col min="11267" max="11267" width="45.5703125" customWidth="1"/>
    <col min="11268" max="11268" width="23.85546875" customWidth="1"/>
    <col min="11269" max="11269" width="12.85546875" customWidth="1"/>
    <col min="11270" max="11270" width="24.140625" customWidth="1"/>
    <col min="11271" max="11271" width="12.140625" customWidth="1"/>
    <col min="11272" max="11272" width="48.42578125" customWidth="1"/>
    <col min="11273" max="11273" width="15.42578125" customWidth="1"/>
    <col min="11274" max="11274" width="22" customWidth="1"/>
    <col min="11275" max="11275" width="15.85546875" customWidth="1"/>
    <col min="11276" max="11276" width="13.5703125" customWidth="1"/>
    <col min="11277" max="11277" width="17.85546875" customWidth="1"/>
    <col min="11278" max="11278" width="49.140625" customWidth="1"/>
    <col min="11279" max="11279" width="13.85546875" customWidth="1"/>
    <col min="11280" max="11280" width="11.5703125" customWidth="1"/>
    <col min="11281" max="11281" width="47" customWidth="1"/>
    <col min="11282" max="11282" width="28.85546875" customWidth="1"/>
    <col min="11521" max="11521" width="22.42578125" customWidth="1"/>
    <col min="11522" max="11522" width="12.140625" customWidth="1"/>
    <col min="11523" max="11523" width="45.5703125" customWidth="1"/>
    <col min="11524" max="11524" width="23.85546875" customWidth="1"/>
    <col min="11525" max="11525" width="12.85546875" customWidth="1"/>
    <col min="11526" max="11526" width="24.140625" customWidth="1"/>
    <col min="11527" max="11527" width="12.140625" customWidth="1"/>
    <col min="11528" max="11528" width="48.42578125" customWidth="1"/>
    <col min="11529" max="11529" width="15.42578125" customWidth="1"/>
    <col min="11530" max="11530" width="22" customWidth="1"/>
    <col min="11531" max="11531" width="15.85546875" customWidth="1"/>
    <col min="11532" max="11532" width="13.5703125" customWidth="1"/>
    <col min="11533" max="11533" width="17.85546875" customWidth="1"/>
    <col min="11534" max="11534" width="49.140625" customWidth="1"/>
    <col min="11535" max="11535" width="13.85546875" customWidth="1"/>
    <col min="11536" max="11536" width="11.5703125" customWidth="1"/>
    <col min="11537" max="11537" width="47" customWidth="1"/>
    <col min="11538" max="11538" width="28.85546875" customWidth="1"/>
    <col min="11777" max="11777" width="22.42578125" customWidth="1"/>
    <col min="11778" max="11778" width="12.140625" customWidth="1"/>
    <col min="11779" max="11779" width="45.5703125" customWidth="1"/>
    <col min="11780" max="11780" width="23.85546875" customWidth="1"/>
    <col min="11781" max="11781" width="12.85546875" customWidth="1"/>
    <col min="11782" max="11782" width="24.140625" customWidth="1"/>
    <col min="11783" max="11783" width="12.140625" customWidth="1"/>
    <col min="11784" max="11784" width="48.42578125" customWidth="1"/>
    <col min="11785" max="11785" width="15.42578125" customWidth="1"/>
    <col min="11786" max="11786" width="22" customWidth="1"/>
    <col min="11787" max="11787" width="15.85546875" customWidth="1"/>
    <col min="11788" max="11788" width="13.5703125" customWidth="1"/>
    <col min="11789" max="11789" width="17.85546875" customWidth="1"/>
    <col min="11790" max="11790" width="49.140625" customWidth="1"/>
    <col min="11791" max="11791" width="13.85546875" customWidth="1"/>
    <col min="11792" max="11792" width="11.5703125" customWidth="1"/>
    <col min="11793" max="11793" width="47" customWidth="1"/>
    <col min="11794" max="11794" width="28.85546875" customWidth="1"/>
    <col min="12033" max="12033" width="22.42578125" customWidth="1"/>
    <col min="12034" max="12034" width="12.140625" customWidth="1"/>
    <col min="12035" max="12035" width="45.5703125" customWidth="1"/>
    <col min="12036" max="12036" width="23.85546875" customWidth="1"/>
    <col min="12037" max="12037" width="12.85546875" customWidth="1"/>
    <col min="12038" max="12038" width="24.140625" customWidth="1"/>
    <col min="12039" max="12039" width="12.140625" customWidth="1"/>
    <col min="12040" max="12040" width="48.42578125" customWidth="1"/>
    <col min="12041" max="12041" width="15.42578125" customWidth="1"/>
    <col min="12042" max="12042" width="22" customWidth="1"/>
    <col min="12043" max="12043" width="15.85546875" customWidth="1"/>
    <col min="12044" max="12044" width="13.5703125" customWidth="1"/>
    <col min="12045" max="12045" width="17.85546875" customWidth="1"/>
    <col min="12046" max="12046" width="49.140625" customWidth="1"/>
    <col min="12047" max="12047" width="13.85546875" customWidth="1"/>
    <col min="12048" max="12048" width="11.5703125" customWidth="1"/>
    <col min="12049" max="12049" width="47" customWidth="1"/>
    <col min="12050" max="12050" width="28.85546875" customWidth="1"/>
    <col min="12289" max="12289" width="22.42578125" customWidth="1"/>
    <col min="12290" max="12290" width="12.140625" customWidth="1"/>
    <col min="12291" max="12291" width="45.5703125" customWidth="1"/>
    <col min="12292" max="12292" width="23.85546875" customWidth="1"/>
    <col min="12293" max="12293" width="12.85546875" customWidth="1"/>
    <col min="12294" max="12294" width="24.140625" customWidth="1"/>
    <col min="12295" max="12295" width="12.140625" customWidth="1"/>
    <col min="12296" max="12296" width="48.42578125" customWidth="1"/>
    <col min="12297" max="12297" width="15.42578125" customWidth="1"/>
    <col min="12298" max="12298" width="22" customWidth="1"/>
    <col min="12299" max="12299" width="15.85546875" customWidth="1"/>
    <col min="12300" max="12300" width="13.5703125" customWidth="1"/>
    <col min="12301" max="12301" width="17.85546875" customWidth="1"/>
    <col min="12302" max="12302" width="49.140625" customWidth="1"/>
    <col min="12303" max="12303" width="13.85546875" customWidth="1"/>
    <col min="12304" max="12304" width="11.5703125" customWidth="1"/>
    <col min="12305" max="12305" width="47" customWidth="1"/>
    <col min="12306" max="12306" width="28.85546875" customWidth="1"/>
    <col min="12545" max="12545" width="22.42578125" customWidth="1"/>
    <col min="12546" max="12546" width="12.140625" customWidth="1"/>
    <col min="12547" max="12547" width="45.5703125" customWidth="1"/>
    <col min="12548" max="12548" width="23.85546875" customWidth="1"/>
    <col min="12549" max="12549" width="12.85546875" customWidth="1"/>
    <col min="12550" max="12550" width="24.140625" customWidth="1"/>
    <col min="12551" max="12551" width="12.140625" customWidth="1"/>
    <col min="12552" max="12552" width="48.42578125" customWidth="1"/>
    <col min="12553" max="12553" width="15.42578125" customWidth="1"/>
    <col min="12554" max="12554" width="22" customWidth="1"/>
    <col min="12555" max="12555" width="15.85546875" customWidth="1"/>
    <col min="12556" max="12556" width="13.5703125" customWidth="1"/>
    <col min="12557" max="12557" width="17.85546875" customWidth="1"/>
    <col min="12558" max="12558" width="49.140625" customWidth="1"/>
    <col min="12559" max="12559" width="13.85546875" customWidth="1"/>
    <col min="12560" max="12560" width="11.5703125" customWidth="1"/>
    <col min="12561" max="12561" width="47" customWidth="1"/>
    <col min="12562" max="12562" width="28.85546875" customWidth="1"/>
    <col min="12801" max="12801" width="22.42578125" customWidth="1"/>
    <col min="12802" max="12802" width="12.140625" customWidth="1"/>
    <col min="12803" max="12803" width="45.5703125" customWidth="1"/>
    <col min="12804" max="12804" width="23.85546875" customWidth="1"/>
    <col min="12805" max="12805" width="12.85546875" customWidth="1"/>
    <col min="12806" max="12806" width="24.140625" customWidth="1"/>
    <col min="12807" max="12807" width="12.140625" customWidth="1"/>
    <col min="12808" max="12808" width="48.42578125" customWidth="1"/>
    <col min="12809" max="12809" width="15.42578125" customWidth="1"/>
    <col min="12810" max="12810" width="22" customWidth="1"/>
    <col min="12811" max="12811" width="15.85546875" customWidth="1"/>
    <col min="12812" max="12812" width="13.5703125" customWidth="1"/>
    <col min="12813" max="12813" width="17.85546875" customWidth="1"/>
    <col min="12814" max="12814" width="49.140625" customWidth="1"/>
    <col min="12815" max="12815" width="13.85546875" customWidth="1"/>
    <col min="12816" max="12816" width="11.5703125" customWidth="1"/>
    <col min="12817" max="12817" width="47" customWidth="1"/>
    <col min="12818" max="12818" width="28.85546875" customWidth="1"/>
    <col min="13057" max="13057" width="22.42578125" customWidth="1"/>
    <col min="13058" max="13058" width="12.140625" customWidth="1"/>
    <col min="13059" max="13059" width="45.5703125" customWidth="1"/>
    <col min="13060" max="13060" width="23.85546875" customWidth="1"/>
    <col min="13061" max="13061" width="12.85546875" customWidth="1"/>
    <col min="13062" max="13062" width="24.140625" customWidth="1"/>
    <col min="13063" max="13063" width="12.140625" customWidth="1"/>
    <col min="13064" max="13064" width="48.42578125" customWidth="1"/>
    <col min="13065" max="13065" width="15.42578125" customWidth="1"/>
    <col min="13066" max="13066" width="22" customWidth="1"/>
    <col min="13067" max="13067" width="15.85546875" customWidth="1"/>
    <col min="13068" max="13068" width="13.5703125" customWidth="1"/>
    <col min="13069" max="13069" width="17.85546875" customWidth="1"/>
    <col min="13070" max="13070" width="49.140625" customWidth="1"/>
    <col min="13071" max="13071" width="13.85546875" customWidth="1"/>
    <col min="13072" max="13072" width="11.5703125" customWidth="1"/>
    <col min="13073" max="13073" width="47" customWidth="1"/>
    <col min="13074" max="13074" width="28.85546875" customWidth="1"/>
    <col min="13313" max="13313" width="22.42578125" customWidth="1"/>
    <col min="13314" max="13314" width="12.140625" customWidth="1"/>
    <col min="13315" max="13315" width="45.5703125" customWidth="1"/>
    <col min="13316" max="13316" width="23.85546875" customWidth="1"/>
    <col min="13317" max="13317" width="12.85546875" customWidth="1"/>
    <col min="13318" max="13318" width="24.140625" customWidth="1"/>
    <col min="13319" max="13319" width="12.140625" customWidth="1"/>
    <col min="13320" max="13320" width="48.42578125" customWidth="1"/>
    <col min="13321" max="13321" width="15.42578125" customWidth="1"/>
    <col min="13322" max="13322" width="22" customWidth="1"/>
    <col min="13323" max="13323" width="15.85546875" customWidth="1"/>
    <col min="13324" max="13324" width="13.5703125" customWidth="1"/>
    <col min="13325" max="13325" width="17.85546875" customWidth="1"/>
    <col min="13326" max="13326" width="49.140625" customWidth="1"/>
    <col min="13327" max="13327" width="13.85546875" customWidth="1"/>
    <col min="13328" max="13328" width="11.5703125" customWidth="1"/>
    <col min="13329" max="13329" width="47" customWidth="1"/>
    <col min="13330" max="13330" width="28.85546875" customWidth="1"/>
    <col min="13569" max="13569" width="22.42578125" customWidth="1"/>
    <col min="13570" max="13570" width="12.140625" customWidth="1"/>
    <col min="13571" max="13571" width="45.5703125" customWidth="1"/>
    <col min="13572" max="13572" width="23.85546875" customWidth="1"/>
    <col min="13573" max="13573" width="12.85546875" customWidth="1"/>
    <col min="13574" max="13574" width="24.140625" customWidth="1"/>
    <col min="13575" max="13575" width="12.140625" customWidth="1"/>
    <col min="13576" max="13576" width="48.42578125" customWidth="1"/>
    <col min="13577" max="13577" width="15.42578125" customWidth="1"/>
    <col min="13578" max="13578" width="22" customWidth="1"/>
    <col min="13579" max="13579" width="15.85546875" customWidth="1"/>
    <col min="13580" max="13580" width="13.5703125" customWidth="1"/>
    <col min="13581" max="13581" width="17.85546875" customWidth="1"/>
    <col min="13582" max="13582" width="49.140625" customWidth="1"/>
    <col min="13583" max="13583" width="13.85546875" customWidth="1"/>
    <col min="13584" max="13584" width="11.5703125" customWidth="1"/>
    <col min="13585" max="13585" width="47" customWidth="1"/>
    <col min="13586" max="13586" width="28.85546875" customWidth="1"/>
    <col min="13825" max="13825" width="22.42578125" customWidth="1"/>
    <col min="13826" max="13826" width="12.140625" customWidth="1"/>
    <col min="13827" max="13827" width="45.5703125" customWidth="1"/>
    <col min="13828" max="13828" width="23.85546875" customWidth="1"/>
    <col min="13829" max="13829" width="12.85546875" customWidth="1"/>
    <col min="13830" max="13830" width="24.140625" customWidth="1"/>
    <col min="13831" max="13831" width="12.140625" customWidth="1"/>
    <col min="13832" max="13832" width="48.42578125" customWidth="1"/>
    <col min="13833" max="13833" width="15.42578125" customWidth="1"/>
    <col min="13834" max="13834" width="22" customWidth="1"/>
    <col min="13835" max="13835" width="15.85546875" customWidth="1"/>
    <col min="13836" max="13836" width="13.5703125" customWidth="1"/>
    <col min="13837" max="13837" width="17.85546875" customWidth="1"/>
    <col min="13838" max="13838" width="49.140625" customWidth="1"/>
    <col min="13839" max="13839" width="13.85546875" customWidth="1"/>
    <col min="13840" max="13840" width="11.5703125" customWidth="1"/>
    <col min="13841" max="13841" width="47" customWidth="1"/>
    <col min="13842" max="13842" width="28.85546875" customWidth="1"/>
    <col min="14081" max="14081" width="22.42578125" customWidth="1"/>
    <col min="14082" max="14082" width="12.140625" customWidth="1"/>
    <col min="14083" max="14083" width="45.5703125" customWidth="1"/>
    <col min="14084" max="14084" width="23.85546875" customWidth="1"/>
    <col min="14085" max="14085" width="12.85546875" customWidth="1"/>
    <col min="14086" max="14086" width="24.140625" customWidth="1"/>
    <col min="14087" max="14087" width="12.140625" customWidth="1"/>
    <col min="14088" max="14088" width="48.42578125" customWidth="1"/>
    <col min="14089" max="14089" width="15.42578125" customWidth="1"/>
    <col min="14090" max="14090" width="22" customWidth="1"/>
    <col min="14091" max="14091" width="15.85546875" customWidth="1"/>
    <col min="14092" max="14092" width="13.5703125" customWidth="1"/>
    <col min="14093" max="14093" width="17.85546875" customWidth="1"/>
    <col min="14094" max="14094" width="49.140625" customWidth="1"/>
    <col min="14095" max="14095" width="13.85546875" customWidth="1"/>
    <col min="14096" max="14096" width="11.5703125" customWidth="1"/>
    <col min="14097" max="14097" width="47" customWidth="1"/>
    <col min="14098" max="14098" width="28.85546875" customWidth="1"/>
    <col min="14337" max="14337" width="22.42578125" customWidth="1"/>
    <col min="14338" max="14338" width="12.140625" customWidth="1"/>
    <col min="14339" max="14339" width="45.5703125" customWidth="1"/>
    <col min="14340" max="14340" width="23.85546875" customWidth="1"/>
    <col min="14341" max="14341" width="12.85546875" customWidth="1"/>
    <col min="14342" max="14342" width="24.140625" customWidth="1"/>
    <col min="14343" max="14343" width="12.140625" customWidth="1"/>
    <col min="14344" max="14344" width="48.42578125" customWidth="1"/>
    <col min="14345" max="14345" width="15.42578125" customWidth="1"/>
    <col min="14346" max="14346" width="22" customWidth="1"/>
    <col min="14347" max="14347" width="15.85546875" customWidth="1"/>
    <col min="14348" max="14348" width="13.5703125" customWidth="1"/>
    <col min="14349" max="14349" width="17.85546875" customWidth="1"/>
    <col min="14350" max="14350" width="49.140625" customWidth="1"/>
    <col min="14351" max="14351" width="13.85546875" customWidth="1"/>
    <col min="14352" max="14352" width="11.5703125" customWidth="1"/>
    <col min="14353" max="14353" width="47" customWidth="1"/>
    <col min="14354" max="14354" width="28.85546875" customWidth="1"/>
    <col min="14593" max="14593" width="22.42578125" customWidth="1"/>
    <col min="14594" max="14594" width="12.140625" customWidth="1"/>
    <col min="14595" max="14595" width="45.5703125" customWidth="1"/>
    <col min="14596" max="14596" width="23.85546875" customWidth="1"/>
    <col min="14597" max="14597" width="12.85546875" customWidth="1"/>
    <col min="14598" max="14598" width="24.140625" customWidth="1"/>
    <col min="14599" max="14599" width="12.140625" customWidth="1"/>
    <col min="14600" max="14600" width="48.42578125" customWidth="1"/>
    <col min="14601" max="14601" width="15.42578125" customWidth="1"/>
    <col min="14602" max="14602" width="22" customWidth="1"/>
    <col min="14603" max="14603" width="15.85546875" customWidth="1"/>
    <col min="14604" max="14604" width="13.5703125" customWidth="1"/>
    <col min="14605" max="14605" width="17.85546875" customWidth="1"/>
    <col min="14606" max="14606" width="49.140625" customWidth="1"/>
    <col min="14607" max="14607" width="13.85546875" customWidth="1"/>
    <col min="14608" max="14608" width="11.5703125" customWidth="1"/>
    <col min="14609" max="14609" width="47" customWidth="1"/>
    <col min="14610" max="14610" width="28.85546875" customWidth="1"/>
    <col min="14849" max="14849" width="22.42578125" customWidth="1"/>
    <col min="14850" max="14850" width="12.140625" customWidth="1"/>
    <col min="14851" max="14851" width="45.5703125" customWidth="1"/>
    <col min="14852" max="14852" width="23.85546875" customWidth="1"/>
    <col min="14853" max="14853" width="12.85546875" customWidth="1"/>
    <col min="14854" max="14854" width="24.140625" customWidth="1"/>
    <col min="14855" max="14855" width="12.140625" customWidth="1"/>
    <col min="14856" max="14856" width="48.42578125" customWidth="1"/>
    <col min="14857" max="14857" width="15.42578125" customWidth="1"/>
    <col min="14858" max="14858" width="22" customWidth="1"/>
    <col min="14859" max="14859" width="15.85546875" customWidth="1"/>
    <col min="14860" max="14860" width="13.5703125" customWidth="1"/>
    <col min="14861" max="14861" width="17.85546875" customWidth="1"/>
    <col min="14862" max="14862" width="49.140625" customWidth="1"/>
    <col min="14863" max="14863" width="13.85546875" customWidth="1"/>
    <col min="14864" max="14864" width="11.5703125" customWidth="1"/>
    <col min="14865" max="14865" width="47" customWidth="1"/>
    <col min="14866" max="14866" width="28.85546875" customWidth="1"/>
    <col min="15105" max="15105" width="22.42578125" customWidth="1"/>
    <col min="15106" max="15106" width="12.140625" customWidth="1"/>
    <col min="15107" max="15107" width="45.5703125" customWidth="1"/>
    <col min="15108" max="15108" width="23.85546875" customWidth="1"/>
    <col min="15109" max="15109" width="12.85546875" customWidth="1"/>
    <col min="15110" max="15110" width="24.140625" customWidth="1"/>
    <col min="15111" max="15111" width="12.140625" customWidth="1"/>
    <col min="15112" max="15112" width="48.42578125" customWidth="1"/>
    <col min="15113" max="15113" width="15.42578125" customWidth="1"/>
    <col min="15114" max="15114" width="22" customWidth="1"/>
    <col min="15115" max="15115" width="15.85546875" customWidth="1"/>
    <col min="15116" max="15116" width="13.5703125" customWidth="1"/>
    <col min="15117" max="15117" width="17.85546875" customWidth="1"/>
    <col min="15118" max="15118" width="49.140625" customWidth="1"/>
    <col min="15119" max="15119" width="13.85546875" customWidth="1"/>
    <col min="15120" max="15120" width="11.5703125" customWidth="1"/>
    <col min="15121" max="15121" width="47" customWidth="1"/>
    <col min="15122" max="15122" width="28.85546875" customWidth="1"/>
    <col min="15361" max="15361" width="22.42578125" customWidth="1"/>
    <col min="15362" max="15362" width="12.140625" customWidth="1"/>
    <col min="15363" max="15363" width="45.5703125" customWidth="1"/>
    <col min="15364" max="15364" width="23.85546875" customWidth="1"/>
    <col min="15365" max="15365" width="12.85546875" customWidth="1"/>
    <col min="15366" max="15366" width="24.140625" customWidth="1"/>
    <col min="15367" max="15367" width="12.140625" customWidth="1"/>
    <col min="15368" max="15368" width="48.42578125" customWidth="1"/>
    <col min="15369" max="15369" width="15.42578125" customWidth="1"/>
    <col min="15370" max="15370" width="22" customWidth="1"/>
    <col min="15371" max="15371" width="15.85546875" customWidth="1"/>
    <col min="15372" max="15372" width="13.5703125" customWidth="1"/>
    <col min="15373" max="15373" width="17.85546875" customWidth="1"/>
    <col min="15374" max="15374" width="49.140625" customWidth="1"/>
    <col min="15375" max="15375" width="13.85546875" customWidth="1"/>
    <col min="15376" max="15376" width="11.5703125" customWidth="1"/>
    <col min="15377" max="15377" width="47" customWidth="1"/>
    <col min="15378" max="15378" width="28.85546875" customWidth="1"/>
    <col min="15617" max="15617" width="22.42578125" customWidth="1"/>
    <col min="15618" max="15618" width="12.140625" customWidth="1"/>
    <col min="15619" max="15619" width="45.5703125" customWidth="1"/>
    <col min="15620" max="15620" width="23.85546875" customWidth="1"/>
    <col min="15621" max="15621" width="12.85546875" customWidth="1"/>
    <col min="15622" max="15622" width="24.140625" customWidth="1"/>
    <col min="15623" max="15623" width="12.140625" customWidth="1"/>
    <col min="15624" max="15624" width="48.42578125" customWidth="1"/>
    <col min="15625" max="15625" width="15.42578125" customWidth="1"/>
    <col min="15626" max="15626" width="22" customWidth="1"/>
    <col min="15627" max="15627" width="15.85546875" customWidth="1"/>
    <col min="15628" max="15628" width="13.5703125" customWidth="1"/>
    <col min="15629" max="15629" width="17.85546875" customWidth="1"/>
    <col min="15630" max="15630" width="49.140625" customWidth="1"/>
    <col min="15631" max="15631" width="13.85546875" customWidth="1"/>
    <col min="15632" max="15632" width="11.5703125" customWidth="1"/>
    <col min="15633" max="15633" width="47" customWidth="1"/>
    <col min="15634" max="15634" width="28.85546875" customWidth="1"/>
    <col min="15873" max="15873" width="22.42578125" customWidth="1"/>
    <col min="15874" max="15874" width="12.140625" customWidth="1"/>
    <col min="15875" max="15875" width="45.5703125" customWidth="1"/>
    <col min="15876" max="15876" width="23.85546875" customWidth="1"/>
    <col min="15877" max="15877" width="12.85546875" customWidth="1"/>
    <col min="15878" max="15878" width="24.140625" customWidth="1"/>
    <col min="15879" max="15879" width="12.140625" customWidth="1"/>
    <col min="15880" max="15880" width="48.42578125" customWidth="1"/>
    <col min="15881" max="15881" width="15.42578125" customWidth="1"/>
    <col min="15882" max="15882" width="22" customWidth="1"/>
    <col min="15883" max="15883" width="15.85546875" customWidth="1"/>
    <col min="15884" max="15884" width="13.5703125" customWidth="1"/>
    <col min="15885" max="15885" width="17.85546875" customWidth="1"/>
    <col min="15886" max="15886" width="49.140625" customWidth="1"/>
    <col min="15887" max="15887" width="13.85546875" customWidth="1"/>
    <col min="15888" max="15888" width="11.5703125" customWidth="1"/>
    <col min="15889" max="15889" width="47" customWidth="1"/>
    <col min="15890" max="15890" width="28.85546875" customWidth="1"/>
    <col min="16129" max="16129" width="22.42578125" customWidth="1"/>
    <col min="16130" max="16130" width="12.140625" customWidth="1"/>
    <col min="16131" max="16131" width="45.5703125" customWidth="1"/>
    <col min="16132" max="16132" width="23.85546875" customWidth="1"/>
    <col min="16133" max="16133" width="12.85546875" customWidth="1"/>
    <col min="16134" max="16134" width="24.140625" customWidth="1"/>
    <col min="16135" max="16135" width="12.140625" customWidth="1"/>
    <col min="16136" max="16136" width="48.42578125" customWidth="1"/>
    <col min="16137" max="16137" width="15.42578125" customWidth="1"/>
    <col min="16138" max="16138" width="22" customWidth="1"/>
    <col min="16139" max="16139" width="15.85546875" customWidth="1"/>
    <col min="16140" max="16140" width="13.5703125" customWidth="1"/>
    <col min="16141" max="16141" width="17.85546875" customWidth="1"/>
    <col min="16142" max="16142" width="49.140625" customWidth="1"/>
    <col min="16143" max="16143" width="13.85546875" customWidth="1"/>
    <col min="16144" max="16144" width="11.5703125" customWidth="1"/>
    <col min="16145" max="16145" width="47" customWidth="1"/>
    <col min="16146" max="16146" width="28.85546875" customWidth="1"/>
  </cols>
  <sheetData>
    <row r="1" spans="1:45" x14ac:dyDescent="0.2">
      <c r="A1" s="396" t="s">
        <v>700</v>
      </c>
      <c r="B1" s="398" t="s">
        <v>864</v>
      </c>
    </row>
    <row r="2" spans="1:45" x14ac:dyDescent="0.2">
      <c r="A2" s="396" t="s">
        <v>706</v>
      </c>
      <c r="B2" s="398" t="s">
        <v>863</v>
      </c>
    </row>
    <row r="3" spans="1:45" x14ac:dyDescent="0.2">
      <c r="A3" s="396" t="s">
        <v>701</v>
      </c>
      <c r="B3" s="398" t="s">
        <v>1169</v>
      </c>
    </row>
    <row r="4" spans="1:45" x14ac:dyDescent="0.2">
      <c r="A4" s="396" t="s">
        <v>702</v>
      </c>
      <c r="B4" s="398" t="s">
        <v>703</v>
      </c>
    </row>
    <row r="5" spans="1:45" x14ac:dyDescent="0.2">
      <c r="A5" s="396" t="s">
        <v>250</v>
      </c>
      <c r="B5" s="398">
        <v>2025</v>
      </c>
    </row>
    <row r="6" spans="1:45" x14ac:dyDescent="0.2">
      <c r="A6" s="396" t="s">
        <v>704</v>
      </c>
      <c r="B6" s="398" t="s">
        <v>1167</v>
      </c>
    </row>
    <row r="7" spans="1:45" x14ac:dyDescent="0.2">
      <c r="A7" s="396" t="s">
        <v>705</v>
      </c>
      <c r="B7" s="398" t="s">
        <v>1168</v>
      </c>
    </row>
    <row r="8" spans="1:45" x14ac:dyDescent="0.2">
      <c r="A8" s="396" t="s">
        <v>709</v>
      </c>
      <c r="B8" s="398" t="s">
        <v>775</v>
      </c>
    </row>
    <row r="9" spans="1:45" x14ac:dyDescent="0.2">
      <c r="A9" s="343" t="s">
        <v>707</v>
      </c>
      <c r="B9" s="344">
        <v>45960</v>
      </c>
    </row>
    <row r="10" spans="1:45" s="342" customFormat="1" x14ac:dyDescent="0.2">
      <c r="A10" s="396" t="s">
        <v>698</v>
      </c>
      <c r="B10" s="324" t="e">
        <f>#REF!</f>
        <v>#REF!</v>
      </c>
      <c r="C10" s="397"/>
      <c r="D10" s="397"/>
      <c r="E10"/>
      <c r="F10" s="397"/>
      <c r="G10" s="397"/>
      <c r="H10" s="397"/>
      <c r="I10" s="397"/>
      <c r="J10"/>
      <c r="K10" s="397"/>
      <c r="L10" s="397"/>
      <c r="M10" s="397"/>
      <c r="N10" s="397"/>
      <c r="O10" s="397"/>
      <c r="P10" s="397"/>
      <c r="Q10" s="397"/>
      <c r="R10" s="397"/>
      <c r="S10" s="397"/>
      <c r="T10" s="397"/>
      <c r="U10" s="397"/>
      <c r="V10" s="397"/>
      <c r="W10"/>
      <c r="X10" s="397"/>
      <c r="Y10"/>
      <c r="Z10" s="397"/>
      <c r="AA10" s="397"/>
      <c r="AB10"/>
      <c r="AC10" s="397"/>
      <c r="AD10" s="397"/>
      <c r="AE10" s="397"/>
      <c r="AF10" s="397"/>
      <c r="AG10" s="397"/>
      <c r="AH10" s="397"/>
      <c r="AI10" s="397"/>
      <c r="AJ10" s="397"/>
      <c r="AK10" s="397"/>
      <c r="AL10" s="397"/>
      <c r="AM10" s="397"/>
      <c r="AN10"/>
      <c r="AO10" s="397"/>
      <c r="AP10" s="397"/>
      <c r="AQ10" s="397"/>
      <c r="AR10" s="397"/>
      <c r="AS10" s="397"/>
    </row>
    <row r="11" spans="1:45" s="342" customFormat="1" x14ac:dyDescent="0.2">
      <c r="A11" s="397"/>
      <c r="B11" s="397"/>
      <c r="C11" s="397"/>
      <c r="D11" s="397"/>
      <c r="E11"/>
      <c r="F11" s="397"/>
      <c r="G11" s="397"/>
      <c r="H11" s="397"/>
      <c r="I11" s="397"/>
      <c r="J11"/>
      <c r="K11" s="397"/>
      <c r="L11" s="397"/>
      <c r="M11" s="397"/>
      <c r="N11" s="397"/>
      <c r="O11" s="397"/>
      <c r="P11" s="397"/>
      <c r="Q11" s="397"/>
      <c r="R11" s="397"/>
      <c r="S11" s="397"/>
      <c r="T11" s="397"/>
      <c r="U11" s="397"/>
      <c r="V11" s="397"/>
      <c r="W11"/>
      <c r="X11" s="397"/>
      <c r="Y11"/>
      <c r="Z11" s="397"/>
      <c r="AA11" s="397"/>
      <c r="AB11"/>
      <c r="AC11" s="397"/>
      <c r="AD11" s="397"/>
      <c r="AE11" s="397"/>
      <c r="AF11" s="397"/>
      <c r="AG11" s="397"/>
      <c r="AH11" s="397"/>
      <c r="AI11" s="397"/>
      <c r="AJ11" s="397"/>
      <c r="AK11" s="397"/>
      <c r="AL11" s="397"/>
      <c r="AM11" s="397"/>
      <c r="AN11"/>
      <c r="AO11" s="397"/>
      <c r="AP11" s="397"/>
      <c r="AQ11" s="397"/>
      <c r="AR11" s="397"/>
      <c r="AS11" s="397"/>
    </row>
    <row r="12" spans="1:45" ht="13.5" thickBot="1" x14ac:dyDescent="0.25"/>
    <row r="13" spans="1:45" ht="25.5" x14ac:dyDescent="0.2">
      <c r="A13" s="400" t="s">
        <v>865</v>
      </c>
      <c r="B13" s="401" t="s">
        <v>866</v>
      </c>
      <c r="C13" s="401" t="s">
        <v>701</v>
      </c>
      <c r="D13" s="401" t="s">
        <v>867</v>
      </c>
      <c r="E13" s="401" t="s">
        <v>868</v>
      </c>
      <c r="F13" s="401" t="s">
        <v>869</v>
      </c>
      <c r="G13" s="401" t="s">
        <v>870</v>
      </c>
      <c r="H13" s="401" t="s">
        <v>180</v>
      </c>
      <c r="I13" s="401" t="s">
        <v>871</v>
      </c>
      <c r="J13" s="401" t="s">
        <v>702</v>
      </c>
      <c r="K13" s="401" t="s">
        <v>872</v>
      </c>
      <c r="L13" s="401" t="s">
        <v>708</v>
      </c>
      <c r="M13" s="401" t="s">
        <v>873</v>
      </c>
      <c r="N13" s="401" t="s">
        <v>874</v>
      </c>
      <c r="O13" s="401" t="s">
        <v>875</v>
      </c>
      <c r="P13" s="401" t="s">
        <v>876</v>
      </c>
      <c r="Q13" s="401" t="s">
        <v>877</v>
      </c>
      <c r="R13" s="401" t="s">
        <v>878</v>
      </c>
      <c r="S13" s="401" t="s">
        <v>716</v>
      </c>
      <c r="T13" s="401" t="s">
        <v>879</v>
      </c>
      <c r="U13" s="401" t="s">
        <v>880</v>
      </c>
      <c r="V13" s="401" t="s">
        <v>881</v>
      </c>
      <c r="W13" s="401" t="s">
        <v>882</v>
      </c>
      <c r="X13" s="401" t="s">
        <v>710</v>
      </c>
      <c r="Y13" s="401" t="s">
        <v>883</v>
      </c>
      <c r="Z13" s="401" t="s">
        <v>884</v>
      </c>
      <c r="AA13" s="401" t="s">
        <v>711</v>
      </c>
      <c r="AB13" s="401" t="s">
        <v>885</v>
      </c>
      <c r="AC13" s="401" t="s">
        <v>886</v>
      </c>
      <c r="AD13" s="401" t="s">
        <v>887</v>
      </c>
      <c r="AE13" s="401" t="s">
        <v>888</v>
      </c>
      <c r="AF13" s="401" t="s">
        <v>889</v>
      </c>
      <c r="AG13" s="401" t="s">
        <v>890</v>
      </c>
      <c r="AH13" s="401" t="s">
        <v>715</v>
      </c>
      <c r="AI13" s="401" t="s">
        <v>891</v>
      </c>
      <c r="AJ13" s="401" t="s">
        <v>892</v>
      </c>
      <c r="AK13" s="401" t="s">
        <v>713</v>
      </c>
      <c r="AL13" s="402" t="s">
        <v>893</v>
      </c>
      <c r="AM13" s="401" t="s">
        <v>894</v>
      </c>
      <c r="AN13" s="401" t="s">
        <v>714</v>
      </c>
      <c r="AO13" s="401" t="s">
        <v>712</v>
      </c>
      <c r="AP13" s="401" t="s">
        <v>895</v>
      </c>
      <c r="AQ13" s="401" t="s">
        <v>896</v>
      </c>
      <c r="AR13" s="401" t="s">
        <v>897</v>
      </c>
      <c r="AS13" s="403" t="s">
        <v>898</v>
      </c>
    </row>
    <row r="14" spans="1:45" x14ac:dyDescent="0.2">
      <c r="A14" s="404" t="s">
        <v>899</v>
      </c>
      <c r="B14" s="397" t="s">
        <v>900</v>
      </c>
      <c r="C14" s="397" t="s">
        <v>863</v>
      </c>
      <c r="D14" s="397" t="s">
        <v>901</v>
      </c>
      <c r="E14" s="397" t="s">
        <v>902</v>
      </c>
      <c r="F14" s="397" t="s">
        <v>719</v>
      </c>
      <c r="G14" s="405">
        <v>45474</v>
      </c>
      <c r="H14" s="397" t="s">
        <v>729</v>
      </c>
      <c r="I14" s="397" t="b">
        <v>0</v>
      </c>
      <c r="J14" s="397" t="s">
        <v>903</v>
      </c>
      <c r="L14" s="397" t="s">
        <v>749</v>
      </c>
      <c r="M14" s="397" t="s">
        <v>904</v>
      </c>
      <c r="N14" s="397">
        <v>980.55</v>
      </c>
      <c r="O14" s="397">
        <v>0</v>
      </c>
      <c r="P14" s="397" t="s">
        <v>905</v>
      </c>
      <c r="Q14" s="397">
        <v>980.55</v>
      </c>
      <c r="R14" s="397">
        <v>0</v>
      </c>
      <c r="S14" s="397">
        <v>980.55</v>
      </c>
      <c r="T14" s="397" t="s">
        <v>905</v>
      </c>
      <c r="U14" s="397" t="s">
        <v>906</v>
      </c>
      <c r="W14" s="397"/>
      <c r="X14" s="397" t="s">
        <v>805</v>
      </c>
      <c r="Y14" s="397"/>
      <c r="AA14" s="397" t="s">
        <v>907</v>
      </c>
      <c r="AB14" s="397"/>
      <c r="AH14" s="397" t="s">
        <v>908</v>
      </c>
      <c r="AK14" s="397" t="s">
        <v>747</v>
      </c>
      <c r="AL14" s="397" t="s">
        <v>86</v>
      </c>
      <c r="AM14" s="397" t="s">
        <v>909</v>
      </c>
      <c r="AN14" s="397"/>
      <c r="AQ14" s="397" t="s">
        <v>910</v>
      </c>
      <c r="AR14" s="397" t="s">
        <v>911</v>
      </c>
      <c r="AS14" s="406">
        <v>45476.08005196759</v>
      </c>
    </row>
    <row r="15" spans="1:45" x14ac:dyDescent="0.2">
      <c r="A15" s="404" t="s">
        <v>899</v>
      </c>
      <c r="B15" s="397" t="s">
        <v>900</v>
      </c>
      <c r="C15" s="397" t="s">
        <v>863</v>
      </c>
      <c r="D15" s="397" t="s">
        <v>901</v>
      </c>
      <c r="E15" s="397" t="s">
        <v>902</v>
      </c>
      <c r="F15" s="397" t="s">
        <v>719</v>
      </c>
      <c r="G15" s="405">
        <v>45474</v>
      </c>
      <c r="H15" s="397" t="s">
        <v>729</v>
      </c>
      <c r="I15" s="397" t="b">
        <v>0</v>
      </c>
      <c r="J15" s="397" t="s">
        <v>903</v>
      </c>
      <c r="L15" s="397" t="s">
        <v>749</v>
      </c>
      <c r="M15" s="397" t="s">
        <v>904</v>
      </c>
      <c r="N15" s="397">
        <v>54882.66</v>
      </c>
      <c r="O15" s="397">
        <v>0</v>
      </c>
      <c r="P15" s="397" t="s">
        <v>905</v>
      </c>
      <c r="Q15" s="397">
        <v>54882.66</v>
      </c>
      <c r="R15" s="397">
        <v>0</v>
      </c>
      <c r="S15" s="397">
        <v>54882.66</v>
      </c>
      <c r="T15" s="397" t="s">
        <v>905</v>
      </c>
      <c r="U15" s="397" t="s">
        <v>912</v>
      </c>
      <c r="W15" s="397"/>
      <c r="X15" s="397" t="s">
        <v>805</v>
      </c>
      <c r="Y15" s="397"/>
      <c r="AA15" s="397" t="s">
        <v>907</v>
      </c>
      <c r="AB15" s="397"/>
      <c r="AH15" s="397" t="s">
        <v>908</v>
      </c>
      <c r="AK15" s="397" t="s">
        <v>849</v>
      </c>
      <c r="AL15" s="397" t="s">
        <v>81</v>
      </c>
      <c r="AM15" s="397" t="s">
        <v>913</v>
      </c>
      <c r="AN15" s="397"/>
      <c r="AQ15" s="397" t="s">
        <v>910</v>
      </c>
      <c r="AR15" s="397" t="s">
        <v>911</v>
      </c>
      <c r="AS15" s="406">
        <v>45476.08005196759</v>
      </c>
    </row>
    <row r="16" spans="1:45" x14ac:dyDescent="0.2">
      <c r="A16" s="404" t="s">
        <v>899</v>
      </c>
      <c r="B16" s="397" t="s">
        <v>900</v>
      </c>
      <c r="C16" s="397" t="s">
        <v>863</v>
      </c>
      <c r="D16" s="397" t="s">
        <v>901</v>
      </c>
      <c r="E16" s="397" t="s">
        <v>902</v>
      </c>
      <c r="F16" s="397" t="s">
        <v>719</v>
      </c>
      <c r="G16" s="405">
        <v>45474</v>
      </c>
      <c r="H16" s="397" t="s">
        <v>729</v>
      </c>
      <c r="I16" s="397" t="b">
        <v>0</v>
      </c>
      <c r="J16" s="397" t="s">
        <v>903</v>
      </c>
      <c r="L16" s="397" t="s">
        <v>749</v>
      </c>
      <c r="M16" s="397" t="s">
        <v>904</v>
      </c>
      <c r="N16" s="397">
        <v>2253.48</v>
      </c>
      <c r="O16" s="397">
        <v>0</v>
      </c>
      <c r="P16" s="397" t="s">
        <v>905</v>
      </c>
      <c r="Q16" s="397">
        <v>2253.48</v>
      </c>
      <c r="R16" s="397">
        <v>0</v>
      </c>
      <c r="S16" s="397">
        <v>2253.48</v>
      </c>
      <c r="T16" s="397" t="s">
        <v>905</v>
      </c>
      <c r="U16" s="397" t="s">
        <v>914</v>
      </c>
      <c r="W16" s="397"/>
      <c r="X16" s="397" t="s">
        <v>805</v>
      </c>
      <c r="Y16" s="397"/>
      <c r="AA16" s="397" t="s">
        <v>907</v>
      </c>
      <c r="AB16" s="397"/>
      <c r="AH16" s="397" t="s">
        <v>908</v>
      </c>
      <c r="AK16" s="397" t="s">
        <v>849</v>
      </c>
      <c r="AL16" s="397" t="s">
        <v>81</v>
      </c>
      <c r="AM16" s="397" t="s">
        <v>913</v>
      </c>
      <c r="AN16" s="397"/>
      <c r="AQ16" s="397" t="s">
        <v>910</v>
      </c>
      <c r="AR16" s="397" t="s">
        <v>911</v>
      </c>
      <c r="AS16" s="406">
        <v>45476.08005196759</v>
      </c>
    </row>
    <row r="17" spans="1:45" x14ac:dyDescent="0.2">
      <c r="A17" s="404" t="s">
        <v>915</v>
      </c>
      <c r="B17" s="397" t="s">
        <v>916</v>
      </c>
      <c r="C17" s="397" t="s">
        <v>863</v>
      </c>
      <c r="D17" s="397" t="s">
        <v>901</v>
      </c>
      <c r="E17" s="397" t="s">
        <v>902</v>
      </c>
      <c r="F17" s="397" t="s">
        <v>719</v>
      </c>
      <c r="G17" s="405">
        <v>45474</v>
      </c>
      <c r="H17" s="397" t="s">
        <v>729</v>
      </c>
      <c r="I17" s="397" t="b">
        <v>0</v>
      </c>
      <c r="J17" s="397" t="s">
        <v>903</v>
      </c>
      <c r="L17" s="397" t="s">
        <v>749</v>
      </c>
      <c r="M17" s="397" t="s">
        <v>904</v>
      </c>
      <c r="N17" s="397">
        <v>227434.11</v>
      </c>
      <c r="O17" s="397">
        <v>0</v>
      </c>
      <c r="P17" s="397" t="s">
        <v>905</v>
      </c>
      <c r="Q17" s="397">
        <v>227434.11</v>
      </c>
      <c r="R17" s="397">
        <v>0</v>
      </c>
      <c r="S17" s="397">
        <v>227434.11</v>
      </c>
      <c r="T17" s="397" t="s">
        <v>905</v>
      </c>
      <c r="U17" s="397" t="s">
        <v>917</v>
      </c>
      <c r="W17" s="397"/>
      <c r="X17" s="397" t="s">
        <v>805</v>
      </c>
      <c r="Y17" s="397"/>
      <c r="AA17" s="397" t="s">
        <v>907</v>
      </c>
      <c r="AB17" s="397"/>
      <c r="AH17" s="397" t="s">
        <v>918</v>
      </c>
      <c r="AK17" s="397" t="s">
        <v>849</v>
      </c>
      <c r="AL17" s="397" t="s">
        <v>81</v>
      </c>
      <c r="AM17" s="397" t="s">
        <v>913</v>
      </c>
      <c r="AN17" s="397"/>
      <c r="AQ17" s="397" t="s">
        <v>910</v>
      </c>
      <c r="AR17" s="397" t="s">
        <v>911</v>
      </c>
      <c r="AS17" s="406">
        <v>45476.731668541666</v>
      </c>
    </row>
    <row r="18" spans="1:45" x14ac:dyDescent="0.2">
      <c r="A18" s="404" t="s">
        <v>915</v>
      </c>
      <c r="B18" s="397" t="s">
        <v>916</v>
      </c>
      <c r="C18" s="397" t="s">
        <v>863</v>
      </c>
      <c r="D18" s="397" t="s">
        <v>901</v>
      </c>
      <c r="E18" s="397" t="s">
        <v>902</v>
      </c>
      <c r="F18" s="397" t="s">
        <v>719</v>
      </c>
      <c r="G18" s="405">
        <v>45474</v>
      </c>
      <c r="H18" s="397" t="s">
        <v>729</v>
      </c>
      <c r="I18" s="397" t="b">
        <v>0</v>
      </c>
      <c r="J18" s="397" t="s">
        <v>903</v>
      </c>
      <c r="L18" s="397" t="s">
        <v>749</v>
      </c>
      <c r="M18" s="397" t="s">
        <v>904</v>
      </c>
      <c r="N18" s="397">
        <v>138884.42000000001</v>
      </c>
      <c r="O18" s="397">
        <v>0</v>
      </c>
      <c r="P18" s="397" t="s">
        <v>905</v>
      </c>
      <c r="Q18" s="397">
        <v>138884.42000000001</v>
      </c>
      <c r="R18" s="397">
        <v>0</v>
      </c>
      <c r="S18" s="397">
        <v>138884.42000000001</v>
      </c>
      <c r="T18" s="397" t="s">
        <v>905</v>
      </c>
      <c r="U18" s="397" t="s">
        <v>919</v>
      </c>
      <c r="W18" s="397"/>
      <c r="X18" s="397" t="s">
        <v>805</v>
      </c>
      <c r="Y18" s="397"/>
      <c r="AA18" s="397" t="s">
        <v>907</v>
      </c>
      <c r="AB18" s="397"/>
      <c r="AH18" s="397" t="s">
        <v>920</v>
      </c>
      <c r="AK18" s="397" t="s">
        <v>849</v>
      </c>
      <c r="AL18" s="397" t="s">
        <v>81</v>
      </c>
      <c r="AM18" s="397" t="s">
        <v>913</v>
      </c>
      <c r="AN18" s="397"/>
      <c r="AQ18" s="397" t="s">
        <v>910</v>
      </c>
      <c r="AR18" s="397" t="s">
        <v>911</v>
      </c>
      <c r="AS18" s="406">
        <v>45476.731668541666</v>
      </c>
    </row>
    <row r="19" spans="1:45" x14ac:dyDescent="0.2">
      <c r="A19" s="404" t="s">
        <v>921</v>
      </c>
      <c r="B19" s="397" t="s">
        <v>922</v>
      </c>
      <c r="C19" s="397" t="s">
        <v>863</v>
      </c>
      <c r="D19" s="397" t="s">
        <v>923</v>
      </c>
      <c r="E19" s="397" t="s">
        <v>902</v>
      </c>
      <c r="F19" s="397" t="s">
        <v>719</v>
      </c>
      <c r="G19" s="405">
        <v>45497</v>
      </c>
      <c r="H19" s="397" t="s">
        <v>729</v>
      </c>
      <c r="I19" s="397" t="b">
        <v>0</v>
      </c>
      <c r="J19" s="397" t="s">
        <v>903</v>
      </c>
      <c r="L19" s="397" t="s">
        <v>749</v>
      </c>
      <c r="M19" s="397" t="s">
        <v>904</v>
      </c>
      <c r="N19" s="397">
        <v>0</v>
      </c>
      <c r="O19" s="397">
        <v>780.7</v>
      </c>
      <c r="P19" s="397" t="s">
        <v>905</v>
      </c>
      <c r="Q19" s="397">
        <v>0</v>
      </c>
      <c r="R19" s="397">
        <v>780.7</v>
      </c>
      <c r="S19" s="397">
        <v>-780.7</v>
      </c>
      <c r="T19" s="397" t="s">
        <v>905</v>
      </c>
      <c r="U19" s="397" t="s">
        <v>924</v>
      </c>
      <c r="W19" s="397"/>
      <c r="X19" s="397" t="s">
        <v>805</v>
      </c>
      <c r="Y19" s="397"/>
      <c r="AA19" s="397" t="s">
        <v>907</v>
      </c>
      <c r="AB19" s="397"/>
      <c r="AH19" s="397" t="s">
        <v>925</v>
      </c>
      <c r="AK19" s="397" t="s">
        <v>849</v>
      </c>
      <c r="AL19" s="397" t="s">
        <v>81</v>
      </c>
      <c r="AM19" s="397" t="s">
        <v>913</v>
      </c>
      <c r="AN19" s="397"/>
      <c r="AQ19" s="397" t="s">
        <v>910</v>
      </c>
      <c r="AR19" s="397" t="s">
        <v>911</v>
      </c>
      <c r="AS19" s="406">
        <v>45504.402489826389</v>
      </c>
    </row>
    <row r="20" spans="1:45" x14ac:dyDescent="0.2">
      <c r="A20" s="404" t="s">
        <v>921</v>
      </c>
      <c r="B20" s="397" t="s">
        <v>922</v>
      </c>
      <c r="C20" s="397" t="s">
        <v>863</v>
      </c>
      <c r="D20" s="397" t="s">
        <v>923</v>
      </c>
      <c r="E20" s="397" t="s">
        <v>902</v>
      </c>
      <c r="F20" s="397" t="s">
        <v>719</v>
      </c>
      <c r="G20" s="405">
        <v>45497</v>
      </c>
      <c r="H20" s="397" t="s">
        <v>729</v>
      </c>
      <c r="I20" s="397" t="b">
        <v>0</v>
      </c>
      <c r="J20" s="397" t="s">
        <v>903</v>
      </c>
      <c r="L20" s="397" t="s">
        <v>749</v>
      </c>
      <c r="M20" s="397" t="s">
        <v>904</v>
      </c>
      <c r="N20" s="397">
        <v>0</v>
      </c>
      <c r="O20" s="397">
        <v>221278.92</v>
      </c>
      <c r="P20" s="397" t="s">
        <v>905</v>
      </c>
      <c r="Q20" s="397">
        <v>0</v>
      </c>
      <c r="R20" s="397">
        <v>221278.92</v>
      </c>
      <c r="S20" s="397">
        <v>-221278.92</v>
      </c>
      <c r="T20" s="397" t="s">
        <v>905</v>
      </c>
      <c r="U20" s="397" t="s">
        <v>917</v>
      </c>
      <c r="W20" s="397"/>
      <c r="X20" s="397" t="s">
        <v>805</v>
      </c>
      <c r="Y20" s="397"/>
      <c r="AA20" s="397" t="s">
        <v>907</v>
      </c>
      <c r="AB20" s="397"/>
      <c r="AH20" s="397" t="s">
        <v>918</v>
      </c>
      <c r="AK20" s="397" t="s">
        <v>849</v>
      </c>
      <c r="AL20" s="397" t="s">
        <v>81</v>
      </c>
      <c r="AM20" s="397" t="s">
        <v>913</v>
      </c>
      <c r="AN20" s="397"/>
      <c r="AQ20" s="397" t="s">
        <v>910</v>
      </c>
      <c r="AR20" s="397" t="s">
        <v>911</v>
      </c>
      <c r="AS20" s="406">
        <v>45504.402489826389</v>
      </c>
    </row>
    <row r="21" spans="1:45" x14ac:dyDescent="0.2">
      <c r="A21" s="404" t="s">
        <v>921</v>
      </c>
      <c r="B21" s="397" t="s">
        <v>922</v>
      </c>
      <c r="C21" s="397" t="s">
        <v>863</v>
      </c>
      <c r="D21" s="397" t="s">
        <v>923</v>
      </c>
      <c r="E21" s="397" t="s">
        <v>902</v>
      </c>
      <c r="F21" s="397" t="s">
        <v>719</v>
      </c>
      <c r="G21" s="405">
        <v>45497</v>
      </c>
      <c r="H21" s="397" t="s">
        <v>729</v>
      </c>
      <c r="I21" s="397" t="b">
        <v>0</v>
      </c>
      <c r="J21" s="397" t="s">
        <v>903</v>
      </c>
      <c r="L21" s="397" t="s">
        <v>749</v>
      </c>
      <c r="M21" s="397" t="s">
        <v>904</v>
      </c>
      <c r="N21" s="397">
        <v>0</v>
      </c>
      <c r="O21" s="397">
        <v>142876.54</v>
      </c>
      <c r="P21" s="397" t="s">
        <v>905</v>
      </c>
      <c r="Q21" s="397">
        <v>0</v>
      </c>
      <c r="R21" s="397">
        <v>142876.54</v>
      </c>
      <c r="S21" s="397">
        <v>-142876.54</v>
      </c>
      <c r="T21" s="397" t="s">
        <v>905</v>
      </c>
      <c r="U21" s="397" t="s">
        <v>919</v>
      </c>
      <c r="W21" s="397"/>
      <c r="X21" s="397" t="s">
        <v>805</v>
      </c>
      <c r="Y21" s="397"/>
      <c r="AA21" s="397" t="s">
        <v>907</v>
      </c>
      <c r="AB21" s="397"/>
      <c r="AH21" s="397" t="s">
        <v>920</v>
      </c>
      <c r="AK21" s="397" t="s">
        <v>849</v>
      </c>
      <c r="AL21" s="397" t="s">
        <v>81</v>
      </c>
      <c r="AM21" s="397" t="s">
        <v>913</v>
      </c>
      <c r="AN21" s="397"/>
      <c r="AQ21" s="397" t="s">
        <v>910</v>
      </c>
      <c r="AR21" s="397" t="s">
        <v>911</v>
      </c>
      <c r="AS21" s="406">
        <v>45504.402489826389</v>
      </c>
    </row>
    <row r="22" spans="1:45" x14ac:dyDescent="0.2">
      <c r="A22" s="404" t="s">
        <v>926</v>
      </c>
      <c r="B22" s="397" t="s">
        <v>927</v>
      </c>
      <c r="C22" s="397" t="s">
        <v>863</v>
      </c>
      <c r="D22" s="397" t="s">
        <v>901</v>
      </c>
      <c r="E22" s="397" t="s">
        <v>902</v>
      </c>
      <c r="F22" s="397" t="s">
        <v>719</v>
      </c>
      <c r="G22" s="405">
        <v>45499</v>
      </c>
      <c r="H22" s="397" t="s">
        <v>729</v>
      </c>
      <c r="I22" s="397" t="b">
        <v>0</v>
      </c>
      <c r="J22" s="397" t="s">
        <v>903</v>
      </c>
      <c r="L22" s="397" t="s">
        <v>749</v>
      </c>
      <c r="M22" s="397" t="s">
        <v>904</v>
      </c>
      <c r="N22" s="397">
        <v>0</v>
      </c>
      <c r="O22" s="397">
        <v>54882.66</v>
      </c>
      <c r="P22" s="397" t="s">
        <v>905</v>
      </c>
      <c r="Q22" s="397">
        <v>0</v>
      </c>
      <c r="R22" s="397">
        <v>54882.66</v>
      </c>
      <c r="S22" s="397">
        <v>-54882.66</v>
      </c>
      <c r="T22" s="397" t="s">
        <v>905</v>
      </c>
      <c r="U22" s="397" t="s">
        <v>912</v>
      </c>
      <c r="W22" s="397"/>
      <c r="X22" s="397" t="s">
        <v>805</v>
      </c>
      <c r="Y22" s="397"/>
      <c r="AA22" s="397" t="s">
        <v>907</v>
      </c>
      <c r="AB22" s="397"/>
      <c r="AH22" s="397" t="s">
        <v>908</v>
      </c>
      <c r="AK22" s="397" t="s">
        <v>849</v>
      </c>
      <c r="AL22" s="397" t="s">
        <v>81</v>
      </c>
      <c r="AM22" s="397" t="s">
        <v>913</v>
      </c>
      <c r="AN22" s="397"/>
      <c r="AQ22" s="397" t="s">
        <v>910</v>
      </c>
      <c r="AR22" s="397" t="s">
        <v>911</v>
      </c>
      <c r="AS22" s="406">
        <v>45504.68722295139</v>
      </c>
    </row>
    <row r="23" spans="1:45" x14ac:dyDescent="0.2">
      <c r="A23" s="404" t="s">
        <v>926</v>
      </c>
      <c r="B23" s="397" t="s">
        <v>927</v>
      </c>
      <c r="C23" s="397" t="s">
        <v>863</v>
      </c>
      <c r="D23" s="397" t="s">
        <v>901</v>
      </c>
      <c r="E23" s="397" t="s">
        <v>902</v>
      </c>
      <c r="F23" s="397" t="s">
        <v>719</v>
      </c>
      <c r="G23" s="405">
        <v>45499</v>
      </c>
      <c r="H23" s="397" t="s">
        <v>729</v>
      </c>
      <c r="I23" s="397" t="b">
        <v>0</v>
      </c>
      <c r="J23" s="397" t="s">
        <v>903</v>
      </c>
      <c r="L23" s="397" t="s">
        <v>749</v>
      </c>
      <c r="M23" s="397" t="s">
        <v>904</v>
      </c>
      <c r="N23" s="397">
        <v>0</v>
      </c>
      <c r="O23" s="397">
        <v>3776.9</v>
      </c>
      <c r="P23" s="397" t="s">
        <v>905</v>
      </c>
      <c r="Q23" s="397">
        <v>0</v>
      </c>
      <c r="R23" s="397">
        <v>3776.9</v>
      </c>
      <c r="S23" s="397">
        <v>-3776.9</v>
      </c>
      <c r="T23" s="397" t="s">
        <v>905</v>
      </c>
      <c r="U23" s="397" t="s">
        <v>914</v>
      </c>
      <c r="W23" s="397"/>
      <c r="X23" s="397" t="s">
        <v>805</v>
      </c>
      <c r="Y23" s="397"/>
      <c r="AA23" s="397" t="s">
        <v>907</v>
      </c>
      <c r="AB23" s="397"/>
      <c r="AH23" s="397" t="s">
        <v>908</v>
      </c>
      <c r="AK23" s="397" t="s">
        <v>849</v>
      </c>
      <c r="AL23" s="397" t="s">
        <v>81</v>
      </c>
      <c r="AM23" s="397" t="s">
        <v>913</v>
      </c>
      <c r="AN23" s="397"/>
      <c r="AQ23" s="397" t="s">
        <v>910</v>
      </c>
      <c r="AR23" s="397" t="s">
        <v>911</v>
      </c>
      <c r="AS23" s="406">
        <v>45504.68722295139</v>
      </c>
    </row>
    <row r="24" spans="1:45" x14ac:dyDescent="0.2">
      <c r="A24" s="404" t="s">
        <v>926</v>
      </c>
      <c r="B24" s="397" t="s">
        <v>927</v>
      </c>
      <c r="C24" s="397" t="s">
        <v>863</v>
      </c>
      <c r="D24" s="397" t="s">
        <v>901</v>
      </c>
      <c r="E24" s="397" t="s">
        <v>902</v>
      </c>
      <c r="F24" s="397" t="s">
        <v>719</v>
      </c>
      <c r="G24" s="405">
        <v>45499</v>
      </c>
      <c r="H24" s="397" t="s">
        <v>729</v>
      </c>
      <c r="I24" s="397" t="b">
        <v>0</v>
      </c>
      <c r="J24" s="397" t="s">
        <v>903</v>
      </c>
      <c r="L24" s="397" t="s">
        <v>749</v>
      </c>
      <c r="M24" s="397" t="s">
        <v>904</v>
      </c>
      <c r="N24" s="397">
        <v>0</v>
      </c>
      <c r="O24" s="397">
        <v>980.55</v>
      </c>
      <c r="P24" s="397" t="s">
        <v>905</v>
      </c>
      <c r="Q24" s="397">
        <v>0</v>
      </c>
      <c r="R24" s="397">
        <v>980.55</v>
      </c>
      <c r="S24" s="397">
        <v>-980.55</v>
      </c>
      <c r="T24" s="397" t="s">
        <v>905</v>
      </c>
      <c r="U24" s="397" t="s">
        <v>906</v>
      </c>
      <c r="W24" s="397"/>
      <c r="X24" s="397" t="s">
        <v>805</v>
      </c>
      <c r="Y24" s="397"/>
      <c r="AA24" s="397" t="s">
        <v>907</v>
      </c>
      <c r="AB24" s="397"/>
      <c r="AH24" s="397" t="s">
        <v>908</v>
      </c>
      <c r="AK24" s="397" t="s">
        <v>747</v>
      </c>
      <c r="AL24" s="397" t="s">
        <v>86</v>
      </c>
      <c r="AM24" s="397" t="s">
        <v>909</v>
      </c>
      <c r="AN24" s="397"/>
      <c r="AQ24" s="397" t="s">
        <v>910</v>
      </c>
      <c r="AR24" s="397" t="s">
        <v>911</v>
      </c>
      <c r="AS24" s="406">
        <v>45504.68722295139</v>
      </c>
    </row>
    <row r="25" spans="1:45" x14ac:dyDescent="0.2">
      <c r="A25" s="404" t="s">
        <v>928</v>
      </c>
      <c r="B25" s="397" t="s">
        <v>929</v>
      </c>
      <c r="C25" s="397" t="s">
        <v>863</v>
      </c>
      <c r="D25" s="397" t="s">
        <v>901</v>
      </c>
      <c r="E25" s="397" t="s">
        <v>902</v>
      </c>
      <c r="F25" s="397" t="s">
        <v>719</v>
      </c>
      <c r="G25" s="405">
        <v>45504</v>
      </c>
      <c r="H25" s="397" t="s">
        <v>729</v>
      </c>
      <c r="I25" s="397" t="b">
        <v>1</v>
      </c>
      <c r="J25" s="397" t="s">
        <v>903</v>
      </c>
      <c r="L25" s="397" t="s">
        <v>749</v>
      </c>
      <c r="M25" s="397" t="s">
        <v>904</v>
      </c>
      <c r="N25" s="397">
        <v>0</v>
      </c>
      <c r="O25" s="397">
        <v>51080.79</v>
      </c>
      <c r="P25" s="397" t="s">
        <v>905</v>
      </c>
      <c r="Q25" s="397">
        <v>0</v>
      </c>
      <c r="R25" s="397">
        <v>51080.79</v>
      </c>
      <c r="S25" s="397">
        <v>-51080.79</v>
      </c>
      <c r="T25" s="397" t="s">
        <v>905</v>
      </c>
      <c r="U25" s="397" t="s">
        <v>930</v>
      </c>
      <c r="W25" s="397"/>
      <c r="X25" s="397" t="s">
        <v>805</v>
      </c>
      <c r="Y25" s="397"/>
      <c r="AA25" s="397" t="s">
        <v>907</v>
      </c>
      <c r="AB25" s="397"/>
      <c r="AH25" s="397" t="s">
        <v>908</v>
      </c>
      <c r="AK25" s="397" t="s">
        <v>849</v>
      </c>
      <c r="AL25" s="397" t="s">
        <v>81</v>
      </c>
      <c r="AM25" s="397" t="s">
        <v>913</v>
      </c>
      <c r="AN25" s="397"/>
      <c r="AQ25" s="397" t="s">
        <v>910</v>
      </c>
      <c r="AR25" s="397" t="s">
        <v>911</v>
      </c>
      <c r="AS25" s="406">
        <v>45509.691764745374</v>
      </c>
    </row>
    <row r="26" spans="1:45" x14ac:dyDescent="0.2">
      <c r="A26" s="404" t="s">
        <v>928</v>
      </c>
      <c r="B26" s="397" t="s">
        <v>929</v>
      </c>
      <c r="C26" s="397" t="s">
        <v>863</v>
      </c>
      <c r="D26" s="397" t="s">
        <v>901</v>
      </c>
      <c r="E26" s="397" t="s">
        <v>902</v>
      </c>
      <c r="F26" s="397" t="s">
        <v>719</v>
      </c>
      <c r="G26" s="405">
        <v>45504</v>
      </c>
      <c r="H26" s="397" t="s">
        <v>729</v>
      </c>
      <c r="I26" s="397" t="b">
        <v>1</v>
      </c>
      <c r="J26" s="397" t="s">
        <v>903</v>
      </c>
      <c r="L26" s="397" t="s">
        <v>749</v>
      </c>
      <c r="M26" s="397" t="s">
        <v>904</v>
      </c>
      <c r="N26" s="397">
        <v>0</v>
      </c>
      <c r="O26" s="397">
        <v>2337.9499999999998</v>
      </c>
      <c r="P26" s="397" t="s">
        <v>905</v>
      </c>
      <c r="Q26" s="397">
        <v>0</v>
      </c>
      <c r="R26" s="397">
        <v>2337.9499999999998</v>
      </c>
      <c r="S26" s="397">
        <v>-2337.9499999999998</v>
      </c>
      <c r="T26" s="397" t="s">
        <v>905</v>
      </c>
      <c r="U26" s="397" t="s">
        <v>931</v>
      </c>
      <c r="W26" s="397"/>
      <c r="X26" s="397" t="s">
        <v>805</v>
      </c>
      <c r="Y26" s="397"/>
      <c r="AA26" s="397" t="s">
        <v>907</v>
      </c>
      <c r="AB26" s="397"/>
      <c r="AH26" s="397" t="s">
        <v>908</v>
      </c>
      <c r="AK26" s="397" t="s">
        <v>849</v>
      </c>
      <c r="AL26" s="397" t="s">
        <v>81</v>
      </c>
      <c r="AM26" s="397" t="s">
        <v>913</v>
      </c>
      <c r="AN26" s="397"/>
      <c r="AQ26" s="397" t="s">
        <v>910</v>
      </c>
      <c r="AR26" s="397" t="s">
        <v>911</v>
      </c>
      <c r="AS26" s="406">
        <v>45509.691764745374</v>
      </c>
    </row>
    <row r="27" spans="1:45" x14ac:dyDescent="0.2">
      <c r="A27" s="404" t="s">
        <v>928</v>
      </c>
      <c r="B27" s="397" t="s">
        <v>929</v>
      </c>
      <c r="C27" s="397" t="s">
        <v>863</v>
      </c>
      <c r="D27" s="397" t="s">
        <v>901</v>
      </c>
      <c r="E27" s="397" t="s">
        <v>902</v>
      </c>
      <c r="F27" s="397" t="s">
        <v>719</v>
      </c>
      <c r="G27" s="405">
        <v>45504</v>
      </c>
      <c r="H27" s="397" t="s">
        <v>729</v>
      </c>
      <c r="I27" s="397" t="b">
        <v>1</v>
      </c>
      <c r="J27" s="397" t="s">
        <v>903</v>
      </c>
      <c r="L27" s="397" t="s">
        <v>749</v>
      </c>
      <c r="M27" s="397" t="s">
        <v>904</v>
      </c>
      <c r="N27" s="397">
        <v>0</v>
      </c>
      <c r="O27" s="397">
        <v>990.54</v>
      </c>
      <c r="P27" s="397" t="s">
        <v>905</v>
      </c>
      <c r="Q27" s="397">
        <v>0</v>
      </c>
      <c r="R27" s="397">
        <v>990.54</v>
      </c>
      <c r="S27" s="397">
        <v>-990.54</v>
      </c>
      <c r="T27" s="397" t="s">
        <v>905</v>
      </c>
      <c r="U27" s="397" t="s">
        <v>932</v>
      </c>
      <c r="W27" s="397"/>
      <c r="X27" s="397" t="s">
        <v>805</v>
      </c>
      <c r="Y27" s="397"/>
      <c r="AA27" s="397" t="s">
        <v>907</v>
      </c>
      <c r="AB27" s="397"/>
      <c r="AH27" s="397" t="s">
        <v>908</v>
      </c>
      <c r="AK27" s="397" t="s">
        <v>747</v>
      </c>
      <c r="AL27" s="397" t="s">
        <v>86</v>
      </c>
      <c r="AM27" s="397" t="s">
        <v>909</v>
      </c>
      <c r="AN27" s="397"/>
      <c r="AQ27" s="397" t="s">
        <v>910</v>
      </c>
      <c r="AR27" s="397" t="s">
        <v>911</v>
      </c>
      <c r="AS27" s="406">
        <v>45509.691764745374</v>
      </c>
    </row>
    <row r="28" spans="1:45" x14ac:dyDescent="0.2">
      <c r="A28" s="404" t="s">
        <v>933</v>
      </c>
      <c r="B28" s="397" t="s">
        <v>934</v>
      </c>
      <c r="C28" s="397" t="s">
        <v>863</v>
      </c>
      <c r="D28" s="397" t="s">
        <v>901</v>
      </c>
      <c r="E28" s="397" t="s">
        <v>902</v>
      </c>
      <c r="F28" s="397" t="s">
        <v>720</v>
      </c>
      <c r="G28" s="405">
        <v>45505</v>
      </c>
      <c r="H28" s="397" t="s">
        <v>729</v>
      </c>
      <c r="I28" s="397" t="b">
        <v>0</v>
      </c>
      <c r="J28" s="397" t="s">
        <v>903</v>
      </c>
      <c r="L28" s="397" t="s">
        <v>749</v>
      </c>
      <c r="M28" s="397" t="s">
        <v>904</v>
      </c>
      <c r="N28" s="397">
        <v>51080.79</v>
      </c>
      <c r="O28" s="397">
        <v>0</v>
      </c>
      <c r="P28" s="397" t="s">
        <v>905</v>
      </c>
      <c r="Q28" s="397">
        <v>51080.79</v>
      </c>
      <c r="R28" s="397">
        <v>0</v>
      </c>
      <c r="S28" s="397">
        <v>51080.79</v>
      </c>
      <c r="T28" s="397" t="s">
        <v>905</v>
      </c>
      <c r="U28" s="397" t="s">
        <v>930</v>
      </c>
      <c r="W28" s="397"/>
      <c r="X28" s="397" t="s">
        <v>805</v>
      </c>
      <c r="Y28" s="397"/>
      <c r="AA28" s="397" t="s">
        <v>907</v>
      </c>
      <c r="AB28" s="397"/>
      <c r="AH28" s="397" t="s">
        <v>908</v>
      </c>
      <c r="AK28" s="397" t="s">
        <v>849</v>
      </c>
      <c r="AL28" s="397" t="s">
        <v>81</v>
      </c>
      <c r="AM28" s="397" t="s">
        <v>913</v>
      </c>
      <c r="AN28" s="397"/>
      <c r="AQ28" s="397" t="s">
        <v>910</v>
      </c>
      <c r="AR28" s="397" t="s">
        <v>911</v>
      </c>
      <c r="AS28" s="406">
        <v>45509.692050717589</v>
      </c>
    </row>
    <row r="29" spans="1:45" x14ac:dyDescent="0.2">
      <c r="A29" s="404" t="s">
        <v>933</v>
      </c>
      <c r="B29" s="397" t="s">
        <v>934</v>
      </c>
      <c r="C29" s="397" t="s">
        <v>863</v>
      </c>
      <c r="D29" s="397" t="s">
        <v>901</v>
      </c>
      <c r="E29" s="397" t="s">
        <v>902</v>
      </c>
      <c r="F29" s="397" t="s">
        <v>720</v>
      </c>
      <c r="G29" s="405">
        <v>45505</v>
      </c>
      <c r="H29" s="397" t="s">
        <v>729</v>
      </c>
      <c r="I29" s="397" t="b">
        <v>0</v>
      </c>
      <c r="J29" s="397" t="s">
        <v>903</v>
      </c>
      <c r="L29" s="397" t="s">
        <v>749</v>
      </c>
      <c r="M29" s="397" t="s">
        <v>904</v>
      </c>
      <c r="N29" s="397">
        <v>2337.9499999999998</v>
      </c>
      <c r="O29" s="397">
        <v>0</v>
      </c>
      <c r="P29" s="397" t="s">
        <v>905</v>
      </c>
      <c r="Q29" s="397">
        <v>2337.9499999999998</v>
      </c>
      <c r="R29" s="397">
        <v>0</v>
      </c>
      <c r="S29" s="397">
        <v>2337.9499999999998</v>
      </c>
      <c r="T29" s="397" t="s">
        <v>905</v>
      </c>
      <c r="U29" s="397" t="s">
        <v>931</v>
      </c>
      <c r="W29" s="397"/>
      <c r="X29" s="397" t="s">
        <v>805</v>
      </c>
      <c r="Y29" s="397"/>
      <c r="AA29" s="397" t="s">
        <v>907</v>
      </c>
      <c r="AB29" s="397"/>
      <c r="AH29" s="397" t="s">
        <v>908</v>
      </c>
      <c r="AK29" s="397" t="s">
        <v>849</v>
      </c>
      <c r="AL29" s="397" t="s">
        <v>81</v>
      </c>
      <c r="AM29" s="397" t="s">
        <v>913</v>
      </c>
      <c r="AN29" s="397"/>
      <c r="AQ29" s="397" t="s">
        <v>910</v>
      </c>
      <c r="AR29" s="397" t="s">
        <v>911</v>
      </c>
      <c r="AS29" s="406">
        <v>45509.692050717589</v>
      </c>
    </row>
    <row r="30" spans="1:45" x14ac:dyDescent="0.2">
      <c r="A30" s="404" t="s">
        <v>933</v>
      </c>
      <c r="B30" s="397" t="s">
        <v>934</v>
      </c>
      <c r="C30" s="397" t="s">
        <v>863</v>
      </c>
      <c r="D30" s="397" t="s">
        <v>901</v>
      </c>
      <c r="E30" s="397" t="s">
        <v>902</v>
      </c>
      <c r="F30" s="397" t="s">
        <v>720</v>
      </c>
      <c r="G30" s="405">
        <v>45505</v>
      </c>
      <c r="H30" s="397" t="s">
        <v>729</v>
      </c>
      <c r="I30" s="397" t="b">
        <v>0</v>
      </c>
      <c r="J30" s="397" t="s">
        <v>903</v>
      </c>
      <c r="L30" s="397" t="s">
        <v>749</v>
      </c>
      <c r="M30" s="397" t="s">
        <v>904</v>
      </c>
      <c r="N30" s="397">
        <v>990.54</v>
      </c>
      <c r="O30" s="397">
        <v>0</v>
      </c>
      <c r="P30" s="397" t="s">
        <v>905</v>
      </c>
      <c r="Q30" s="397">
        <v>990.54</v>
      </c>
      <c r="R30" s="397">
        <v>0</v>
      </c>
      <c r="S30" s="397">
        <v>990.54</v>
      </c>
      <c r="T30" s="397" t="s">
        <v>905</v>
      </c>
      <c r="U30" s="397" t="s">
        <v>932</v>
      </c>
      <c r="W30" s="397"/>
      <c r="X30" s="397" t="s">
        <v>805</v>
      </c>
      <c r="Y30" s="397"/>
      <c r="AA30" s="397" t="s">
        <v>907</v>
      </c>
      <c r="AB30" s="397"/>
      <c r="AH30" s="397" t="s">
        <v>908</v>
      </c>
      <c r="AK30" s="397" t="s">
        <v>747</v>
      </c>
      <c r="AL30" s="397" t="s">
        <v>86</v>
      </c>
      <c r="AM30" s="397" t="s">
        <v>909</v>
      </c>
      <c r="AN30" s="397"/>
      <c r="AQ30" s="397" t="s">
        <v>910</v>
      </c>
      <c r="AR30" s="397" t="s">
        <v>911</v>
      </c>
      <c r="AS30" s="406">
        <v>45509.692050717589</v>
      </c>
    </row>
    <row r="31" spans="1:45" x14ac:dyDescent="0.2">
      <c r="A31" s="404" t="s">
        <v>935</v>
      </c>
      <c r="B31" s="397" t="s">
        <v>936</v>
      </c>
      <c r="C31" s="397" t="s">
        <v>863</v>
      </c>
      <c r="D31" s="397" t="s">
        <v>901</v>
      </c>
      <c r="E31" s="397" t="s">
        <v>902</v>
      </c>
      <c r="F31" s="397" t="s">
        <v>719</v>
      </c>
      <c r="G31" s="405">
        <v>45504</v>
      </c>
      <c r="H31" s="397" t="s">
        <v>729</v>
      </c>
      <c r="I31" s="397" t="b">
        <v>1</v>
      </c>
      <c r="J31" s="397" t="s">
        <v>903</v>
      </c>
      <c r="L31" s="397" t="s">
        <v>749</v>
      </c>
      <c r="M31" s="397" t="s">
        <v>904</v>
      </c>
      <c r="N31" s="397">
        <v>0</v>
      </c>
      <c r="O31" s="397">
        <v>235188.21</v>
      </c>
      <c r="P31" s="397" t="s">
        <v>905</v>
      </c>
      <c r="Q31" s="397">
        <v>0</v>
      </c>
      <c r="R31" s="397">
        <v>235188.21</v>
      </c>
      <c r="S31" s="397">
        <v>-235188.21</v>
      </c>
      <c r="T31" s="397" t="s">
        <v>905</v>
      </c>
      <c r="U31" s="397" t="s">
        <v>917</v>
      </c>
      <c r="W31" s="397"/>
      <c r="X31" s="397" t="s">
        <v>805</v>
      </c>
      <c r="Y31" s="397"/>
      <c r="AA31" s="397" t="s">
        <v>907</v>
      </c>
      <c r="AB31" s="397"/>
      <c r="AH31" s="397" t="s">
        <v>918</v>
      </c>
      <c r="AK31" s="397" t="s">
        <v>849</v>
      </c>
      <c r="AL31" s="397" t="s">
        <v>81</v>
      </c>
      <c r="AM31" s="397" t="s">
        <v>913</v>
      </c>
      <c r="AN31" s="397"/>
      <c r="AQ31" s="397" t="s">
        <v>910</v>
      </c>
      <c r="AR31" s="397" t="s">
        <v>911</v>
      </c>
      <c r="AS31" s="406">
        <v>45509.696405277777</v>
      </c>
    </row>
    <row r="32" spans="1:45" x14ac:dyDescent="0.2">
      <c r="A32" s="404" t="s">
        <v>935</v>
      </c>
      <c r="B32" s="397" t="s">
        <v>936</v>
      </c>
      <c r="C32" s="397" t="s">
        <v>863</v>
      </c>
      <c r="D32" s="397" t="s">
        <v>901</v>
      </c>
      <c r="E32" s="397" t="s">
        <v>902</v>
      </c>
      <c r="F32" s="397" t="s">
        <v>719</v>
      </c>
      <c r="G32" s="405">
        <v>45504</v>
      </c>
      <c r="H32" s="397" t="s">
        <v>729</v>
      </c>
      <c r="I32" s="397" t="b">
        <v>1</v>
      </c>
      <c r="J32" s="397" t="s">
        <v>903</v>
      </c>
      <c r="L32" s="397" t="s">
        <v>749</v>
      </c>
      <c r="M32" s="397" t="s">
        <v>904</v>
      </c>
      <c r="N32" s="397">
        <v>0</v>
      </c>
      <c r="O32" s="397">
        <v>153076.73000000001</v>
      </c>
      <c r="P32" s="397" t="s">
        <v>905</v>
      </c>
      <c r="Q32" s="397">
        <v>0</v>
      </c>
      <c r="R32" s="397">
        <v>153076.73000000001</v>
      </c>
      <c r="S32" s="397">
        <v>-153076.73000000001</v>
      </c>
      <c r="T32" s="397" t="s">
        <v>905</v>
      </c>
      <c r="U32" s="397" t="s">
        <v>919</v>
      </c>
      <c r="W32" s="397"/>
      <c r="X32" s="397" t="s">
        <v>805</v>
      </c>
      <c r="Y32" s="397"/>
      <c r="AA32" s="397" t="s">
        <v>907</v>
      </c>
      <c r="AB32" s="397"/>
      <c r="AH32" s="397" t="s">
        <v>920</v>
      </c>
      <c r="AK32" s="397" t="s">
        <v>849</v>
      </c>
      <c r="AL32" s="397" t="s">
        <v>81</v>
      </c>
      <c r="AM32" s="397" t="s">
        <v>913</v>
      </c>
      <c r="AN32" s="397"/>
      <c r="AQ32" s="397" t="s">
        <v>910</v>
      </c>
      <c r="AR32" s="397" t="s">
        <v>911</v>
      </c>
      <c r="AS32" s="406">
        <v>45509.696405277777</v>
      </c>
    </row>
    <row r="33" spans="1:45" x14ac:dyDescent="0.2">
      <c r="A33" s="404" t="s">
        <v>937</v>
      </c>
      <c r="B33" s="397" t="s">
        <v>938</v>
      </c>
      <c r="C33" s="397" t="s">
        <v>863</v>
      </c>
      <c r="D33" s="397" t="s">
        <v>901</v>
      </c>
      <c r="E33" s="397" t="s">
        <v>902</v>
      </c>
      <c r="F33" s="397" t="s">
        <v>720</v>
      </c>
      <c r="G33" s="405">
        <v>45505</v>
      </c>
      <c r="H33" s="397" t="s">
        <v>729</v>
      </c>
      <c r="I33" s="397" t="b">
        <v>0</v>
      </c>
      <c r="J33" s="397" t="s">
        <v>903</v>
      </c>
      <c r="L33" s="397" t="s">
        <v>749</v>
      </c>
      <c r="M33" s="397" t="s">
        <v>904</v>
      </c>
      <c r="N33" s="397">
        <v>235188.21</v>
      </c>
      <c r="O33" s="397">
        <v>0</v>
      </c>
      <c r="P33" s="397" t="s">
        <v>905</v>
      </c>
      <c r="Q33" s="397">
        <v>235188.21</v>
      </c>
      <c r="R33" s="397">
        <v>0</v>
      </c>
      <c r="S33" s="397">
        <v>235188.21</v>
      </c>
      <c r="T33" s="397" t="s">
        <v>905</v>
      </c>
      <c r="U33" s="397" t="s">
        <v>917</v>
      </c>
      <c r="W33" s="397"/>
      <c r="X33" s="397" t="s">
        <v>805</v>
      </c>
      <c r="Y33" s="397"/>
      <c r="AA33" s="397" t="s">
        <v>907</v>
      </c>
      <c r="AB33" s="397"/>
      <c r="AH33" s="397" t="s">
        <v>918</v>
      </c>
      <c r="AK33" s="397" t="s">
        <v>849</v>
      </c>
      <c r="AL33" s="397" t="s">
        <v>81</v>
      </c>
      <c r="AM33" s="397" t="s">
        <v>913</v>
      </c>
      <c r="AN33" s="397"/>
      <c r="AQ33" s="397" t="s">
        <v>910</v>
      </c>
      <c r="AR33" s="397" t="s">
        <v>911</v>
      </c>
      <c r="AS33" s="406">
        <v>45509.696600254632</v>
      </c>
    </row>
    <row r="34" spans="1:45" x14ac:dyDescent="0.2">
      <c r="A34" s="404" t="s">
        <v>937</v>
      </c>
      <c r="B34" s="397" t="s">
        <v>938</v>
      </c>
      <c r="C34" s="397" t="s">
        <v>863</v>
      </c>
      <c r="D34" s="397" t="s">
        <v>901</v>
      </c>
      <c r="E34" s="397" t="s">
        <v>902</v>
      </c>
      <c r="F34" s="397" t="s">
        <v>720</v>
      </c>
      <c r="G34" s="405">
        <v>45505</v>
      </c>
      <c r="H34" s="397" t="s">
        <v>729</v>
      </c>
      <c r="I34" s="397" t="b">
        <v>0</v>
      </c>
      <c r="J34" s="397" t="s">
        <v>903</v>
      </c>
      <c r="L34" s="397" t="s">
        <v>749</v>
      </c>
      <c r="M34" s="397" t="s">
        <v>904</v>
      </c>
      <c r="N34" s="397">
        <v>153076.73000000001</v>
      </c>
      <c r="O34" s="397">
        <v>0</v>
      </c>
      <c r="P34" s="397" t="s">
        <v>905</v>
      </c>
      <c r="Q34" s="397">
        <v>153076.73000000001</v>
      </c>
      <c r="R34" s="397">
        <v>0</v>
      </c>
      <c r="S34" s="397">
        <v>153076.73000000001</v>
      </c>
      <c r="T34" s="397" t="s">
        <v>905</v>
      </c>
      <c r="U34" s="397" t="s">
        <v>919</v>
      </c>
      <c r="W34" s="397"/>
      <c r="X34" s="397" t="s">
        <v>805</v>
      </c>
      <c r="Y34" s="397"/>
      <c r="AA34" s="397" t="s">
        <v>907</v>
      </c>
      <c r="AB34" s="397"/>
      <c r="AH34" s="397" t="s">
        <v>920</v>
      </c>
      <c r="AK34" s="397" t="s">
        <v>849</v>
      </c>
      <c r="AL34" s="397" t="s">
        <v>81</v>
      </c>
      <c r="AM34" s="397" t="s">
        <v>913</v>
      </c>
      <c r="AN34" s="397"/>
      <c r="AQ34" s="397" t="s">
        <v>910</v>
      </c>
      <c r="AR34" s="397" t="s">
        <v>911</v>
      </c>
      <c r="AS34" s="406">
        <v>45509.696600254632</v>
      </c>
    </row>
    <row r="35" spans="1:45" x14ac:dyDescent="0.2">
      <c r="A35" s="404" t="s">
        <v>939</v>
      </c>
      <c r="B35" s="397" t="s">
        <v>940</v>
      </c>
      <c r="C35" s="397" t="s">
        <v>863</v>
      </c>
      <c r="D35" s="397" t="s">
        <v>923</v>
      </c>
      <c r="E35" s="397" t="s">
        <v>902</v>
      </c>
      <c r="F35" s="397" t="s">
        <v>720</v>
      </c>
      <c r="G35" s="405">
        <v>45524</v>
      </c>
      <c r="H35" s="397" t="s">
        <v>729</v>
      </c>
      <c r="I35" s="397" t="b">
        <v>0</v>
      </c>
      <c r="J35" s="397" t="s">
        <v>903</v>
      </c>
      <c r="L35" s="397" t="s">
        <v>749</v>
      </c>
      <c r="M35" s="397" t="s">
        <v>904</v>
      </c>
      <c r="N35" s="397">
        <v>0</v>
      </c>
      <c r="O35" s="397">
        <v>158945.64000000001</v>
      </c>
      <c r="P35" s="397" t="s">
        <v>905</v>
      </c>
      <c r="Q35" s="397">
        <v>0</v>
      </c>
      <c r="R35" s="397">
        <v>158945.64000000001</v>
      </c>
      <c r="S35" s="397">
        <v>-158945.64000000001</v>
      </c>
      <c r="T35" s="397" t="s">
        <v>905</v>
      </c>
      <c r="U35" s="397" t="s">
        <v>919</v>
      </c>
      <c r="W35" s="397"/>
      <c r="X35" s="397" t="s">
        <v>805</v>
      </c>
      <c r="Y35" s="397"/>
      <c r="AA35" s="397" t="s">
        <v>907</v>
      </c>
      <c r="AB35" s="397"/>
      <c r="AH35" s="397" t="s">
        <v>920</v>
      </c>
      <c r="AK35" s="397" t="s">
        <v>849</v>
      </c>
      <c r="AL35" s="397" t="s">
        <v>81</v>
      </c>
      <c r="AM35" s="397" t="s">
        <v>913</v>
      </c>
      <c r="AN35" s="397"/>
      <c r="AQ35" s="397" t="s">
        <v>910</v>
      </c>
      <c r="AR35" s="397" t="s">
        <v>911</v>
      </c>
      <c r="AS35" s="406">
        <v>45524.797065590275</v>
      </c>
    </row>
    <row r="36" spans="1:45" x14ac:dyDescent="0.2">
      <c r="A36" s="404" t="s">
        <v>939</v>
      </c>
      <c r="B36" s="397" t="s">
        <v>940</v>
      </c>
      <c r="C36" s="397" t="s">
        <v>863</v>
      </c>
      <c r="D36" s="397" t="s">
        <v>923</v>
      </c>
      <c r="E36" s="397" t="s">
        <v>902</v>
      </c>
      <c r="F36" s="397" t="s">
        <v>720</v>
      </c>
      <c r="G36" s="405">
        <v>45524</v>
      </c>
      <c r="H36" s="397" t="s">
        <v>729</v>
      </c>
      <c r="I36" s="397" t="b">
        <v>0</v>
      </c>
      <c r="J36" s="397" t="s">
        <v>903</v>
      </c>
      <c r="L36" s="397" t="s">
        <v>749</v>
      </c>
      <c r="M36" s="397" t="s">
        <v>904</v>
      </c>
      <c r="N36" s="397">
        <v>0</v>
      </c>
      <c r="O36" s="397">
        <v>852.15</v>
      </c>
      <c r="P36" s="397" t="s">
        <v>905</v>
      </c>
      <c r="Q36" s="397">
        <v>0</v>
      </c>
      <c r="R36" s="397">
        <v>852.15</v>
      </c>
      <c r="S36" s="397">
        <v>-852.15</v>
      </c>
      <c r="T36" s="397" t="s">
        <v>905</v>
      </c>
      <c r="U36" s="397" t="s">
        <v>924</v>
      </c>
      <c r="W36" s="397"/>
      <c r="X36" s="397" t="s">
        <v>805</v>
      </c>
      <c r="Y36" s="397"/>
      <c r="AA36" s="397" t="s">
        <v>907</v>
      </c>
      <c r="AB36" s="397"/>
      <c r="AH36" s="397" t="s">
        <v>925</v>
      </c>
      <c r="AK36" s="397" t="s">
        <v>849</v>
      </c>
      <c r="AL36" s="397" t="s">
        <v>81</v>
      </c>
      <c r="AM36" s="397" t="s">
        <v>913</v>
      </c>
      <c r="AN36" s="397"/>
      <c r="AQ36" s="397" t="s">
        <v>910</v>
      </c>
      <c r="AR36" s="397" t="s">
        <v>911</v>
      </c>
      <c r="AS36" s="406">
        <v>45524.797065590275</v>
      </c>
    </row>
    <row r="37" spans="1:45" x14ac:dyDescent="0.2">
      <c r="A37" s="404" t="s">
        <v>939</v>
      </c>
      <c r="B37" s="397" t="s">
        <v>940</v>
      </c>
      <c r="C37" s="397" t="s">
        <v>863</v>
      </c>
      <c r="D37" s="397" t="s">
        <v>923</v>
      </c>
      <c r="E37" s="397" t="s">
        <v>902</v>
      </c>
      <c r="F37" s="397" t="s">
        <v>720</v>
      </c>
      <c r="G37" s="405">
        <v>45524</v>
      </c>
      <c r="H37" s="397" t="s">
        <v>729</v>
      </c>
      <c r="I37" s="397" t="b">
        <v>0</v>
      </c>
      <c r="J37" s="397" t="s">
        <v>903</v>
      </c>
      <c r="L37" s="397" t="s">
        <v>749</v>
      </c>
      <c r="M37" s="397" t="s">
        <v>904</v>
      </c>
      <c r="N37" s="397">
        <v>0</v>
      </c>
      <c r="O37" s="397">
        <v>231719.07</v>
      </c>
      <c r="P37" s="397" t="s">
        <v>905</v>
      </c>
      <c r="Q37" s="397">
        <v>0</v>
      </c>
      <c r="R37" s="397">
        <v>231719.07</v>
      </c>
      <c r="S37" s="397">
        <v>-231719.07</v>
      </c>
      <c r="T37" s="397" t="s">
        <v>905</v>
      </c>
      <c r="U37" s="397" t="s">
        <v>917</v>
      </c>
      <c r="W37" s="397"/>
      <c r="X37" s="397" t="s">
        <v>805</v>
      </c>
      <c r="Y37" s="397"/>
      <c r="AA37" s="397" t="s">
        <v>907</v>
      </c>
      <c r="AB37" s="397"/>
      <c r="AH37" s="397" t="s">
        <v>918</v>
      </c>
      <c r="AK37" s="397" t="s">
        <v>849</v>
      </c>
      <c r="AL37" s="397" t="s">
        <v>81</v>
      </c>
      <c r="AM37" s="397" t="s">
        <v>913</v>
      </c>
      <c r="AN37" s="397"/>
      <c r="AQ37" s="397" t="s">
        <v>910</v>
      </c>
      <c r="AR37" s="397" t="s">
        <v>911</v>
      </c>
      <c r="AS37" s="406">
        <v>45524.797065590275</v>
      </c>
    </row>
    <row r="38" spans="1:45" x14ac:dyDescent="0.2">
      <c r="A38" s="404" t="s">
        <v>941</v>
      </c>
      <c r="B38" s="397" t="s">
        <v>942</v>
      </c>
      <c r="C38" s="397" t="s">
        <v>863</v>
      </c>
      <c r="D38" s="397" t="s">
        <v>901</v>
      </c>
      <c r="E38" s="397" t="s">
        <v>902</v>
      </c>
      <c r="F38" s="397" t="s">
        <v>720</v>
      </c>
      <c r="G38" s="405">
        <v>45530</v>
      </c>
      <c r="H38" s="397" t="s">
        <v>729</v>
      </c>
      <c r="I38" s="397" t="b">
        <v>0</v>
      </c>
      <c r="J38" s="397" t="s">
        <v>903</v>
      </c>
      <c r="L38" s="397" t="s">
        <v>749</v>
      </c>
      <c r="M38" s="397" t="s">
        <v>904</v>
      </c>
      <c r="N38" s="397">
        <v>0</v>
      </c>
      <c r="O38" s="397">
        <v>52258.080000000002</v>
      </c>
      <c r="P38" s="397" t="s">
        <v>905</v>
      </c>
      <c r="Q38" s="397">
        <v>0</v>
      </c>
      <c r="R38" s="397">
        <v>52258.080000000002</v>
      </c>
      <c r="S38" s="397">
        <v>-52258.080000000002</v>
      </c>
      <c r="T38" s="397" t="s">
        <v>905</v>
      </c>
      <c r="U38" s="397" t="s">
        <v>930</v>
      </c>
      <c r="W38" s="397"/>
      <c r="X38" s="397" t="s">
        <v>805</v>
      </c>
      <c r="Y38" s="397"/>
      <c r="AA38" s="397" t="s">
        <v>907</v>
      </c>
      <c r="AB38" s="397"/>
      <c r="AH38" s="397" t="s">
        <v>908</v>
      </c>
      <c r="AK38" s="397" t="s">
        <v>849</v>
      </c>
      <c r="AL38" s="397" t="s">
        <v>81</v>
      </c>
      <c r="AM38" s="397" t="s">
        <v>913</v>
      </c>
      <c r="AN38" s="397"/>
      <c r="AQ38" s="397" t="s">
        <v>910</v>
      </c>
      <c r="AR38" s="397" t="s">
        <v>911</v>
      </c>
      <c r="AS38" s="406">
        <v>45525.760965474539</v>
      </c>
    </row>
    <row r="39" spans="1:45" x14ac:dyDescent="0.2">
      <c r="A39" s="404" t="s">
        <v>941</v>
      </c>
      <c r="B39" s="397" t="s">
        <v>942</v>
      </c>
      <c r="C39" s="397" t="s">
        <v>863</v>
      </c>
      <c r="D39" s="397" t="s">
        <v>901</v>
      </c>
      <c r="E39" s="397" t="s">
        <v>902</v>
      </c>
      <c r="F39" s="397" t="s">
        <v>720</v>
      </c>
      <c r="G39" s="405">
        <v>45530</v>
      </c>
      <c r="H39" s="397" t="s">
        <v>729</v>
      </c>
      <c r="I39" s="397" t="b">
        <v>0</v>
      </c>
      <c r="J39" s="397" t="s">
        <v>903</v>
      </c>
      <c r="L39" s="397" t="s">
        <v>749</v>
      </c>
      <c r="M39" s="397" t="s">
        <v>904</v>
      </c>
      <c r="N39" s="397">
        <v>0</v>
      </c>
      <c r="O39" s="397">
        <v>4304.45</v>
      </c>
      <c r="P39" s="397" t="s">
        <v>905</v>
      </c>
      <c r="Q39" s="397">
        <v>0</v>
      </c>
      <c r="R39" s="397">
        <v>4304.45</v>
      </c>
      <c r="S39" s="397">
        <v>-4304.45</v>
      </c>
      <c r="T39" s="397" t="s">
        <v>905</v>
      </c>
      <c r="U39" s="397" t="s">
        <v>931</v>
      </c>
      <c r="W39" s="397"/>
      <c r="X39" s="397" t="s">
        <v>805</v>
      </c>
      <c r="Y39" s="397"/>
      <c r="AA39" s="397" t="s">
        <v>907</v>
      </c>
      <c r="AB39" s="397"/>
      <c r="AH39" s="397" t="s">
        <v>908</v>
      </c>
      <c r="AK39" s="397" t="s">
        <v>849</v>
      </c>
      <c r="AL39" s="397" t="s">
        <v>81</v>
      </c>
      <c r="AM39" s="397" t="s">
        <v>913</v>
      </c>
      <c r="AN39" s="397"/>
      <c r="AQ39" s="397" t="s">
        <v>910</v>
      </c>
      <c r="AR39" s="397" t="s">
        <v>911</v>
      </c>
      <c r="AS39" s="406">
        <v>45525.760965474539</v>
      </c>
    </row>
    <row r="40" spans="1:45" x14ac:dyDescent="0.2">
      <c r="A40" s="404" t="s">
        <v>941</v>
      </c>
      <c r="B40" s="397" t="s">
        <v>942</v>
      </c>
      <c r="C40" s="397" t="s">
        <v>863</v>
      </c>
      <c r="D40" s="397" t="s">
        <v>901</v>
      </c>
      <c r="E40" s="397" t="s">
        <v>902</v>
      </c>
      <c r="F40" s="397" t="s">
        <v>720</v>
      </c>
      <c r="G40" s="405">
        <v>45530</v>
      </c>
      <c r="H40" s="397" t="s">
        <v>729</v>
      </c>
      <c r="I40" s="397" t="b">
        <v>0</v>
      </c>
      <c r="J40" s="397" t="s">
        <v>903</v>
      </c>
      <c r="L40" s="397" t="s">
        <v>749</v>
      </c>
      <c r="M40" s="397" t="s">
        <v>904</v>
      </c>
      <c r="N40" s="397">
        <v>0</v>
      </c>
      <c r="O40" s="397">
        <v>990.54</v>
      </c>
      <c r="P40" s="397" t="s">
        <v>905</v>
      </c>
      <c r="Q40" s="397">
        <v>0</v>
      </c>
      <c r="R40" s="397">
        <v>990.54</v>
      </c>
      <c r="S40" s="397">
        <v>-990.54</v>
      </c>
      <c r="T40" s="397" t="s">
        <v>905</v>
      </c>
      <c r="U40" s="397" t="s">
        <v>932</v>
      </c>
      <c r="W40" s="397"/>
      <c r="X40" s="397" t="s">
        <v>805</v>
      </c>
      <c r="Y40" s="397"/>
      <c r="AA40" s="397" t="s">
        <v>907</v>
      </c>
      <c r="AB40" s="397"/>
      <c r="AH40" s="397" t="s">
        <v>908</v>
      </c>
      <c r="AK40" s="397" t="s">
        <v>747</v>
      </c>
      <c r="AL40" s="397" t="s">
        <v>86</v>
      </c>
      <c r="AM40" s="397" t="s">
        <v>909</v>
      </c>
      <c r="AN40" s="397"/>
      <c r="AQ40" s="397" t="s">
        <v>910</v>
      </c>
      <c r="AR40" s="397" t="s">
        <v>911</v>
      </c>
      <c r="AS40" s="406">
        <v>45525.760965474539</v>
      </c>
    </row>
    <row r="41" spans="1:45" x14ac:dyDescent="0.2">
      <c r="A41" s="404" t="s">
        <v>943</v>
      </c>
      <c r="B41" s="397" t="s">
        <v>944</v>
      </c>
      <c r="C41" s="397" t="s">
        <v>863</v>
      </c>
      <c r="D41" s="397" t="s">
        <v>901</v>
      </c>
      <c r="E41" s="397" t="s">
        <v>902</v>
      </c>
      <c r="F41" s="397" t="s">
        <v>720</v>
      </c>
      <c r="G41" s="405">
        <v>45535</v>
      </c>
      <c r="H41" s="397" t="s">
        <v>729</v>
      </c>
      <c r="I41" s="397" t="b">
        <v>1</v>
      </c>
      <c r="J41" s="397" t="s">
        <v>903</v>
      </c>
      <c r="L41" s="397" t="s">
        <v>749</v>
      </c>
      <c r="M41" s="397" t="s">
        <v>904</v>
      </c>
      <c r="N41" s="397">
        <v>0</v>
      </c>
      <c r="O41" s="397">
        <v>109442.28</v>
      </c>
      <c r="P41" s="397" t="s">
        <v>905</v>
      </c>
      <c r="Q41" s="397">
        <v>0</v>
      </c>
      <c r="R41" s="397">
        <v>109442.28</v>
      </c>
      <c r="S41" s="397">
        <v>-109442.28</v>
      </c>
      <c r="T41" s="397" t="s">
        <v>905</v>
      </c>
      <c r="U41" s="397" t="s">
        <v>919</v>
      </c>
      <c r="W41" s="397"/>
      <c r="X41" s="397" t="s">
        <v>805</v>
      </c>
      <c r="Y41" s="397"/>
      <c r="AA41" s="397" t="s">
        <v>907</v>
      </c>
      <c r="AB41" s="397"/>
      <c r="AH41" s="397" t="s">
        <v>920</v>
      </c>
      <c r="AK41" s="397" t="s">
        <v>849</v>
      </c>
      <c r="AL41" s="397" t="s">
        <v>81</v>
      </c>
      <c r="AM41" s="397" t="s">
        <v>913</v>
      </c>
      <c r="AN41" s="397"/>
      <c r="AQ41" s="397" t="s">
        <v>910</v>
      </c>
      <c r="AR41" s="397" t="s">
        <v>945</v>
      </c>
      <c r="AS41" s="406">
        <v>45539.656477094904</v>
      </c>
    </row>
    <row r="42" spans="1:45" x14ac:dyDescent="0.2">
      <c r="A42" s="404" t="s">
        <v>943</v>
      </c>
      <c r="B42" s="397" t="s">
        <v>944</v>
      </c>
      <c r="C42" s="397" t="s">
        <v>863</v>
      </c>
      <c r="D42" s="397" t="s">
        <v>901</v>
      </c>
      <c r="E42" s="397" t="s">
        <v>902</v>
      </c>
      <c r="F42" s="397" t="s">
        <v>720</v>
      </c>
      <c r="G42" s="405">
        <v>45535</v>
      </c>
      <c r="H42" s="397" t="s">
        <v>729</v>
      </c>
      <c r="I42" s="397" t="b">
        <v>1</v>
      </c>
      <c r="J42" s="397" t="s">
        <v>903</v>
      </c>
      <c r="L42" s="397" t="s">
        <v>749</v>
      </c>
      <c r="M42" s="397" t="s">
        <v>904</v>
      </c>
      <c r="N42" s="397">
        <v>0</v>
      </c>
      <c r="O42" s="397">
        <v>222604.7</v>
      </c>
      <c r="P42" s="397" t="s">
        <v>905</v>
      </c>
      <c r="Q42" s="397">
        <v>0</v>
      </c>
      <c r="R42" s="397">
        <v>222604.7</v>
      </c>
      <c r="S42" s="397">
        <v>-222604.7</v>
      </c>
      <c r="T42" s="397" t="s">
        <v>905</v>
      </c>
      <c r="U42" s="397" t="s">
        <v>917</v>
      </c>
      <c r="W42" s="397"/>
      <c r="X42" s="397" t="s">
        <v>805</v>
      </c>
      <c r="Y42" s="397"/>
      <c r="AA42" s="397" t="s">
        <v>907</v>
      </c>
      <c r="AB42" s="397"/>
      <c r="AH42" s="397" t="s">
        <v>918</v>
      </c>
      <c r="AK42" s="397" t="s">
        <v>849</v>
      </c>
      <c r="AL42" s="397" t="s">
        <v>81</v>
      </c>
      <c r="AM42" s="397" t="s">
        <v>913</v>
      </c>
      <c r="AN42" s="397"/>
      <c r="AQ42" s="397" t="s">
        <v>910</v>
      </c>
      <c r="AR42" s="397" t="s">
        <v>945</v>
      </c>
      <c r="AS42" s="406">
        <v>45539.656477094904</v>
      </c>
    </row>
    <row r="43" spans="1:45" x14ac:dyDescent="0.2">
      <c r="A43" s="404" t="s">
        <v>946</v>
      </c>
      <c r="B43" s="397" t="s">
        <v>947</v>
      </c>
      <c r="C43" s="397" t="s">
        <v>863</v>
      </c>
      <c r="D43" s="397" t="s">
        <v>901</v>
      </c>
      <c r="E43" s="397" t="s">
        <v>902</v>
      </c>
      <c r="F43" s="397" t="s">
        <v>721</v>
      </c>
      <c r="G43" s="405">
        <v>45536</v>
      </c>
      <c r="H43" s="397" t="s">
        <v>729</v>
      </c>
      <c r="I43" s="397" t="b">
        <v>0</v>
      </c>
      <c r="J43" s="397" t="s">
        <v>903</v>
      </c>
      <c r="L43" s="397" t="s">
        <v>749</v>
      </c>
      <c r="M43" s="397" t="s">
        <v>904</v>
      </c>
      <c r="N43" s="397">
        <v>109442.28</v>
      </c>
      <c r="O43" s="397">
        <v>0</v>
      </c>
      <c r="P43" s="397" t="s">
        <v>905</v>
      </c>
      <c r="Q43" s="397">
        <v>109442.28</v>
      </c>
      <c r="R43" s="397">
        <v>0</v>
      </c>
      <c r="S43" s="397">
        <v>109442.28</v>
      </c>
      <c r="T43" s="397" t="s">
        <v>905</v>
      </c>
      <c r="U43" s="397" t="s">
        <v>919</v>
      </c>
      <c r="W43" s="397"/>
      <c r="X43" s="397" t="s">
        <v>805</v>
      </c>
      <c r="Y43" s="397"/>
      <c r="AA43" s="397" t="s">
        <v>907</v>
      </c>
      <c r="AB43" s="397"/>
      <c r="AH43" s="397" t="s">
        <v>920</v>
      </c>
      <c r="AK43" s="397" t="s">
        <v>849</v>
      </c>
      <c r="AL43" s="397" t="s">
        <v>81</v>
      </c>
      <c r="AM43" s="397" t="s">
        <v>913</v>
      </c>
      <c r="AN43" s="397"/>
      <c r="AQ43" s="397" t="s">
        <v>910</v>
      </c>
      <c r="AR43" s="397" t="s">
        <v>945</v>
      </c>
      <c r="AS43" s="406">
        <v>45539.65665827546</v>
      </c>
    </row>
    <row r="44" spans="1:45" x14ac:dyDescent="0.2">
      <c r="A44" s="404" t="s">
        <v>946</v>
      </c>
      <c r="B44" s="397" t="s">
        <v>947</v>
      </c>
      <c r="C44" s="397" t="s">
        <v>863</v>
      </c>
      <c r="D44" s="397" t="s">
        <v>901</v>
      </c>
      <c r="E44" s="397" t="s">
        <v>902</v>
      </c>
      <c r="F44" s="397" t="s">
        <v>721</v>
      </c>
      <c r="G44" s="405">
        <v>45536</v>
      </c>
      <c r="H44" s="397" t="s">
        <v>729</v>
      </c>
      <c r="I44" s="397" t="b">
        <v>0</v>
      </c>
      <c r="J44" s="397" t="s">
        <v>903</v>
      </c>
      <c r="L44" s="397" t="s">
        <v>749</v>
      </c>
      <c r="M44" s="397" t="s">
        <v>904</v>
      </c>
      <c r="N44" s="397">
        <v>222604.7</v>
      </c>
      <c r="O44" s="397">
        <v>0</v>
      </c>
      <c r="P44" s="397" t="s">
        <v>905</v>
      </c>
      <c r="Q44" s="397">
        <v>222604.7</v>
      </c>
      <c r="R44" s="397">
        <v>0</v>
      </c>
      <c r="S44" s="397">
        <v>222604.7</v>
      </c>
      <c r="T44" s="397" t="s">
        <v>905</v>
      </c>
      <c r="U44" s="397" t="s">
        <v>917</v>
      </c>
      <c r="W44" s="397"/>
      <c r="X44" s="397" t="s">
        <v>805</v>
      </c>
      <c r="Y44" s="397"/>
      <c r="AA44" s="397" t="s">
        <v>907</v>
      </c>
      <c r="AB44" s="397"/>
      <c r="AH44" s="397" t="s">
        <v>918</v>
      </c>
      <c r="AK44" s="397" t="s">
        <v>849</v>
      </c>
      <c r="AL44" s="397" t="s">
        <v>81</v>
      </c>
      <c r="AM44" s="397" t="s">
        <v>913</v>
      </c>
      <c r="AN44" s="397"/>
      <c r="AQ44" s="397" t="s">
        <v>910</v>
      </c>
      <c r="AR44" s="397" t="s">
        <v>945</v>
      </c>
      <c r="AS44" s="406">
        <v>45539.65665827546</v>
      </c>
    </row>
    <row r="45" spans="1:45" x14ac:dyDescent="0.2">
      <c r="A45" s="404" t="s">
        <v>948</v>
      </c>
      <c r="B45" s="397" t="s">
        <v>949</v>
      </c>
      <c r="C45" s="397" t="s">
        <v>863</v>
      </c>
      <c r="D45" s="397" t="s">
        <v>901</v>
      </c>
      <c r="E45" s="397" t="s">
        <v>902</v>
      </c>
      <c r="F45" s="397" t="s">
        <v>720</v>
      </c>
      <c r="G45" s="405">
        <v>45535</v>
      </c>
      <c r="H45" s="397" t="s">
        <v>729</v>
      </c>
      <c r="I45" s="397" t="b">
        <v>1</v>
      </c>
      <c r="J45" s="397" t="s">
        <v>903</v>
      </c>
      <c r="L45" s="397" t="s">
        <v>749</v>
      </c>
      <c r="M45" s="397" t="s">
        <v>904</v>
      </c>
      <c r="N45" s="397">
        <v>0</v>
      </c>
      <c r="O45" s="397">
        <v>58317.57</v>
      </c>
      <c r="P45" s="397" t="s">
        <v>905</v>
      </c>
      <c r="Q45" s="397">
        <v>0</v>
      </c>
      <c r="R45" s="397">
        <v>58317.57</v>
      </c>
      <c r="S45" s="397">
        <v>-58317.57</v>
      </c>
      <c r="T45" s="397" t="s">
        <v>905</v>
      </c>
      <c r="U45" s="397" t="s">
        <v>950</v>
      </c>
      <c r="W45" s="397"/>
      <c r="X45" s="397" t="s">
        <v>805</v>
      </c>
      <c r="Y45" s="397"/>
      <c r="AA45" s="397" t="s">
        <v>907</v>
      </c>
      <c r="AB45" s="397"/>
      <c r="AH45" s="397" t="s">
        <v>908</v>
      </c>
      <c r="AK45" s="397" t="s">
        <v>849</v>
      </c>
      <c r="AL45" s="397" t="s">
        <v>81</v>
      </c>
      <c r="AM45" s="397" t="s">
        <v>913</v>
      </c>
      <c r="AN45" s="397"/>
      <c r="AQ45" s="397" t="s">
        <v>910</v>
      </c>
      <c r="AR45" s="397" t="s">
        <v>945</v>
      </c>
      <c r="AS45" s="406">
        <v>45540.350754189814</v>
      </c>
    </row>
    <row r="46" spans="1:45" x14ac:dyDescent="0.2">
      <c r="A46" s="404" t="s">
        <v>948</v>
      </c>
      <c r="B46" s="397" t="s">
        <v>949</v>
      </c>
      <c r="C46" s="397" t="s">
        <v>863</v>
      </c>
      <c r="D46" s="397" t="s">
        <v>901</v>
      </c>
      <c r="E46" s="397" t="s">
        <v>902</v>
      </c>
      <c r="F46" s="397" t="s">
        <v>720</v>
      </c>
      <c r="G46" s="405">
        <v>45535</v>
      </c>
      <c r="H46" s="397" t="s">
        <v>729</v>
      </c>
      <c r="I46" s="397" t="b">
        <v>1</v>
      </c>
      <c r="J46" s="397" t="s">
        <v>903</v>
      </c>
      <c r="L46" s="397" t="s">
        <v>749</v>
      </c>
      <c r="M46" s="397" t="s">
        <v>904</v>
      </c>
      <c r="N46" s="397">
        <v>0</v>
      </c>
      <c r="O46" s="397">
        <v>1638.75</v>
      </c>
      <c r="P46" s="397" t="s">
        <v>905</v>
      </c>
      <c r="Q46" s="397">
        <v>0</v>
      </c>
      <c r="R46" s="397">
        <v>1638.75</v>
      </c>
      <c r="S46" s="397">
        <v>-1638.75</v>
      </c>
      <c r="T46" s="397" t="s">
        <v>905</v>
      </c>
      <c r="U46" s="397" t="s">
        <v>951</v>
      </c>
      <c r="W46" s="397"/>
      <c r="X46" s="397" t="s">
        <v>805</v>
      </c>
      <c r="Y46" s="397"/>
      <c r="AA46" s="397" t="s">
        <v>907</v>
      </c>
      <c r="AB46" s="397"/>
      <c r="AH46" s="397" t="s">
        <v>908</v>
      </c>
      <c r="AK46" s="397" t="s">
        <v>849</v>
      </c>
      <c r="AL46" s="397" t="s">
        <v>81</v>
      </c>
      <c r="AM46" s="397" t="s">
        <v>913</v>
      </c>
      <c r="AN46" s="397"/>
      <c r="AQ46" s="397" t="s">
        <v>910</v>
      </c>
      <c r="AR46" s="397" t="s">
        <v>945</v>
      </c>
      <c r="AS46" s="406">
        <v>45540.350754189814</v>
      </c>
    </row>
    <row r="47" spans="1:45" x14ac:dyDescent="0.2">
      <c r="A47" s="404" t="s">
        <v>948</v>
      </c>
      <c r="B47" s="397" t="s">
        <v>949</v>
      </c>
      <c r="C47" s="397" t="s">
        <v>863</v>
      </c>
      <c r="D47" s="397" t="s">
        <v>901</v>
      </c>
      <c r="E47" s="397" t="s">
        <v>902</v>
      </c>
      <c r="F47" s="397" t="s">
        <v>720</v>
      </c>
      <c r="G47" s="405">
        <v>45535</v>
      </c>
      <c r="H47" s="397" t="s">
        <v>729</v>
      </c>
      <c r="I47" s="397" t="b">
        <v>1</v>
      </c>
      <c r="J47" s="397" t="s">
        <v>903</v>
      </c>
      <c r="L47" s="397" t="s">
        <v>749</v>
      </c>
      <c r="M47" s="397" t="s">
        <v>904</v>
      </c>
      <c r="N47" s="397">
        <v>0</v>
      </c>
      <c r="O47" s="397">
        <v>990.54</v>
      </c>
      <c r="P47" s="397" t="s">
        <v>905</v>
      </c>
      <c r="Q47" s="397">
        <v>0</v>
      </c>
      <c r="R47" s="397">
        <v>990.54</v>
      </c>
      <c r="S47" s="397">
        <v>-990.54</v>
      </c>
      <c r="T47" s="397" t="s">
        <v>905</v>
      </c>
      <c r="U47" s="397" t="s">
        <v>952</v>
      </c>
      <c r="W47" s="397"/>
      <c r="X47" s="397" t="s">
        <v>805</v>
      </c>
      <c r="Y47" s="397"/>
      <c r="AA47" s="397" t="s">
        <v>907</v>
      </c>
      <c r="AB47" s="397"/>
      <c r="AH47" s="397" t="s">
        <v>908</v>
      </c>
      <c r="AK47" s="397" t="s">
        <v>747</v>
      </c>
      <c r="AL47" s="397" t="s">
        <v>86</v>
      </c>
      <c r="AM47" s="397" t="s">
        <v>909</v>
      </c>
      <c r="AN47" s="397"/>
      <c r="AQ47" s="397" t="s">
        <v>910</v>
      </c>
      <c r="AR47" s="397" t="s">
        <v>945</v>
      </c>
      <c r="AS47" s="406">
        <v>45540.350754189814</v>
      </c>
    </row>
    <row r="48" spans="1:45" x14ac:dyDescent="0.2">
      <c r="A48" s="404" t="s">
        <v>953</v>
      </c>
      <c r="B48" s="397" t="s">
        <v>954</v>
      </c>
      <c r="C48" s="397" t="s">
        <v>863</v>
      </c>
      <c r="D48" s="397" t="s">
        <v>901</v>
      </c>
      <c r="E48" s="397" t="s">
        <v>902</v>
      </c>
      <c r="F48" s="397" t="s">
        <v>721</v>
      </c>
      <c r="G48" s="405">
        <v>45536</v>
      </c>
      <c r="H48" s="397" t="s">
        <v>729</v>
      </c>
      <c r="I48" s="397" t="b">
        <v>0</v>
      </c>
      <c r="J48" s="397" t="s">
        <v>903</v>
      </c>
      <c r="L48" s="397" t="s">
        <v>749</v>
      </c>
      <c r="M48" s="397" t="s">
        <v>904</v>
      </c>
      <c r="N48" s="397">
        <v>58317.57</v>
      </c>
      <c r="O48" s="397">
        <v>0</v>
      </c>
      <c r="P48" s="397" t="s">
        <v>905</v>
      </c>
      <c r="Q48" s="397">
        <v>58317.57</v>
      </c>
      <c r="R48" s="397">
        <v>0</v>
      </c>
      <c r="S48" s="397">
        <v>58317.57</v>
      </c>
      <c r="T48" s="397" t="s">
        <v>905</v>
      </c>
      <c r="U48" s="397" t="s">
        <v>950</v>
      </c>
      <c r="W48" s="397"/>
      <c r="X48" s="397" t="s">
        <v>805</v>
      </c>
      <c r="Y48" s="397"/>
      <c r="AA48" s="397" t="s">
        <v>907</v>
      </c>
      <c r="AB48" s="397"/>
      <c r="AH48" s="397" t="s">
        <v>908</v>
      </c>
      <c r="AK48" s="397" t="s">
        <v>849</v>
      </c>
      <c r="AL48" s="397" t="s">
        <v>81</v>
      </c>
      <c r="AM48" s="397" t="s">
        <v>913</v>
      </c>
      <c r="AN48" s="397"/>
      <c r="AQ48" s="397" t="s">
        <v>910</v>
      </c>
      <c r="AR48" s="397" t="s">
        <v>945</v>
      </c>
      <c r="AS48" s="406">
        <v>45540.351035046297</v>
      </c>
    </row>
    <row r="49" spans="1:45" x14ac:dyDescent="0.2">
      <c r="A49" s="404" t="s">
        <v>953</v>
      </c>
      <c r="B49" s="397" t="s">
        <v>954</v>
      </c>
      <c r="C49" s="397" t="s">
        <v>863</v>
      </c>
      <c r="D49" s="397" t="s">
        <v>901</v>
      </c>
      <c r="E49" s="397" t="s">
        <v>902</v>
      </c>
      <c r="F49" s="397" t="s">
        <v>721</v>
      </c>
      <c r="G49" s="405">
        <v>45536</v>
      </c>
      <c r="H49" s="397" t="s">
        <v>729</v>
      </c>
      <c r="I49" s="397" t="b">
        <v>0</v>
      </c>
      <c r="J49" s="397" t="s">
        <v>903</v>
      </c>
      <c r="L49" s="397" t="s">
        <v>749</v>
      </c>
      <c r="M49" s="397" t="s">
        <v>904</v>
      </c>
      <c r="N49" s="397">
        <v>1638.75</v>
      </c>
      <c r="O49" s="397">
        <v>0</v>
      </c>
      <c r="P49" s="397" t="s">
        <v>905</v>
      </c>
      <c r="Q49" s="397">
        <v>1638.75</v>
      </c>
      <c r="R49" s="397">
        <v>0</v>
      </c>
      <c r="S49" s="397">
        <v>1638.75</v>
      </c>
      <c r="T49" s="397" t="s">
        <v>905</v>
      </c>
      <c r="U49" s="397" t="s">
        <v>951</v>
      </c>
      <c r="W49" s="397"/>
      <c r="X49" s="397" t="s">
        <v>805</v>
      </c>
      <c r="Y49" s="397"/>
      <c r="AA49" s="397" t="s">
        <v>907</v>
      </c>
      <c r="AB49" s="397"/>
      <c r="AH49" s="397" t="s">
        <v>908</v>
      </c>
      <c r="AK49" s="397" t="s">
        <v>849</v>
      </c>
      <c r="AL49" s="397" t="s">
        <v>81</v>
      </c>
      <c r="AM49" s="397" t="s">
        <v>913</v>
      </c>
      <c r="AN49" s="397"/>
      <c r="AQ49" s="397" t="s">
        <v>910</v>
      </c>
      <c r="AR49" s="397" t="s">
        <v>945</v>
      </c>
      <c r="AS49" s="406">
        <v>45540.351035046297</v>
      </c>
    </row>
    <row r="50" spans="1:45" x14ac:dyDescent="0.2">
      <c r="A50" s="404" t="s">
        <v>953</v>
      </c>
      <c r="B50" s="397" t="s">
        <v>954</v>
      </c>
      <c r="C50" s="397" t="s">
        <v>863</v>
      </c>
      <c r="D50" s="397" t="s">
        <v>901</v>
      </c>
      <c r="E50" s="397" t="s">
        <v>902</v>
      </c>
      <c r="F50" s="397" t="s">
        <v>721</v>
      </c>
      <c r="G50" s="405">
        <v>45536</v>
      </c>
      <c r="H50" s="397" t="s">
        <v>729</v>
      </c>
      <c r="I50" s="397" t="b">
        <v>0</v>
      </c>
      <c r="J50" s="397" t="s">
        <v>903</v>
      </c>
      <c r="L50" s="397" t="s">
        <v>749</v>
      </c>
      <c r="M50" s="397" t="s">
        <v>904</v>
      </c>
      <c r="N50" s="397">
        <v>990.54</v>
      </c>
      <c r="O50" s="397">
        <v>0</v>
      </c>
      <c r="P50" s="397" t="s">
        <v>905</v>
      </c>
      <c r="Q50" s="397">
        <v>990.54</v>
      </c>
      <c r="R50" s="397">
        <v>0</v>
      </c>
      <c r="S50" s="397">
        <v>990.54</v>
      </c>
      <c r="T50" s="397" t="s">
        <v>905</v>
      </c>
      <c r="U50" s="397" t="s">
        <v>952</v>
      </c>
      <c r="W50" s="397"/>
      <c r="X50" s="397" t="s">
        <v>805</v>
      </c>
      <c r="Y50" s="397"/>
      <c r="AA50" s="397" t="s">
        <v>907</v>
      </c>
      <c r="AB50" s="397"/>
      <c r="AH50" s="397" t="s">
        <v>908</v>
      </c>
      <c r="AK50" s="397" t="s">
        <v>747</v>
      </c>
      <c r="AL50" s="397" t="s">
        <v>86</v>
      </c>
      <c r="AM50" s="397" t="s">
        <v>909</v>
      </c>
      <c r="AN50" s="397"/>
      <c r="AQ50" s="397" t="s">
        <v>910</v>
      </c>
      <c r="AR50" s="397" t="s">
        <v>945</v>
      </c>
      <c r="AS50" s="406">
        <v>45540.351035046297</v>
      </c>
    </row>
    <row r="51" spans="1:45" x14ac:dyDescent="0.2">
      <c r="A51" s="404" t="s">
        <v>955</v>
      </c>
      <c r="B51" s="397" t="s">
        <v>956</v>
      </c>
      <c r="C51" s="397" t="s">
        <v>863</v>
      </c>
      <c r="D51" s="397" t="s">
        <v>923</v>
      </c>
      <c r="E51" s="397" t="s">
        <v>902</v>
      </c>
      <c r="F51" s="397" t="s">
        <v>721</v>
      </c>
      <c r="G51" s="405">
        <v>45558</v>
      </c>
      <c r="H51" s="397" t="s">
        <v>729</v>
      </c>
      <c r="I51" s="397" t="b">
        <v>0</v>
      </c>
      <c r="J51" s="397" t="s">
        <v>903</v>
      </c>
      <c r="L51" s="397" t="s">
        <v>749</v>
      </c>
      <c r="M51" s="397" t="s">
        <v>904</v>
      </c>
      <c r="N51" s="397">
        <v>0</v>
      </c>
      <c r="O51" s="397">
        <v>125200.5</v>
      </c>
      <c r="P51" s="397" t="s">
        <v>905</v>
      </c>
      <c r="Q51" s="397">
        <v>0</v>
      </c>
      <c r="R51" s="397">
        <v>125200.5</v>
      </c>
      <c r="S51" s="397">
        <v>-125200.5</v>
      </c>
      <c r="T51" s="397" t="s">
        <v>905</v>
      </c>
      <c r="U51" s="397" t="s">
        <v>919</v>
      </c>
      <c r="W51" s="397"/>
      <c r="X51" s="397" t="s">
        <v>805</v>
      </c>
      <c r="Y51" s="397"/>
      <c r="AA51" s="397" t="s">
        <v>907</v>
      </c>
      <c r="AB51" s="397"/>
      <c r="AH51" s="397" t="s">
        <v>920</v>
      </c>
      <c r="AK51" s="397" t="s">
        <v>849</v>
      </c>
      <c r="AL51" s="397" t="s">
        <v>81</v>
      </c>
      <c r="AM51" s="397" t="s">
        <v>913</v>
      </c>
      <c r="AN51" s="397"/>
      <c r="AQ51" s="397" t="s">
        <v>910</v>
      </c>
      <c r="AR51" s="397" t="s">
        <v>911</v>
      </c>
      <c r="AS51" s="406">
        <v>45565.592182465276</v>
      </c>
    </row>
    <row r="52" spans="1:45" x14ac:dyDescent="0.2">
      <c r="A52" s="404" t="s">
        <v>955</v>
      </c>
      <c r="B52" s="397" t="s">
        <v>956</v>
      </c>
      <c r="C52" s="397" t="s">
        <v>863</v>
      </c>
      <c r="D52" s="397" t="s">
        <v>923</v>
      </c>
      <c r="E52" s="397" t="s">
        <v>902</v>
      </c>
      <c r="F52" s="397" t="s">
        <v>721</v>
      </c>
      <c r="G52" s="405">
        <v>45558</v>
      </c>
      <c r="H52" s="397" t="s">
        <v>729</v>
      </c>
      <c r="I52" s="397" t="b">
        <v>0</v>
      </c>
      <c r="J52" s="397" t="s">
        <v>903</v>
      </c>
      <c r="L52" s="397" t="s">
        <v>749</v>
      </c>
      <c r="M52" s="397" t="s">
        <v>904</v>
      </c>
      <c r="N52" s="397">
        <v>0</v>
      </c>
      <c r="O52" s="397">
        <v>572.47</v>
      </c>
      <c r="P52" s="397" t="s">
        <v>905</v>
      </c>
      <c r="Q52" s="397">
        <v>0</v>
      </c>
      <c r="R52" s="397">
        <v>572.47</v>
      </c>
      <c r="S52" s="397">
        <v>-572.47</v>
      </c>
      <c r="T52" s="397" t="s">
        <v>905</v>
      </c>
      <c r="U52" s="397" t="s">
        <v>924</v>
      </c>
      <c r="W52" s="397"/>
      <c r="X52" s="397" t="s">
        <v>805</v>
      </c>
      <c r="Y52" s="397"/>
      <c r="AA52" s="397" t="s">
        <v>907</v>
      </c>
      <c r="AB52" s="397"/>
      <c r="AH52" s="397" t="s">
        <v>925</v>
      </c>
      <c r="AK52" s="397" t="s">
        <v>849</v>
      </c>
      <c r="AL52" s="397" t="s">
        <v>81</v>
      </c>
      <c r="AM52" s="397" t="s">
        <v>913</v>
      </c>
      <c r="AN52" s="397"/>
      <c r="AQ52" s="397" t="s">
        <v>910</v>
      </c>
      <c r="AR52" s="397" t="s">
        <v>911</v>
      </c>
      <c r="AS52" s="406">
        <v>45565.592182465276</v>
      </c>
    </row>
    <row r="53" spans="1:45" x14ac:dyDescent="0.2">
      <c r="A53" s="404" t="s">
        <v>955</v>
      </c>
      <c r="B53" s="397" t="s">
        <v>956</v>
      </c>
      <c r="C53" s="397" t="s">
        <v>863</v>
      </c>
      <c r="D53" s="397" t="s">
        <v>923</v>
      </c>
      <c r="E53" s="397" t="s">
        <v>902</v>
      </c>
      <c r="F53" s="397" t="s">
        <v>721</v>
      </c>
      <c r="G53" s="405">
        <v>45558</v>
      </c>
      <c r="H53" s="397" t="s">
        <v>729</v>
      </c>
      <c r="I53" s="397" t="b">
        <v>0</v>
      </c>
      <c r="J53" s="397" t="s">
        <v>903</v>
      </c>
      <c r="L53" s="397" t="s">
        <v>749</v>
      </c>
      <c r="M53" s="397" t="s">
        <v>904</v>
      </c>
      <c r="N53" s="397">
        <v>0</v>
      </c>
      <c r="O53" s="397">
        <v>202609.93</v>
      </c>
      <c r="P53" s="397" t="s">
        <v>905</v>
      </c>
      <c r="Q53" s="397">
        <v>0</v>
      </c>
      <c r="R53" s="397">
        <v>202609.93</v>
      </c>
      <c r="S53" s="397">
        <v>-202609.93</v>
      </c>
      <c r="T53" s="397" t="s">
        <v>905</v>
      </c>
      <c r="U53" s="397" t="s">
        <v>917</v>
      </c>
      <c r="W53" s="397"/>
      <c r="X53" s="397" t="s">
        <v>805</v>
      </c>
      <c r="Y53" s="397"/>
      <c r="AA53" s="397" t="s">
        <v>907</v>
      </c>
      <c r="AB53" s="397"/>
      <c r="AH53" s="397" t="s">
        <v>918</v>
      </c>
      <c r="AK53" s="397" t="s">
        <v>849</v>
      </c>
      <c r="AL53" s="397" t="s">
        <v>81</v>
      </c>
      <c r="AM53" s="397" t="s">
        <v>913</v>
      </c>
      <c r="AN53" s="397"/>
      <c r="AQ53" s="397" t="s">
        <v>910</v>
      </c>
      <c r="AR53" s="397" t="s">
        <v>911</v>
      </c>
      <c r="AS53" s="406">
        <v>45565.592182465276</v>
      </c>
    </row>
    <row r="54" spans="1:45" x14ac:dyDescent="0.2">
      <c r="A54" s="404" t="s">
        <v>957</v>
      </c>
      <c r="B54" s="397" t="s">
        <v>958</v>
      </c>
      <c r="C54" s="397" t="s">
        <v>863</v>
      </c>
      <c r="D54" s="397" t="s">
        <v>901</v>
      </c>
      <c r="E54" s="397" t="s">
        <v>902</v>
      </c>
      <c r="F54" s="397" t="s">
        <v>721</v>
      </c>
      <c r="G54" s="405">
        <v>45559</v>
      </c>
      <c r="H54" s="397" t="s">
        <v>729</v>
      </c>
      <c r="I54" s="397" t="b">
        <v>0</v>
      </c>
      <c r="J54" s="397" t="s">
        <v>903</v>
      </c>
      <c r="L54" s="397" t="s">
        <v>749</v>
      </c>
      <c r="M54" s="397" t="s">
        <v>904</v>
      </c>
      <c r="N54" s="397">
        <v>0</v>
      </c>
      <c r="O54" s="397">
        <v>58317.57</v>
      </c>
      <c r="P54" s="397" t="s">
        <v>905</v>
      </c>
      <c r="Q54" s="397">
        <v>0</v>
      </c>
      <c r="R54" s="397">
        <v>58317.57</v>
      </c>
      <c r="S54" s="397">
        <v>-58317.57</v>
      </c>
      <c r="T54" s="397" t="s">
        <v>905</v>
      </c>
      <c r="U54" s="397" t="s">
        <v>950</v>
      </c>
      <c r="W54" s="397"/>
      <c r="X54" s="397" t="s">
        <v>805</v>
      </c>
      <c r="Y54" s="397"/>
      <c r="AA54" s="397" t="s">
        <v>907</v>
      </c>
      <c r="AB54" s="397"/>
      <c r="AH54" s="397" t="s">
        <v>908</v>
      </c>
      <c r="AK54" s="397" t="s">
        <v>849</v>
      </c>
      <c r="AL54" s="397" t="s">
        <v>81</v>
      </c>
      <c r="AM54" s="397" t="s">
        <v>913</v>
      </c>
      <c r="AN54" s="397"/>
      <c r="AQ54" s="397" t="s">
        <v>910</v>
      </c>
      <c r="AR54" s="397" t="s">
        <v>911</v>
      </c>
      <c r="AS54" s="406">
        <v>45565.699714027774</v>
      </c>
    </row>
    <row r="55" spans="1:45" x14ac:dyDescent="0.2">
      <c r="A55" s="404" t="s">
        <v>957</v>
      </c>
      <c r="B55" s="397" t="s">
        <v>958</v>
      </c>
      <c r="C55" s="397" t="s">
        <v>863</v>
      </c>
      <c r="D55" s="397" t="s">
        <v>901</v>
      </c>
      <c r="E55" s="397" t="s">
        <v>902</v>
      </c>
      <c r="F55" s="397" t="s">
        <v>721</v>
      </c>
      <c r="G55" s="405">
        <v>45559</v>
      </c>
      <c r="H55" s="397" t="s">
        <v>729</v>
      </c>
      <c r="I55" s="397" t="b">
        <v>0</v>
      </c>
      <c r="J55" s="397" t="s">
        <v>903</v>
      </c>
      <c r="L55" s="397" t="s">
        <v>749</v>
      </c>
      <c r="M55" s="397" t="s">
        <v>904</v>
      </c>
      <c r="N55" s="397">
        <v>0</v>
      </c>
      <c r="O55" s="397">
        <v>3176.99</v>
      </c>
      <c r="P55" s="397" t="s">
        <v>905</v>
      </c>
      <c r="Q55" s="397">
        <v>0</v>
      </c>
      <c r="R55" s="397">
        <v>3176.99</v>
      </c>
      <c r="S55" s="397">
        <v>-3176.99</v>
      </c>
      <c r="T55" s="397" t="s">
        <v>905</v>
      </c>
      <c r="U55" s="397" t="s">
        <v>951</v>
      </c>
      <c r="W55" s="397"/>
      <c r="X55" s="397" t="s">
        <v>805</v>
      </c>
      <c r="Y55" s="397"/>
      <c r="AA55" s="397" t="s">
        <v>907</v>
      </c>
      <c r="AB55" s="397"/>
      <c r="AH55" s="397" t="s">
        <v>908</v>
      </c>
      <c r="AK55" s="397" t="s">
        <v>849</v>
      </c>
      <c r="AL55" s="397" t="s">
        <v>81</v>
      </c>
      <c r="AM55" s="397" t="s">
        <v>913</v>
      </c>
      <c r="AN55" s="397"/>
      <c r="AQ55" s="397" t="s">
        <v>910</v>
      </c>
      <c r="AR55" s="397" t="s">
        <v>911</v>
      </c>
      <c r="AS55" s="406">
        <v>45565.699714027774</v>
      </c>
    </row>
    <row r="56" spans="1:45" x14ac:dyDescent="0.2">
      <c r="A56" s="404" t="s">
        <v>957</v>
      </c>
      <c r="B56" s="397" t="s">
        <v>958</v>
      </c>
      <c r="C56" s="397" t="s">
        <v>863</v>
      </c>
      <c r="D56" s="397" t="s">
        <v>901</v>
      </c>
      <c r="E56" s="397" t="s">
        <v>902</v>
      </c>
      <c r="F56" s="397" t="s">
        <v>721</v>
      </c>
      <c r="G56" s="405">
        <v>45559</v>
      </c>
      <c r="H56" s="397" t="s">
        <v>729</v>
      </c>
      <c r="I56" s="397" t="b">
        <v>0</v>
      </c>
      <c r="J56" s="397" t="s">
        <v>903</v>
      </c>
      <c r="L56" s="397" t="s">
        <v>749</v>
      </c>
      <c r="M56" s="397" t="s">
        <v>904</v>
      </c>
      <c r="N56" s="397">
        <v>0</v>
      </c>
      <c r="O56" s="397">
        <v>990.54</v>
      </c>
      <c r="P56" s="397" t="s">
        <v>905</v>
      </c>
      <c r="Q56" s="397">
        <v>0</v>
      </c>
      <c r="R56" s="397">
        <v>990.54</v>
      </c>
      <c r="S56" s="397">
        <v>-990.54</v>
      </c>
      <c r="T56" s="397" t="s">
        <v>905</v>
      </c>
      <c r="U56" s="397" t="s">
        <v>952</v>
      </c>
      <c r="W56" s="397"/>
      <c r="X56" s="397" t="s">
        <v>805</v>
      </c>
      <c r="Y56" s="397"/>
      <c r="AA56" s="397" t="s">
        <v>907</v>
      </c>
      <c r="AB56" s="397"/>
      <c r="AH56" s="397" t="s">
        <v>908</v>
      </c>
      <c r="AK56" s="397" t="s">
        <v>747</v>
      </c>
      <c r="AL56" s="397" t="s">
        <v>86</v>
      </c>
      <c r="AM56" s="397" t="s">
        <v>909</v>
      </c>
      <c r="AN56" s="397"/>
      <c r="AQ56" s="397" t="s">
        <v>910</v>
      </c>
      <c r="AR56" s="397" t="s">
        <v>911</v>
      </c>
      <c r="AS56" s="406">
        <v>45565.699714027774</v>
      </c>
    </row>
    <row r="57" spans="1:45" x14ac:dyDescent="0.2">
      <c r="A57" s="404" t="s">
        <v>959</v>
      </c>
      <c r="B57" s="397" t="s">
        <v>960</v>
      </c>
      <c r="C57" s="397" t="s">
        <v>863</v>
      </c>
      <c r="D57" s="397" t="s">
        <v>901</v>
      </c>
      <c r="E57" s="397" t="s">
        <v>902</v>
      </c>
      <c r="F57" s="397" t="s">
        <v>721</v>
      </c>
      <c r="G57" s="405">
        <v>45565</v>
      </c>
      <c r="H57" s="397" t="s">
        <v>729</v>
      </c>
      <c r="I57" s="397" t="b">
        <v>1</v>
      </c>
      <c r="J57" s="397" t="s">
        <v>903</v>
      </c>
      <c r="L57" s="397" t="s">
        <v>749</v>
      </c>
      <c r="M57" s="397" t="s">
        <v>904</v>
      </c>
      <c r="N57" s="397">
        <v>0</v>
      </c>
      <c r="O57" s="397">
        <v>91140.72</v>
      </c>
      <c r="P57" s="397" t="s">
        <v>905</v>
      </c>
      <c r="Q57" s="397">
        <v>0</v>
      </c>
      <c r="R57" s="397">
        <v>91140.72</v>
      </c>
      <c r="S57" s="397">
        <v>-91140.72</v>
      </c>
      <c r="T57" s="397" t="s">
        <v>905</v>
      </c>
      <c r="U57" s="397" t="s">
        <v>919</v>
      </c>
      <c r="W57" s="397"/>
      <c r="X57" s="397" t="s">
        <v>805</v>
      </c>
      <c r="Y57" s="397"/>
      <c r="AA57" s="397" t="s">
        <v>907</v>
      </c>
      <c r="AB57" s="397"/>
      <c r="AH57" s="397" t="s">
        <v>920</v>
      </c>
      <c r="AK57" s="397" t="s">
        <v>849</v>
      </c>
      <c r="AL57" s="397" t="s">
        <v>81</v>
      </c>
      <c r="AM57" s="397" t="s">
        <v>913</v>
      </c>
      <c r="AN57" s="397"/>
      <c r="AQ57" s="397" t="s">
        <v>910</v>
      </c>
      <c r="AR57" s="397" t="s">
        <v>911</v>
      </c>
      <c r="AS57" s="406">
        <v>45568.847363472225</v>
      </c>
    </row>
    <row r="58" spans="1:45" x14ac:dyDescent="0.2">
      <c r="A58" s="404" t="s">
        <v>959</v>
      </c>
      <c r="B58" s="397" t="s">
        <v>960</v>
      </c>
      <c r="C58" s="397" t="s">
        <v>863</v>
      </c>
      <c r="D58" s="397" t="s">
        <v>901</v>
      </c>
      <c r="E58" s="397" t="s">
        <v>902</v>
      </c>
      <c r="F58" s="397" t="s">
        <v>721</v>
      </c>
      <c r="G58" s="405">
        <v>45565</v>
      </c>
      <c r="H58" s="397" t="s">
        <v>729</v>
      </c>
      <c r="I58" s="397" t="b">
        <v>1</v>
      </c>
      <c r="J58" s="397" t="s">
        <v>903</v>
      </c>
      <c r="L58" s="397" t="s">
        <v>749</v>
      </c>
      <c r="M58" s="397" t="s">
        <v>904</v>
      </c>
      <c r="N58" s="397">
        <v>0</v>
      </c>
      <c r="O58" s="397">
        <v>204419.68</v>
      </c>
      <c r="P58" s="397" t="s">
        <v>905</v>
      </c>
      <c r="Q58" s="397">
        <v>0</v>
      </c>
      <c r="R58" s="397">
        <v>204419.68</v>
      </c>
      <c r="S58" s="397">
        <v>-204419.68</v>
      </c>
      <c r="T58" s="397" t="s">
        <v>905</v>
      </c>
      <c r="U58" s="397" t="s">
        <v>917</v>
      </c>
      <c r="W58" s="397"/>
      <c r="X58" s="397" t="s">
        <v>805</v>
      </c>
      <c r="Y58" s="397"/>
      <c r="AA58" s="397" t="s">
        <v>907</v>
      </c>
      <c r="AB58" s="397"/>
      <c r="AH58" s="397" t="s">
        <v>918</v>
      </c>
      <c r="AK58" s="397" t="s">
        <v>849</v>
      </c>
      <c r="AL58" s="397" t="s">
        <v>81</v>
      </c>
      <c r="AM58" s="397" t="s">
        <v>913</v>
      </c>
      <c r="AN58" s="397"/>
      <c r="AQ58" s="397" t="s">
        <v>910</v>
      </c>
      <c r="AR58" s="397" t="s">
        <v>911</v>
      </c>
      <c r="AS58" s="406">
        <v>45568.847363472225</v>
      </c>
    </row>
    <row r="59" spans="1:45" x14ac:dyDescent="0.2">
      <c r="A59" s="404" t="s">
        <v>961</v>
      </c>
      <c r="B59" s="397" t="s">
        <v>962</v>
      </c>
      <c r="C59" s="397" t="s">
        <v>863</v>
      </c>
      <c r="D59" s="397" t="s">
        <v>901</v>
      </c>
      <c r="E59" s="397" t="s">
        <v>902</v>
      </c>
      <c r="F59" s="397" t="s">
        <v>722</v>
      </c>
      <c r="G59" s="405">
        <v>45566</v>
      </c>
      <c r="H59" s="397" t="s">
        <v>729</v>
      </c>
      <c r="I59" s="397" t="b">
        <v>0</v>
      </c>
      <c r="J59" s="397" t="s">
        <v>903</v>
      </c>
      <c r="L59" s="397" t="s">
        <v>749</v>
      </c>
      <c r="M59" s="397" t="s">
        <v>904</v>
      </c>
      <c r="N59" s="397">
        <v>91140.72</v>
      </c>
      <c r="O59" s="397">
        <v>0</v>
      </c>
      <c r="P59" s="397" t="s">
        <v>905</v>
      </c>
      <c r="Q59" s="397">
        <v>91140.72</v>
      </c>
      <c r="R59" s="397">
        <v>0</v>
      </c>
      <c r="S59" s="397">
        <v>91140.72</v>
      </c>
      <c r="T59" s="397" t="s">
        <v>905</v>
      </c>
      <c r="U59" s="397" t="s">
        <v>919</v>
      </c>
      <c r="W59" s="397"/>
      <c r="X59" s="397" t="s">
        <v>805</v>
      </c>
      <c r="Y59" s="397"/>
      <c r="AA59" s="397" t="s">
        <v>907</v>
      </c>
      <c r="AB59" s="397"/>
      <c r="AH59" s="397" t="s">
        <v>920</v>
      </c>
      <c r="AK59" s="397" t="s">
        <v>849</v>
      </c>
      <c r="AL59" s="397" t="s">
        <v>81</v>
      </c>
      <c r="AM59" s="397" t="s">
        <v>913</v>
      </c>
      <c r="AN59" s="397"/>
      <c r="AQ59" s="397" t="s">
        <v>910</v>
      </c>
      <c r="AR59" s="397" t="s">
        <v>911</v>
      </c>
      <c r="AS59" s="406">
        <v>45568.847537766203</v>
      </c>
    </row>
    <row r="60" spans="1:45" x14ac:dyDescent="0.2">
      <c r="A60" s="404" t="s">
        <v>961</v>
      </c>
      <c r="B60" s="397" t="s">
        <v>962</v>
      </c>
      <c r="C60" s="397" t="s">
        <v>863</v>
      </c>
      <c r="D60" s="397" t="s">
        <v>901</v>
      </c>
      <c r="E60" s="397" t="s">
        <v>902</v>
      </c>
      <c r="F60" s="397" t="s">
        <v>722</v>
      </c>
      <c r="G60" s="405">
        <v>45566</v>
      </c>
      <c r="H60" s="397" t="s">
        <v>729</v>
      </c>
      <c r="I60" s="397" t="b">
        <v>0</v>
      </c>
      <c r="J60" s="397" t="s">
        <v>903</v>
      </c>
      <c r="L60" s="397" t="s">
        <v>749</v>
      </c>
      <c r="M60" s="397" t="s">
        <v>904</v>
      </c>
      <c r="N60" s="397">
        <v>204419.68</v>
      </c>
      <c r="O60" s="397">
        <v>0</v>
      </c>
      <c r="P60" s="397" t="s">
        <v>905</v>
      </c>
      <c r="Q60" s="397">
        <v>204419.68</v>
      </c>
      <c r="R60" s="397">
        <v>0</v>
      </c>
      <c r="S60" s="397">
        <v>204419.68</v>
      </c>
      <c r="T60" s="397" t="s">
        <v>905</v>
      </c>
      <c r="U60" s="397" t="s">
        <v>917</v>
      </c>
      <c r="W60" s="397"/>
      <c r="X60" s="397" t="s">
        <v>805</v>
      </c>
      <c r="Y60" s="397"/>
      <c r="AA60" s="397" t="s">
        <v>907</v>
      </c>
      <c r="AB60" s="397"/>
      <c r="AH60" s="397" t="s">
        <v>918</v>
      </c>
      <c r="AK60" s="397" t="s">
        <v>849</v>
      </c>
      <c r="AL60" s="397" t="s">
        <v>81</v>
      </c>
      <c r="AM60" s="397" t="s">
        <v>913</v>
      </c>
      <c r="AN60" s="397"/>
      <c r="AQ60" s="397" t="s">
        <v>910</v>
      </c>
      <c r="AR60" s="397" t="s">
        <v>911</v>
      </c>
      <c r="AS60" s="406">
        <v>45568.847537766203</v>
      </c>
    </row>
    <row r="61" spans="1:45" x14ac:dyDescent="0.2">
      <c r="A61" s="404" t="s">
        <v>963</v>
      </c>
      <c r="B61" s="397" t="s">
        <v>964</v>
      </c>
      <c r="C61" s="397" t="s">
        <v>863</v>
      </c>
      <c r="D61" s="397" t="s">
        <v>901</v>
      </c>
      <c r="E61" s="397" t="s">
        <v>902</v>
      </c>
      <c r="F61" s="397" t="s">
        <v>721</v>
      </c>
      <c r="G61" s="405">
        <v>45565</v>
      </c>
      <c r="H61" s="397" t="s">
        <v>729</v>
      </c>
      <c r="I61" s="397" t="b">
        <v>1</v>
      </c>
      <c r="J61" s="397" t="s">
        <v>903</v>
      </c>
      <c r="L61" s="397" t="s">
        <v>749</v>
      </c>
      <c r="M61" s="397" t="s">
        <v>904</v>
      </c>
      <c r="N61" s="397">
        <v>0</v>
      </c>
      <c r="O61" s="397">
        <v>48197.82</v>
      </c>
      <c r="P61" s="397" t="s">
        <v>905</v>
      </c>
      <c r="Q61" s="397">
        <v>0</v>
      </c>
      <c r="R61" s="397">
        <v>48197.82</v>
      </c>
      <c r="S61" s="397">
        <v>-48197.82</v>
      </c>
      <c r="T61" s="397" t="s">
        <v>905</v>
      </c>
      <c r="U61" s="397" t="s">
        <v>965</v>
      </c>
      <c r="W61" s="397"/>
      <c r="X61" s="397" t="s">
        <v>805</v>
      </c>
      <c r="Y61" s="397"/>
      <c r="AA61" s="397" t="s">
        <v>907</v>
      </c>
      <c r="AB61" s="397"/>
      <c r="AH61" s="397" t="s">
        <v>908</v>
      </c>
      <c r="AK61" s="397" t="s">
        <v>849</v>
      </c>
      <c r="AL61" s="397" t="s">
        <v>81</v>
      </c>
      <c r="AM61" s="397" t="s">
        <v>913</v>
      </c>
      <c r="AN61" s="397"/>
      <c r="AQ61" s="397" t="s">
        <v>910</v>
      </c>
      <c r="AR61" s="397" t="s">
        <v>911</v>
      </c>
      <c r="AS61" s="406">
        <v>45569.408889444443</v>
      </c>
    </row>
    <row r="62" spans="1:45" x14ac:dyDescent="0.2">
      <c r="A62" s="404" t="s">
        <v>963</v>
      </c>
      <c r="B62" s="397" t="s">
        <v>964</v>
      </c>
      <c r="C62" s="397" t="s">
        <v>863</v>
      </c>
      <c r="D62" s="397" t="s">
        <v>901</v>
      </c>
      <c r="E62" s="397" t="s">
        <v>902</v>
      </c>
      <c r="F62" s="397" t="s">
        <v>721</v>
      </c>
      <c r="G62" s="405">
        <v>45565</v>
      </c>
      <c r="H62" s="397" t="s">
        <v>729</v>
      </c>
      <c r="I62" s="397" t="b">
        <v>1</v>
      </c>
      <c r="J62" s="397" t="s">
        <v>903</v>
      </c>
      <c r="L62" s="397" t="s">
        <v>749</v>
      </c>
      <c r="M62" s="397" t="s">
        <v>904</v>
      </c>
      <c r="N62" s="397">
        <v>0</v>
      </c>
      <c r="O62" s="397">
        <v>1660.6</v>
      </c>
      <c r="P62" s="397" t="s">
        <v>905</v>
      </c>
      <c r="Q62" s="397">
        <v>0</v>
      </c>
      <c r="R62" s="397">
        <v>1660.6</v>
      </c>
      <c r="S62" s="397">
        <v>-1660.6</v>
      </c>
      <c r="T62" s="397" t="s">
        <v>905</v>
      </c>
      <c r="U62" s="397" t="s">
        <v>966</v>
      </c>
      <c r="W62" s="397"/>
      <c r="X62" s="397" t="s">
        <v>805</v>
      </c>
      <c r="Y62" s="397"/>
      <c r="AA62" s="397" t="s">
        <v>907</v>
      </c>
      <c r="AB62" s="397"/>
      <c r="AH62" s="397" t="s">
        <v>908</v>
      </c>
      <c r="AK62" s="397" t="s">
        <v>849</v>
      </c>
      <c r="AL62" s="397" t="s">
        <v>81</v>
      </c>
      <c r="AM62" s="397" t="s">
        <v>913</v>
      </c>
      <c r="AN62" s="397"/>
      <c r="AQ62" s="397" t="s">
        <v>910</v>
      </c>
      <c r="AR62" s="397" t="s">
        <v>911</v>
      </c>
      <c r="AS62" s="406">
        <v>45569.408889444443</v>
      </c>
    </row>
    <row r="63" spans="1:45" x14ac:dyDescent="0.2">
      <c r="A63" s="404" t="s">
        <v>963</v>
      </c>
      <c r="B63" s="397" t="s">
        <v>964</v>
      </c>
      <c r="C63" s="397" t="s">
        <v>863</v>
      </c>
      <c r="D63" s="397" t="s">
        <v>901</v>
      </c>
      <c r="E63" s="397" t="s">
        <v>902</v>
      </c>
      <c r="F63" s="397" t="s">
        <v>721</v>
      </c>
      <c r="G63" s="405">
        <v>45565</v>
      </c>
      <c r="H63" s="397" t="s">
        <v>729</v>
      </c>
      <c r="I63" s="397" t="b">
        <v>1</v>
      </c>
      <c r="J63" s="397" t="s">
        <v>903</v>
      </c>
      <c r="L63" s="397" t="s">
        <v>749</v>
      </c>
      <c r="M63" s="397" t="s">
        <v>904</v>
      </c>
      <c r="N63" s="397">
        <v>0</v>
      </c>
      <c r="O63" s="397">
        <v>990.54</v>
      </c>
      <c r="P63" s="397" t="s">
        <v>905</v>
      </c>
      <c r="Q63" s="397">
        <v>0</v>
      </c>
      <c r="R63" s="397">
        <v>990.54</v>
      </c>
      <c r="S63" s="397">
        <v>-990.54</v>
      </c>
      <c r="T63" s="397" t="s">
        <v>905</v>
      </c>
      <c r="U63" s="397" t="s">
        <v>967</v>
      </c>
      <c r="W63" s="397"/>
      <c r="X63" s="397" t="s">
        <v>805</v>
      </c>
      <c r="Y63" s="397"/>
      <c r="AA63" s="397" t="s">
        <v>907</v>
      </c>
      <c r="AB63" s="397"/>
      <c r="AH63" s="397" t="s">
        <v>908</v>
      </c>
      <c r="AK63" s="397" t="s">
        <v>747</v>
      </c>
      <c r="AL63" s="397" t="s">
        <v>86</v>
      </c>
      <c r="AM63" s="397" t="s">
        <v>909</v>
      </c>
      <c r="AN63" s="397"/>
      <c r="AQ63" s="397" t="s">
        <v>910</v>
      </c>
      <c r="AR63" s="397" t="s">
        <v>911</v>
      </c>
      <c r="AS63" s="406">
        <v>45569.408889444443</v>
      </c>
    </row>
    <row r="64" spans="1:45" x14ac:dyDescent="0.2">
      <c r="A64" s="404" t="s">
        <v>968</v>
      </c>
      <c r="B64" s="397" t="s">
        <v>969</v>
      </c>
      <c r="C64" s="397" t="s">
        <v>863</v>
      </c>
      <c r="D64" s="397" t="s">
        <v>901</v>
      </c>
      <c r="E64" s="397" t="s">
        <v>902</v>
      </c>
      <c r="F64" s="397" t="s">
        <v>722</v>
      </c>
      <c r="G64" s="405">
        <v>45566</v>
      </c>
      <c r="H64" s="397" t="s">
        <v>729</v>
      </c>
      <c r="I64" s="397" t="b">
        <v>0</v>
      </c>
      <c r="J64" s="397" t="s">
        <v>903</v>
      </c>
      <c r="L64" s="397" t="s">
        <v>749</v>
      </c>
      <c r="M64" s="397" t="s">
        <v>904</v>
      </c>
      <c r="N64" s="397">
        <v>990.54</v>
      </c>
      <c r="O64" s="397">
        <v>0</v>
      </c>
      <c r="P64" s="397" t="s">
        <v>905</v>
      </c>
      <c r="Q64" s="397">
        <v>990.54</v>
      </c>
      <c r="R64" s="397">
        <v>0</v>
      </c>
      <c r="S64" s="397">
        <v>990.54</v>
      </c>
      <c r="T64" s="397" t="s">
        <v>905</v>
      </c>
      <c r="U64" s="397" t="s">
        <v>967</v>
      </c>
      <c r="W64" s="397"/>
      <c r="X64" s="397" t="s">
        <v>805</v>
      </c>
      <c r="Y64" s="397"/>
      <c r="AA64" s="397" t="s">
        <v>907</v>
      </c>
      <c r="AB64" s="397"/>
      <c r="AH64" s="397" t="s">
        <v>908</v>
      </c>
      <c r="AK64" s="397" t="s">
        <v>747</v>
      </c>
      <c r="AL64" s="397" t="s">
        <v>86</v>
      </c>
      <c r="AM64" s="397" t="s">
        <v>909</v>
      </c>
      <c r="AN64" s="397"/>
      <c r="AQ64" s="397" t="s">
        <v>910</v>
      </c>
      <c r="AR64" s="397" t="s">
        <v>911</v>
      </c>
      <c r="AS64" s="406">
        <v>45569.4091668287</v>
      </c>
    </row>
    <row r="65" spans="1:45" x14ac:dyDescent="0.2">
      <c r="A65" s="404" t="s">
        <v>968</v>
      </c>
      <c r="B65" s="397" t="s">
        <v>969</v>
      </c>
      <c r="C65" s="397" t="s">
        <v>863</v>
      </c>
      <c r="D65" s="397" t="s">
        <v>901</v>
      </c>
      <c r="E65" s="397" t="s">
        <v>902</v>
      </c>
      <c r="F65" s="397" t="s">
        <v>722</v>
      </c>
      <c r="G65" s="405">
        <v>45566</v>
      </c>
      <c r="H65" s="397" t="s">
        <v>729</v>
      </c>
      <c r="I65" s="397" t="b">
        <v>0</v>
      </c>
      <c r="J65" s="397" t="s">
        <v>903</v>
      </c>
      <c r="L65" s="397" t="s">
        <v>749</v>
      </c>
      <c r="M65" s="397" t="s">
        <v>904</v>
      </c>
      <c r="N65" s="397">
        <v>48197.82</v>
      </c>
      <c r="O65" s="397">
        <v>0</v>
      </c>
      <c r="P65" s="397" t="s">
        <v>905</v>
      </c>
      <c r="Q65" s="397">
        <v>48197.82</v>
      </c>
      <c r="R65" s="397">
        <v>0</v>
      </c>
      <c r="S65" s="397">
        <v>48197.82</v>
      </c>
      <c r="T65" s="397" t="s">
        <v>905</v>
      </c>
      <c r="U65" s="397" t="s">
        <v>965</v>
      </c>
      <c r="W65" s="397"/>
      <c r="X65" s="397" t="s">
        <v>805</v>
      </c>
      <c r="Y65" s="397"/>
      <c r="AA65" s="397" t="s">
        <v>907</v>
      </c>
      <c r="AB65" s="397"/>
      <c r="AH65" s="397" t="s">
        <v>908</v>
      </c>
      <c r="AK65" s="397" t="s">
        <v>849</v>
      </c>
      <c r="AL65" s="397" t="s">
        <v>81</v>
      </c>
      <c r="AM65" s="397" t="s">
        <v>913</v>
      </c>
      <c r="AN65" s="397"/>
      <c r="AQ65" s="397" t="s">
        <v>910</v>
      </c>
      <c r="AR65" s="397" t="s">
        <v>911</v>
      </c>
      <c r="AS65" s="406">
        <v>45569.4091668287</v>
      </c>
    </row>
    <row r="66" spans="1:45" x14ac:dyDescent="0.2">
      <c r="A66" s="404" t="s">
        <v>968</v>
      </c>
      <c r="B66" s="397" t="s">
        <v>969</v>
      </c>
      <c r="C66" s="397" t="s">
        <v>863</v>
      </c>
      <c r="D66" s="397" t="s">
        <v>901</v>
      </c>
      <c r="E66" s="397" t="s">
        <v>902</v>
      </c>
      <c r="F66" s="397" t="s">
        <v>722</v>
      </c>
      <c r="G66" s="405">
        <v>45566</v>
      </c>
      <c r="H66" s="397" t="s">
        <v>729</v>
      </c>
      <c r="I66" s="397" t="b">
        <v>0</v>
      </c>
      <c r="J66" s="397" t="s">
        <v>903</v>
      </c>
      <c r="L66" s="397" t="s">
        <v>749</v>
      </c>
      <c r="M66" s="397" t="s">
        <v>904</v>
      </c>
      <c r="N66" s="397">
        <v>1660.6</v>
      </c>
      <c r="O66" s="397">
        <v>0</v>
      </c>
      <c r="P66" s="397" t="s">
        <v>905</v>
      </c>
      <c r="Q66" s="397">
        <v>1660.6</v>
      </c>
      <c r="R66" s="397">
        <v>0</v>
      </c>
      <c r="S66" s="397">
        <v>1660.6</v>
      </c>
      <c r="T66" s="397" t="s">
        <v>905</v>
      </c>
      <c r="U66" s="397" t="s">
        <v>966</v>
      </c>
      <c r="W66" s="397"/>
      <c r="X66" s="397" t="s">
        <v>805</v>
      </c>
      <c r="Y66" s="397"/>
      <c r="AA66" s="397" t="s">
        <v>907</v>
      </c>
      <c r="AB66" s="397"/>
      <c r="AH66" s="397" t="s">
        <v>908</v>
      </c>
      <c r="AK66" s="397" t="s">
        <v>849</v>
      </c>
      <c r="AL66" s="397" t="s">
        <v>81</v>
      </c>
      <c r="AM66" s="397" t="s">
        <v>913</v>
      </c>
      <c r="AN66" s="397"/>
      <c r="AQ66" s="397" t="s">
        <v>910</v>
      </c>
      <c r="AR66" s="397" t="s">
        <v>911</v>
      </c>
      <c r="AS66" s="406">
        <v>45569.4091668287</v>
      </c>
    </row>
    <row r="67" spans="1:45" x14ac:dyDescent="0.2">
      <c r="A67" s="404" t="s">
        <v>970</v>
      </c>
      <c r="B67" s="397" t="s">
        <v>971</v>
      </c>
      <c r="C67" s="397" t="s">
        <v>863</v>
      </c>
      <c r="D67" s="397" t="s">
        <v>923</v>
      </c>
      <c r="E67" s="397" t="s">
        <v>902</v>
      </c>
      <c r="F67" s="397" t="s">
        <v>722</v>
      </c>
      <c r="G67" s="405">
        <v>45586</v>
      </c>
      <c r="H67" s="397" t="s">
        <v>729</v>
      </c>
      <c r="I67" s="397" t="b">
        <v>0</v>
      </c>
      <c r="J67" s="397" t="s">
        <v>903</v>
      </c>
      <c r="L67" s="397" t="s">
        <v>749</v>
      </c>
      <c r="M67" s="397" t="s">
        <v>904</v>
      </c>
      <c r="N67" s="397">
        <v>0</v>
      </c>
      <c r="O67" s="397">
        <v>110451.75</v>
      </c>
      <c r="P67" s="397" t="s">
        <v>905</v>
      </c>
      <c r="Q67" s="397">
        <v>0</v>
      </c>
      <c r="R67" s="397">
        <v>110451.75</v>
      </c>
      <c r="S67" s="397">
        <v>-110451.75</v>
      </c>
      <c r="T67" s="397" t="s">
        <v>905</v>
      </c>
      <c r="U67" s="397" t="s">
        <v>919</v>
      </c>
      <c r="W67" s="397"/>
      <c r="X67" s="397" t="s">
        <v>805</v>
      </c>
      <c r="Y67" s="397"/>
      <c r="AA67" s="397" t="s">
        <v>907</v>
      </c>
      <c r="AB67" s="397"/>
      <c r="AH67" s="397" t="s">
        <v>920</v>
      </c>
      <c r="AK67" s="397" t="s">
        <v>849</v>
      </c>
      <c r="AL67" s="397" t="s">
        <v>81</v>
      </c>
      <c r="AM67" s="397" t="s">
        <v>913</v>
      </c>
      <c r="AN67" s="397"/>
      <c r="AQ67" s="397" t="s">
        <v>910</v>
      </c>
      <c r="AR67" s="397" t="s">
        <v>911</v>
      </c>
      <c r="AS67" s="406">
        <v>45595.51624986111</v>
      </c>
    </row>
    <row r="68" spans="1:45" x14ac:dyDescent="0.2">
      <c r="A68" s="404" t="s">
        <v>970</v>
      </c>
      <c r="B68" s="397" t="s">
        <v>971</v>
      </c>
      <c r="C68" s="397" t="s">
        <v>863</v>
      </c>
      <c r="D68" s="397" t="s">
        <v>923</v>
      </c>
      <c r="E68" s="397" t="s">
        <v>902</v>
      </c>
      <c r="F68" s="397" t="s">
        <v>722</v>
      </c>
      <c r="G68" s="405">
        <v>45586</v>
      </c>
      <c r="H68" s="397" t="s">
        <v>729</v>
      </c>
      <c r="I68" s="397" t="b">
        <v>0</v>
      </c>
      <c r="J68" s="397" t="s">
        <v>903</v>
      </c>
      <c r="L68" s="397" t="s">
        <v>749</v>
      </c>
      <c r="M68" s="397" t="s">
        <v>904</v>
      </c>
      <c r="N68" s="397">
        <v>0</v>
      </c>
      <c r="O68" s="397">
        <v>437</v>
      </c>
      <c r="P68" s="397" t="s">
        <v>905</v>
      </c>
      <c r="Q68" s="397">
        <v>0</v>
      </c>
      <c r="R68" s="397">
        <v>437</v>
      </c>
      <c r="S68" s="397">
        <v>-437</v>
      </c>
      <c r="T68" s="397" t="s">
        <v>905</v>
      </c>
      <c r="U68" s="397" t="s">
        <v>924</v>
      </c>
      <c r="W68" s="397"/>
      <c r="X68" s="397" t="s">
        <v>805</v>
      </c>
      <c r="Y68" s="397"/>
      <c r="AA68" s="397" t="s">
        <v>907</v>
      </c>
      <c r="AB68" s="397"/>
      <c r="AH68" s="397" t="s">
        <v>925</v>
      </c>
      <c r="AK68" s="397" t="s">
        <v>849</v>
      </c>
      <c r="AL68" s="397" t="s">
        <v>81</v>
      </c>
      <c r="AM68" s="397" t="s">
        <v>913</v>
      </c>
      <c r="AN68" s="397"/>
      <c r="AQ68" s="397" t="s">
        <v>910</v>
      </c>
      <c r="AR68" s="397" t="s">
        <v>911</v>
      </c>
      <c r="AS68" s="406">
        <v>45595.51624986111</v>
      </c>
    </row>
    <row r="69" spans="1:45" x14ac:dyDescent="0.2">
      <c r="A69" s="404" t="s">
        <v>970</v>
      </c>
      <c r="B69" s="397" t="s">
        <v>971</v>
      </c>
      <c r="C69" s="397" t="s">
        <v>863</v>
      </c>
      <c r="D69" s="397" t="s">
        <v>923</v>
      </c>
      <c r="E69" s="397" t="s">
        <v>902</v>
      </c>
      <c r="F69" s="397" t="s">
        <v>722</v>
      </c>
      <c r="G69" s="405">
        <v>45586</v>
      </c>
      <c r="H69" s="397" t="s">
        <v>729</v>
      </c>
      <c r="I69" s="397" t="b">
        <v>0</v>
      </c>
      <c r="J69" s="397" t="s">
        <v>903</v>
      </c>
      <c r="L69" s="397" t="s">
        <v>749</v>
      </c>
      <c r="M69" s="397" t="s">
        <v>904</v>
      </c>
      <c r="N69" s="397">
        <v>0</v>
      </c>
      <c r="O69" s="397">
        <v>182173.64</v>
      </c>
      <c r="P69" s="397" t="s">
        <v>905</v>
      </c>
      <c r="Q69" s="397">
        <v>0</v>
      </c>
      <c r="R69" s="397">
        <v>182173.64</v>
      </c>
      <c r="S69" s="397">
        <v>-182173.64</v>
      </c>
      <c r="T69" s="397" t="s">
        <v>905</v>
      </c>
      <c r="U69" s="397" t="s">
        <v>917</v>
      </c>
      <c r="W69" s="397"/>
      <c r="X69" s="397" t="s">
        <v>805</v>
      </c>
      <c r="Y69" s="397"/>
      <c r="AA69" s="397" t="s">
        <v>907</v>
      </c>
      <c r="AB69" s="397"/>
      <c r="AH69" s="397" t="s">
        <v>918</v>
      </c>
      <c r="AK69" s="397" t="s">
        <v>849</v>
      </c>
      <c r="AL69" s="397" t="s">
        <v>81</v>
      </c>
      <c r="AM69" s="397" t="s">
        <v>913</v>
      </c>
      <c r="AN69" s="397"/>
      <c r="AQ69" s="397" t="s">
        <v>910</v>
      </c>
      <c r="AR69" s="397" t="s">
        <v>911</v>
      </c>
      <c r="AS69" s="406">
        <v>45595.51624986111</v>
      </c>
    </row>
    <row r="70" spans="1:45" x14ac:dyDescent="0.2">
      <c r="A70" s="404" t="s">
        <v>972</v>
      </c>
      <c r="B70" s="397" t="s">
        <v>973</v>
      </c>
      <c r="C70" s="397" t="s">
        <v>863</v>
      </c>
      <c r="D70" s="397" t="s">
        <v>901</v>
      </c>
      <c r="E70" s="397" t="s">
        <v>902</v>
      </c>
      <c r="F70" s="397" t="s">
        <v>722</v>
      </c>
      <c r="G70" s="405">
        <v>45586</v>
      </c>
      <c r="H70" s="397" t="s">
        <v>729</v>
      </c>
      <c r="I70" s="397" t="b">
        <v>0</v>
      </c>
      <c r="J70" s="397" t="s">
        <v>903</v>
      </c>
      <c r="L70" s="397" t="s">
        <v>749</v>
      </c>
      <c r="M70" s="397" t="s">
        <v>904</v>
      </c>
      <c r="N70" s="397">
        <v>0</v>
      </c>
      <c r="O70" s="397">
        <v>48197.82</v>
      </c>
      <c r="P70" s="397" t="s">
        <v>905</v>
      </c>
      <c r="Q70" s="397">
        <v>0</v>
      </c>
      <c r="R70" s="397">
        <v>48197.82</v>
      </c>
      <c r="S70" s="397">
        <v>-48197.82</v>
      </c>
      <c r="T70" s="397" t="s">
        <v>905</v>
      </c>
      <c r="U70" s="397" t="s">
        <v>965</v>
      </c>
      <c r="W70" s="397"/>
      <c r="X70" s="397" t="s">
        <v>805</v>
      </c>
      <c r="Y70" s="397"/>
      <c r="AA70" s="397" t="s">
        <v>907</v>
      </c>
      <c r="AB70" s="397"/>
      <c r="AH70" s="397" t="s">
        <v>908</v>
      </c>
      <c r="AK70" s="397" t="s">
        <v>849</v>
      </c>
      <c r="AL70" s="397" t="s">
        <v>81</v>
      </c>
      <c r="AM70" s="397" t="s">
        <v>913</v>
      </c>
      <c r="AN70" s="397"/>
      <c r="AQ70" s="397" t="s">
        <v>910</v>
      </c>
      <c r="AR70" s="397" t="s">
        <v>911</v>
      </c>
      <c r="AS70" s="406">
        <v>45595.598445347219</v>
      </c>
    </row>
    <row r="71" spans="1:45" x14ac:dyDescent="0.2">
      <c r="A71" s="404" t="s">
        <v>972</v>
      </c>
      <c r="B71" s="397" t="s">
        <v>973</v>
      </c>
      <c r="C71" s="397" t="s">
        <v>863</v>
      </c>
      <c r="D71" s="397" t="s">
        <v>901</v>
      </c>
      <c r="E71" s="397" t="s">
        <v>902</v>
      </c>
      <c r="F71" s="397" t="s">
        <v>722</v>
      </c>
      <c r="G71" s="405">
        <v>45586</v>
      </c>
      <c r="H71" s="397" t="s">
        <v>729</v>
      </c>
      <c r="I71" s="397" t="b">
        <v>0</v>
      </c>
      <c r="J71" s="397" t="s">
        <v>903</v>
      </c>
      <c r="L71" s="397" t="s">
        <v>749</v>
      </c>
      <c r="M71" s="397" t="s">
        <v>904</v>
      </c>
      <c r="N71" s="397">
        <v>0</v>
      </c>
      <c r="O71" s="397">
        <v>2604.52</v>
      </c>
      <c r="P71" s="397" t="s">
        <v>905</v>
      </c>
      <c r="Q71" s="397">
        <v>0</v>
      </c>
      <c r="R71" s="397">
        <v>2604.52</v>
      </c>
      <c r="S71" s="397">
        <v>-2604.52</v>
      </c>
      <c r="T71" s="397" t="s">
        <v>905</v>
      </c>
      <c r="U71" s="397" t="s">
        <v>966</v>
      </c>
      <c r="W71" s="397"/>
      <c r="X71" s="397" t="s">
        <v>805</v>
      </c>
      <c r="Y71" s="397"/>
      <c r="AA71" s="397" t="s">
        <v>907</v>
      </c>
      <c r="AB71" s="397"/>
      <c r="AH71" s="397" t="s">
        <v>908</v>
      </c>
      <c r="AK71" s="397" t="s">
        <v>849</v>
      </c>
      <c r="AL71" s="397" t="s">
        <v>81</v>
      </c>
      <c r="AM71" s="397" t="s">
        <v>913</v>
      </c>
      <c r="AN71" s="397"/>
      <c r="AQ71" s="397" t="s">
        <v>910</v>
      </c>
      <c r="AR71" s="397" t="s">
        <v>911</v>
      </c>
      <c r="AS71" s="406">
        <v>45595.598445347219</v>
      </c>
    </row>
    <row r="72" spans="1:45" x14ac:dyDescent="0.2">
      <c r="A72" s="404" t="s">
        <v>972</v>
      </c>
      <c r="B72" s="397" t="s">
        <v>973</v>
      </c>
      <c r="C72" s="397" t="s">
        <v>863</v>
      </c>
      <c r="D72" s="397" t="s">
        <v>901</v>
      </c>
      <c r="E72" s="397" t="s">
        <v>902</v>
      </c>
      <c r="F72" s="397" t="s">
        <v>722</v>
      </c>
      <c r="G72" s="405">
        <v>45586</v>
      </c>
      <c r="H72" s="397" t="s">
        <v>729</v>
      </c>
      <c r="I72" s="397" t="b">
        <v>0</v>
      </c>
      <c r="J72" s="397" t="s">
        <v>903</v>
      </c>
      <c r="L72" s="397" t="s">
        <v>749</v>
      </c>
      <c r="M72" s="397" t="s">
        <v>904</v>
      </c>
      <c r="N72" s="397">
        <v>0</v>
      </c>
      <c r="O72" s="397">
        <v>990.54</v>
      </c>
      <c r="P72" s="397" t="s">
        <v>905</v>
      </c>
      <c r="Q72" s="397">
        <v>0</v>
      </c>
      <c r="R72" s="397">
        <v>990.54</v>
      </c>
      <c r="S72" s="397">
        <v>-990.54</v>
      </c>
      <c r="T72" s="397" t="s">
        <v>905</v>
      </c>
      <c r="U72" s="397" t="s">
        <v>967</v>
      </c>
      <c r="W72" s="397"/>
      <c r="X72" s="397" t="s">
        <v>805</v>
      </c>
      <c r="Y72" s="397"/>
      <c r="AA72" s="397" t="s">
        <v>907</v>
      </c>
      <c r="AB72" s="397"/>
      <c r="AH72" s="397" t="s">
        <v>908</v>
      </c>
      <c r="AK72" s="397" t="s">
        <v>747</v>
      </c>
      <c r="AL72" s="397" t="s">
        <v>86</v>
      </c>
      <c r="AM72" s="397" t="s">
        <v>909</v>
      </c>
      <c r="AN72" s="397"/>
      <c r="AQ72" s="397" t="s">
        <v>910</v>
      </c>
      <c r="AR72" s="397" t="s">
        <v>911</v>
      </c>
      <c r="AS72" s="406">
        <v>45595.598445347219</v>
      </c>
    </row>
    <row r="73" spans="1:45" x14ac:dyDescent="0.2">
      <c r="A73" s="404" t="s">
        <v>974</v>
      </c>
      <c r="B73" s="397" t="s">
        <v>975</v>
      </c>
      <c r="C73" s="397" t="s">
        <v>863</v>
      </c>
      <c r="D73" s="397" t="s">
        <v>901</v>
      </c>
      <c r="E73" s="397" t="s">
        <v>902</v>
      </c>
      <c r="F73" s="397" t="s">
        <v>722</v>
      </c>
      <c r="G73" s="405">
        <v>45596</v>
      </c>
      <c r="H73" s="397" t="s">
        <v>729</v>
      </c>
      <c r="I73" s="397" t="b">
        <v>1</v>
      </c>
      <c r="J73" s="397" t="s">
        <v>903</v>
      </c>
      <c r="L73" s="397" t="s">
        <v>749</v>
      </c>
      <c r="M73" s="397" t="s">
        <v>904</v>
      </c>
      <c r="N73" s="397">
        <v>0</v>
      </c>
      <c r="O73" s="397">
        <v>50674.52</v>
      </c>
      <c r="P73" s="397" t="s">
        <v>905</v>
      </c>
      <c r="Q73" s="397">
        <v>0</v>
      </c>
      <c r="R73" s="397">
        <v>50674.52</v>
      </c>
      <c r="S73" s="397">
        <v>-50674.52</v>
      </c>
      <c r="T73" s="397" t="s">
        <v>905</v>
      </c>
      <c r="U73" s="397" t="s">
        <v>919</v>
      </c>
      <c r="W73" s="397"/>
      <c r="X73" s="397" t="s">
        <v>805</v>
      </c>
      <c r="Y73" s="397"/>
      <c r="AA73" s="397" t="s">
        <v>907</v>
      </c>
      <c r="AB73" s="397"/>
      <c r="AH73" s="397" t="s">
        <v>920</v>
      </c>
      <c r="AK73" s="397" t="s">
        <v>849</v>
      </c>
      <c r="AL73" s="397" t="s">
        <v>81</v>
      </c>
      <c r="AM73" s="397" t="s">
        <v>913</v>
      </c>
      <c r="AN73" s="397"/>
      <c r="AQ73" s="397" t="s">
        <v>910</v>
      </c>
      <c r="AR73" s="397" t="s">
        <v>911</v>
      </c>
      <c r="AS73" s="406">
        <v>45601.629876157407</v>
      </c>
    </row>
    <row r="74" spans="1:45" x14ac:dyDescent="0.2">
      <c r="A74" s="404" t="s">
        <v>974</v>
      </c>
      <c r="B74" s="397" t="s">
        <v>975</v>
      </c>
      <c r="C74" s="397" t="s">
        <v>863</v>
      </c>
      <c r="D74" s="397" t="s">
        <v>901</v>
      </c>
      <c r="E74" s="397" t="s">
        <v>902</v>
      </c>
      <c r="F74" s="397" t="s">
        <v>722</v>
      </c>
      <c r="G74" s="405">
        <v>45596</v>
      </c>
      <c r="H74" s="397" t="s">
        <v>729</v>
      </c>
      <c r="I74" s="397" t="b">
        <v>1</v>
      </c>
      <c r="J74" s="397" t="s">
        <v>903</v>
      </c>
      <c r="L74" s="397" t="s">
        <v>749</v>
      </c>
      <c r="M74" s="397" t="s">
        <v>904</v>
      </c>
      <c r="N74" s="397">
        <v>0</v>
      </c>
      <c r="O74" s="397">
        <v>188241.14</v>
      </c>
      <c r="P74" s="397" t="s">
        <v>905</v>
      </c>
      <c r="Q74" s="397">
        <v>0</v>
      </c>
      <c r="R74" s="397">
        <v>188241.14</v>
      </c>
      <c r="S74" s="397">
        <v>-188241.14</v>
      </c>
      <c r="T74" s="397" t="s">
        <v>905</v>
      </c>
      <c r="U74" s="397" t="s">
        <v>917</v>
      </c>
      <c r="W74" s="397"/>
      <c r="X74" s="397" t="s">
        <v>805</v>
      </c>
      <c r="Y74" s="397"/>
      <c r="AA74" s="397" t="s">
        <v>907</v>
      </c>
      <c r="AB74" s="397"/>
      <c r="AH74" s="397" t="s">
        <v>918</v>
      </c>
      <c r="AK74" s="397" t="s">
        <v>849</v>
      </c>
      <c r="AL74" s="397" t="s">
        <v>81</v>
      </c>
      <c r="AM74" s="397" t="s">
        <v>913</v>
      </c>
      <c r="AN74" s="397"/>
      <c r="AQ74" s="397" t="s">
        <v>910</v>
      </c>
      <c r="AR74" s="397" t="s">
        <v>911</v>
      </c>
      <c r="AS74" s="406">
        <v>45601.629876157407</v>
      </c>
    </row>
    <row r="75" spans="1:45" x14ac:dyDescent="0.2">
      <c r="A75" s="404" t="s">
        <v>976</v>
      </c>
      <c r="B75" s="397" t="s">
        <v>977</v>
      </c>
      <c r="C75" s="397" t="s">
        <v>863</v>
      </c>
      <c r="D75" s="397" t="s">
        <v>901</v>
      </c>
      <c r="E75" s="397" t="s">
        <v>902</v>
      </c>
      <c r="F75" s="397" t="s">
        <v>717</v>
      </c>
      <c r="G75" s="405">
        <v>45597</v>
      </c>
      <c r="H75" s="397" t="s">
        <v>729</v>
      </c>
      <c r="I75" s="397" t="b">
        <v>0</v>
      </c>
      <c r="J75" s="397" t="s">
        <v>903</v>
      </c>
      <c r="L75" s="397" t="s">
        <v>749</v>
      </c>
      <c r="M75" s="397" t="s">
        <v>904</v>
      </c>
      <c r="N75" s="397">
        <v>50674.52</v>
      </c>
      <c r="O75" s="397">
        <v>0</v>
      </c>
      <c r="P75" s="397" t="s">
        <v>905</v>
      </c>
      <c r="Q75" s="397">
        <v>50674.52</v>
      </c>
      <c r="R75" s="397">
        <v>0</v>
      </c>
      <c r="S75" s="397">
        <v>50674.52</v>
      </c>
      <c r="T75" s="397" t="s">
        <v>905</v>
      </c>
      <c r="U75" s="397" t="s">
        <v>919</v>
      </c>
      <c r="W75" s="397"/>
      <c r="X75" s="397" t="s">
        <v>805</v>
      </c>
      <c r="Y75" s="397"/>
      <c r="AA75" s="397" t="s">
        <v>907</v>
      </c>
      <c r="AB75" s="397"/>
      <c r="AH75" s="397" t="s">
        <v>920</v>
      </c>
      <c r="AK75" s="397" t="s">
        <v>849</v>
      </c>
      <c r="AL75" s="397" t="s">
        <v>81</v>
      </c>
      <c r="AM75" s="397" t="s">
        <v>913</v>
      </c>
      <c r="AN75" s="397"/>
      <c r="AQ75" s="397" t="s">
        <v>910</v>
      </c>
      <c r="AR75" s="397" t="s">
        <v>911</v>
      </c>
      <c r="AS75" s="406">
        <v>45601.630053310182</v>
      </c>
    </row>
    <row r="76" spans="1:45" x14ac:dyDescent="0.2">
      <c r="A76" s="404" t="s">
        <v>976</v>
      </c>
      <c r="B76" s="397" t="s">
        <v>977</v>
      </c>
      <c r="C76" s="397" t="s">
        <v>863</v>
      </c>
      <c r="D76" s="397" t="s">
        <v>901</v>
      </c>
      <c r="E76" s="397" t="s">
        <v>902</v>
      </c>
      <c r="F76" s="397" t="s">
        <v>717</v>
      </c>
      <c r="G76" s="405">
        <v>45597</v>
      </c>
      <c r="H76" s="397" t="s">
        <v>729</v>
      </c>
      <c r="I76" s="397" t="b">
        <v>0</v>
      </c>
      <c r="J76" s="397" t="s">
        <v>903</v>
      </c>
      <c r="L76" s="397" t="s">
        <v>749</v>
      </c>
      <c r="M76" s="397" t="s">
        <v>904</v>
      </c>
      <c r="N76" s="397">
        <v>188241.14</v>
      </c>
      <c r="O76" s="397">
        <v>0</v>
      </c>
      <c r="P76" s="397" t="s">
        <v>905</v>
      </c>
      <c r="Q76" s="397">
        <v>188241.14</v>
      </c>
      <c r="R76" s="397">
        <v>0</v>
      </c>
      <c r="S76" s="397">
        <v>188241.14</v>
      </c>
      <c r="T76" s="397" t="s">
        <v>905</v>
      </c>
      <c r="U76" s="397" t="s">
        <v>917</v>
      </c>
      <c r="W76" s="397"/>
      <c r="X76" s="397" t="s">
        <v>805</v>
      </c>
      <c r="Y76" s="397"/>
      <c r="AA76" s="397" t="s">
        <v>907</v>
      </c>
      <c r="AB76" s="397"/>
      <c r="AH76" s="397" t="s">
        <v>918</v>
      </c>
      <c r="AK76" s="397" t="s">
        <v>849</v>
      </c>
      <c r="AL76" s="397" t="s">
        <v>81</v>
      </c>
      <c r="AM76" s="397" t="s">
        <v>913</v>
      </c>
      <c r="AN76" s="397"/>
      <c r="AQ76" s="397" t="s">
        <v>910</v>
      </c>
      <c r="AR76" s="397" t="s">
        <v>911</v>
      </c>
      <c r="AS76" s="406">
        <v>45601.630053310182</v>
      </c>
    </row>
    <row r="77" spans="1:45" x14ac:dyDescent="0.2">
      <c r="A77" s="404" t="s">
        <v>978</v>
      </c>
      <c r="B77" s="397" t="s">
        <v>979</v>
      </c>
      <c r="C77" s="397" t="s">
        <v>863</v>
      </c>
      <c r="D77" s="397" t="s">
        <v>901</v>
      </c>
      <c r="E77" s="397" t="s">
        <v>902</v>
      </c>
      <c r="F77" s="397" t="s">
        <v>722</v>
      </c>
      <c r="G77" s="405">
        <v>45596</v>
      </c>
      <c r="H77" s="397" t="s">
        <v>729</v>
      </c>
      <c r="I77" s="397" t="b">
        <v>1</v>
      </c>
      <c r="J77" s="397" t="s">
        <v>903</v>
      </c>
      <c r="L77" s="397" t="s">
        <v>749</v>
      </c>
      <c r="M77" s="397" t="s">
        <v>904</v>
      </c>
      <c r="N77" s="397">
        <v>0</v>
      </c>
      <c r="O77" s="397">
        <v>45080.01</v>
      </c>
      <c r="P77" s="397" t="s">
        <v>905</v>
      </c>
      <c r="Q77" s="397">
        <v>0</v>
      </c>
      <c r="R77" s="397">
        <v>45080.01</v>
      </c>
      <c r="S77" s="397">
        <v>-45080.01</v>
      </c>
      <c r="T77" s="397" t="s">
        <v>905</v>
      </c>
      <c r="U77" s="397" t="s">
        <v>980</v>
      </c>
      <c r="W77" s="397"/>
      <c r="X77" s="397" t="s">
        <v>805</v>
      </c>
      <c r="Y77" s="397"/>
      <c r="AA77" s="397" t="s">
        <v>907</v>
      </c>
      <c r="AB77" s="397"/>
      <c r="AH77" s="397" t="s">
        <v>908</v>
      </c>
      <c r="AK77" s="397" t="s">
        <v>849</v>
      </c>
      <c r="AL77" s="397" t="s">
        <v>81</v>
      </c>
      <c r="AM77" s="397" t="s">
        <v>913</v>
      </c>
      <c r="AN77" s="397"/>
      <c r="AQ77" s="397" t="s">
        <v>910</v>
      </c>
      <c r="AR77" s="397" t="s">
        <v>911</v>
      </c>
      <c r="AS77" s="406">
        <v>45601.72409920139</v>
      </c>
    </row>
    <row r="78" spans="1:45" x14ac:dyDescent="0.2">
      <c r="A78" s="404" t="s">
        <v>978</v>
      </c>
      <c r="B78" s="397" t="s">
        <v>979</v>
      </c>
      <c r="C78" s="397" t="s">
        <v>863</v>
      </c>
      <c r="D78" s="397" t="s">
        <v>901</v>
      </c>
      <c r="E78" s="397" t="s">
        <v>902</v>
      </c>
      <c r="F78" s="397" t="s">
        <v>722</v>
      </c>
      <c r="G78" s="405">
        <v>45596</v>
      </c>
      <c r="H78" s="397" t="s">
        <v>729</v>
      </c>
      <c r="I78" s="397" t="b">
        <v>1</v>
      </c>
      <c r="J78" s="397" t="s">
        <v>903</v>
      </c>
      <c r="L78" s="397" t="s">
        <v>749</v>
      </c>
      <c r="M78" s="397" t="s">
        <v>904</v>
      </c>
      <c r="N78" s="397">
        <v>0</v>
      </c>
      <c r="O78" s="397">
        <v>1035.69</v>
      </c>
      <c r="P78" s="397" t="s">
        <v>905</v>
      </c>
      <c r="Q78" s="397">
        <v>0</v>
      </c>
      <c r="R78" s="397">
        <v>1035.69</v>
      </c>
      <c r="S78" s="397">
        <v>-1035.69</v>
      </c>
      <c r="T78" s="397" t="s">
        <v>905</v>
      </c>
      <c r="U78" s="397" t="s">
        <v>981</v>
      </c>
      <c r="W78" s="397"/>
      <c r="X78" s="397" t="s">
        <v>805</v>
      </c>
      <c r="Y78" s="397"/>
      <c r="AA78" s="397" t="s">
        <v>907</v>
      </c>
      <c r="AB78" s="397"/>
      <c r="AH78" s="397" t="s">
        <v>908</v>
      </c>
      <c r="AK78" s="397" t="s">
        <v>849</v>
      </c>
      <c r="AL78" s="397" t="s">
        <v>81</v>
      </c>
      <c r="AM78" s="397" t="s">
        <v>913</v>
      </c>
      <c r="AN78" s="397"/>
      <c r="AQ78" s="397" t="s">
        <v>910</v>
      </c>
      <c r="AR78" s="397" t="s">
        <v>911</v>
      </c>
      <c r="AS78" s="406">
        <v>45601.72409920139</v>
      </c>
    </row>
    <row r="79" spans="1:45" x14ac:dyDescent="0.2">
      <c r="A79" s="404" t="s">
        <v>978</v>
      </c>
      <c r="B79" s="397" t="s">
        <v>979</v>
      </c>
      <c r="C79" s="397" t="s">
        <v>863</v>
      </c>
      <c r="D79" s="397" t="s">
        <v>901</v>
      </c>
      <c r="E79" s="397" t="s">
        <v>902</v>
      </c>
      <c r="F79" s="397" t="s">
        <v>722</v>
      </c>
      <c r="G79" s="405">
        <v>45596</v>
      </c>
      <c r="H79" s="397" t="s">
        <v>729</v>
      </c>
      <c r="I79" s="397" t="b">
        <v>1</v>
      </c>
      <c r="J79" s="397" t="s">
        <v>903</v>
      </c>
      <c r="L79" s="397" t="s">
        <v>749</v>
      </c>
      <c r="M79" s="397" t="s">
        <v>904</v>
      </c>
      <c r="N79" s="397">
        <v>0</v>
      </c>
      <c r="O79" s="397">
        <v>992.68</v>
      </c>
      <c r="P79" s="397" t="s">
        <v>905</v>
      </c>
      <c r="Q79" s="397">
        <v>0</v>
      </c>
      <c r="R79" s="397">
        <v>992.68</v>
      </c>
      <c r="S79" s="397">
        <v>-992.68</v>
      </c>
      <c r="T79" s="397" t="s">
        <v>905</v>
      </c>
      <c r="U79" s="397" t="s">
        <v>982</v>
      </c>
      <c r="W79" s="397"/>
      <c r="X79" s="397" t="s">
        <v>805</v>
      </c>
      <c r="Y79" s="397"/>
      <c r="AA79" s="397" t="s">
        <v>907</v>
      </c>
      <c r="AB79" s="397"/>
      <c r="AH79" s="397" t="s">
        <v>908</v>
      </c>
      <c r="AK79" s="397" t="s">
        <v>747</v>
      </c>
      <c r="AL79" s="397" t="s">
        <v>86</v>
      </c>
      <c r="AM79" s="397" t="s">
        <v>909</v>
      </c>
      <c r="AN79" s="397"/>
      <c r="AQ79" s="397" t="s">
        <v>910</v>
      </c>
      <c r="AR79" s="397" t="s">
        <v>911</v>
      </c>
      <c r="AS79" s="406">
        <v>45601.72409920139</v>
      </c>
    </row>
    <row r="80" spans="1:45" x14ac:dyDescent="0.2">
      <c r="A80" s="404" t="s">
        <v>983</v>
      </c>
      <c r="B80" s="397" t="s">
        <v>984</v>
      </c>
      <c r="C80" s="397" t="s">
        <v>863</v>
      </c>
      <c r="D80" s="397" t="s">
        <v>901</v>
      </c>
      <c r="E80" s="397" t="s">
        <v>902</v>
      </c>
      <c r="F80" s="397" t="s">
        <v>717</v>
      </c>
      <c r="G80" s="405">
        <v>45597</v>
      </c>
      <c r="H80" s="397" t="s">
        <v>729</v>
      </c>
      <c r="I80" s="397" t="b">
        <v>0</v>
      </c>
      <c r="J80" s="397" t="s">
        <v>903</v>
      </c>
      <c r="L80" s="397" t="s">
        <v>749</v>
      </c>
      <c r="M80" s="397" t="s">
        <v>904</v>
      </c>
      <c r="N80" s="397">
        <v>1035.69</v>
      </c>
      <c r="O80" s="397">
        <v>0</v>
      </c>
      <c r="P80" s="397" t="s">
        <v>905</v>
      </c>
      <c r="Q80" s="397">
        <v>1035.69</v>
      </c>
      <c r="R80" s="397">
        <v>0</v>
      </c>
      <c r="S80" s="397">
        <v>1035.69</v>
      </c>
      <c r="T80" s="397" t="s">
        <v>905</v>
      </c>
      <c r="U80" s="397" t="s">
        <v>981</v>
      </c>
      <c r="W80" s="397"/>
      <c r="X80" s="397" t="s">
        <v>805</v>
      </c>
      <c r="Y80" s="397"/>
      <c r="AA80" s="397" t="s">
        <v>907</v>
      </c>
      <c r="AB80" s="397"/>
      <c r="AH80" s="397" t="s">
        <v>908</v>
      </c>
      <c r="AK80" s="397" t="s">
        <v>849</v>
      </c>
      <c r="AL80" s="397" t="s">
        <v>81</v>
      </c>
      <c r="AM80" s="397" t="s">
        <v>913</v>
      </c>
      <c r="AN80" s="397"/>
      <c r="AQ80" s="397" t="s">
        <v>910</v>
      </c>
      <c r="AR80" s="397" t="s">
        <v>911</v>
      </c>
      <c r="AS80" s="406">
        <v>45601.724350208337</v>
      </c>
    </row>
    <row r="81" spans="1:45" x14ac:dyDescent="0.2">
      <c r="A81" s="404" t="s">
        <v>983</v>
      </c>
      <c r="B81" s="397" t="s">
        <v>984</v>
      </c>
      <c r="C81" s="397" t="s">
        <v>863</v>
      </c>
      <c r="D81" s="397" t="s">
        <v>901</v>
      </c>
      <c r="E81" s="397" t="s">
        <v>902</v>
      </c>
      <c r="F81" s="397" t="s">
        <v>717</v>
      </c>
      <c r="G81" s="405">
        <v>45597</v>
      </c>
      <c r="H81" s="397" t="s">
        <v>729</v>
      </c>
      <c r="I81" s="397" t="b">
        <v>0</v>
      </c>
      <c r="J81" s="397" t="s">
        <v>903</v>
      </c>
      <c r="L81" s="397" t="s">
        <v>749</v>
      </c>
      <c r="M81" s="397" t="s">
        <v>904</v>
      </c>
      <c r="N81" s="397">
        <v>992.68</v>
      </c>
      <c r="O81" s="397">
        <v>0</v>
      </c>
      <c r="P81" s="397" t="s">
        <v>905</v>
      </c>
      <c r="Q81" s="397">
        <v>992.68</v>
      </c>
      <c r="R81" s="397">
        <v>0</v>
      </c>
      <c r="S81" s="397">
        <v>992.68</v>
      </c>
      <c r="T81" s="397" t="s">
        <v>905</v>
      </c>
      <c r="U81" s="397" t="s">
        <v>982</v>
      </c>
      <c r="W81" s="397"/>
      <c r="X81" s="397" t="s">
        <v>805</v>
      </c>
      <c r="Y81" s="397"/>
      <c r="AA81" s="397" t="s">
        <v>907</v>
      </c>
      <c r="AB81" s="397"/>
      <c r="AH81" s="397" t="s">
        <v>908</v>
      </c>
      <c r="AK81" s="397" t="s">
        <v>747</v>
      </c>
      <c r="AL81" s="397" t="s">
        <v>86</v>
      </c>
      <c r="AM81" s="397" t="s">
        <v>909</v>
      </c>
      <c r="AN81" s="397"/>
      <c r="AQ81" s="397" t="s">
        <v>910</v>
      </c>
      <c r="AR81" s="397" t="s">
        <v>911</v>
      </c>
      <c r="AS81" s="406">
        <v>45601.724350208337</v>
      </c>
    </row>
    <row r="82" spans="1:45" x14ac:dyDescent="0.2">
      <c r="A82" s="404" t="s">
        <v>983</v>
      </c>
      <c r="B82" s="397" t="s">
        <v>984</v>
      </c>
      <c r="C82" s="397" t="s">
        <v>863</v>
      </c>
      <c r="D82" s="397" t="s">
        <v>901</v>
      </c>
      <c r="E82" s="397" t="s">
        <v>902</v>
      </c>
      <c r="F82" s="397" t="s">
        <v>717</v>
      </c>
      <c r="G82" s="405">
        <v>45597</v>
      </c>
      <c r="H82" s="397" t="s">
        <v>729</v>
      </c>
      <c r="I82" s="397" t="b">
        <v>0</v>
      </c>
      <c r="J82" s="397" t="s">
        <v>903</v>
      </c>
      <c r="L82" s="397" t="s">
        <v>749</v>
      </c>
      <c r="M82" s="397" t="s">
        <v>904</v>
      </c>
      <c r="N82" s="397">
        <v>45080.01</v>
      </c>
      <c r="O82" s="397">
        <v>0</v>
      </c>
      <c r="P82" s="397" t="s">
        <v>905</v>
      </c>
      <c r="Q82" s="397">
        <v>45080.01</v>
      </c>
      <c r="R82" s="397">
        <v>0</v>
      </c>
      <c r="S82" s="397">
        <v>45080.01</v>
      </c>
      <c r="T82" s="397" t="s">
        <v>905</v>
      </c>
      <c r="U82" s="397" t="s">
        <v>980</v>
      </c>
      <c r="W82" s="397"/>
      <c r="X82" s="397" t="s">
        <v>805</v>
      </c>
      <c r="Y82" s="397"/>
      <c r="AA82" s="397" t="s">
        <v>907</v>
      </c>
      <c r="AB82" s="397"/>
      <c r="AH82" s="397" t="s">
        <v>908</v>
      </c>
      <c r="AK82" s="397" t="s">
        <v>849</v>
      </c>
      <c r="AL82" s="397" t="s">
        <v>81</v>
      </c>
      <c r="AM82" s="397" t="s">
        <v>913</v>
      </c>
      <c r="AN82" s="397"/>
      <c r="AQ82" s="397" t="s">
        <v>910</v>
      </c>
      <c r="AR82" s="397" t="s">
        <v>911</v>
      </c>
      <c r="AS82" s="406">
        <v>45601.72435019676</v>
      </c>
    </row>
    <row r="83" spans="1:45" x14ac:dyDescent="0.2">
      <c r="A83" s="404" t="s">
        <v>985</v>
      </c>
      <c r="B83" s="397" t="s">
        <v>986</v>
      </c>
      <c r="C83" s="397" t="s">
        <v>863</v>
      </c>
      <c r="D83" s="397" t="s">
        <v>923</v>
      </c>
      <c r="E83" s="397" t="s">
        <v>902</v>
      </c>
      <c r="F83" s="397" t="s">
        <v>717</v>
      </c>
      <c r="G83" s="405">
        <v>45621</v>
      </c>
      <c r="H83" s="397" t="s">
        <v>729</v>
      </c>
      <c r="I83" s="397" t="b">
        <v>0</v>
      </c>
      <c r="J83" s="397" t="s">
        <v>903</v>
      </c>
      <c r="L83" s="397" t="s">
        <v>749</v>
      </c>
      <c r="M83" s="397" t="s">
        <v>904</v>
      </c>
      <c r="N83" s="397">
        <v>0</v>
      </c>
      <c r="O83" s="397">
        <v>87845.74</v>
      </c>
      <c r="P83" s="397" t="s">
        <v>905</v>
      </c>
      <c r="Q83" s="397">
        <v>0</v>
      </c>
      <c r="R83" s="397">
        <v>87845.74</v>
      </c>
      <c r="S83" s="397">
        <v>-87845.74</v>
      </c>
      <c r="T83" s="397" t="s">
        <v>905</v>
      </c>
      <c r="U83" s="397" t="s">
        <v>919</v>
      </c>
      <c r="W83" s="397"/>
      <c r="X83" s="397" t="s">
        <v>805</v>
      </c>
      <c r="Y83" s="397"/>
      <c r="AA83" s="397" t="s">
        <v>907</v>
      </c>
      <c r="AB83" s="397"/>
      <c r="AH83" s="397" t="s">
        <v>920</v>
      </c>
      <c r="AK83" s="397" t="s">
        <v>849</v>
      </c>
      <c r="AL83" s="397" t="s">
        <v>81</v>
      </c>
      <c r="AM83" s="397" t="s">
        <v>913</v>
      </c>
      <c r="AN83" s="397"/>
      <c r="AQ83" s="397" t="s">
        <v>910</v>
      </c>
      <c r="AR83" s="397" t="s">
        <v>911</v>
      </c>
      <c r="AS83" s="406">
        <v>45625.520094560183</v>
      </c>
    </row>
    <row r="84" spans="1:45" x14ac:dyDescent="0.2">
      <c r="A84" s="404" t="s">
        <v>985</v>
      </c>
      <c r="B84" s="397" t="s">
        <v>986</v>
      </c>
      <c r="C84" s="397" t="s">
        <v>863</v>
      </c>
      <c r="D84" s="397" t="s">
        <v>923</v>
      </c>
      <c r="E84" s="397" t="s">
        <v>902</v>
      </c>
      <c r="F84" s="397" t="s">
        <v>717</v>
      </c>
      <c r="G84" s="405">
        <v>45621</v>
      </c>
      <c r="H84" s="397" t="s">
        <v>729</v>
      </c>
      <c r="I84" s="397" t="b">
        <v>0</v>
      </c>
      <c r="J84" s="397" t="s">
        <v>903</v>
      </c>
      <c r="L84" s="397" t="s">
        <v>749</v>
      </c>
      <c r="M84" s="397" t="s">
        <v>904</v>
      </c>
      <c r="N84" s="397">
        <v>0</v>
      </c>
      <c r="O84" s="397">
        <v>270.94</v>
      </c>
      <c r="P84" s="397" t="s">
        <v>905</v>
      </c>
      <c r="Q84" s="397">
        <v>0</v>
      </c>
      <c r="R84" s="397">
        <v>270.94</v>
      </c>
      <c r="S84" s="397">
        <v>-270.94</v>
      </c>
      <c r="T84" s="397" t="s">
        <v>905</v>
      </c>
      <c r="U84" s="397" t="s">
        <v>924</v>
      </c>
      <c r="W84" s="397"/>
      <c r="X84" s="397" t="s">
        <v>805</v>
      </c>
      <c r="Y84" s="397"/>
      <c r="AA84" s="397" t="s">
        <v>907</v>
      </c>
      <c r="AB84" s="397"/>
      <c r="AH84" s="397" t="s">
        <v>925</v>
      </c>
      <c r="AK84" s="397" t="s">
        <v>849</v>
      </c>
      <c r="AL84" s="397" t="s">
        <v>81</v>
      </c>
      <c r="AM84" s="397" t="s">
        <v>913</v>
      </c>
      <c r="AN84" s="397"/>
      <c r="AQ84" s="397" t="s">
        <v>910</v>
      </c>
      <c r="AR84" s="397" t="s">
        <v>911</v>
      </c>
      <c r="AS84" s="406">
        <v>45625.520094560183</v>
      </c>
    </row>
    <row r="85" spans="1:45" x14ac:dyDescent="0.2">
      <c r="A85" s="404" t="s">
        <v>985</v>
      </c>
      <c r="B85" s="397" t="s">
        <v>986</v>
      </c>
      <c r="C85" s="397" t="s">
        <v>863</v>
      </c>
      <c r="D85" s="397" t="s">
        <v>923</v>
      </c>
      <c r="E85" s="397" t="s">
        <v>902</v>
      </c>
      <c r="F85" s="397" t="s">
        <v>717</v>
      </c>
      <c r="G85" s="405">
        <v>45621</v>
      </c>
      <c r="H85" s="397" t="s">
        <v>729</v>
      </c>
      <c r="I85" s="397" t="b">
        <v>0</v>
      </c>
      <c r="J85" s="397" t="s">
        <v>903</v>
      </c>
      <c r="L85" s="397" t="s">
        <v>749</v>
      </c>
      <c r="M85" s="397" t="s">
        <v>904</v>
      </c>
      <c r="N85" s="397">
        <v>0</v>
      </c>
      <c r="O85" s="397">
        <v>151202.29</v>
      </c>
      <c r="P85" s="397" t="s">
        <v>905</v>
      </c>
      <c r="Q85" s="397">
        <v>0</v>
      </c>
      <c r="R85" s="397">
        <v>151202.29</v>
      </c>
      <c r="S85" s="397">
        <v>-151202.29</v>
      </c>
      <c r="T85" s="397" t="s">
        <v>905</v>
      </c>
      <c r="U85" s="397" t="s">
        <v>917</v>
      </c>
      <c r="W85" s="397"/>
      <c r="X85" s="397" t="s">
        <v>805</v>
      </c>
      <c r="Y85" s="397"/>
      <c r="AA85" s="397" t="s">
        <v>907</v>
      </c>
      <c r="AB85" s="397"/>
      <c r="AH85" s="397" t="s">
        <v>918</v>
      </c>
      <c r="AK85" s="397" t="s">
        <v>849</v>
      </c>
      <c r="AL85" s="397" t="s">
        <v>81</v>
      </c>
      <c r="AM85" s="397" t="s">
        <v>913</v>
      </c>
      <c r="AN85" s="397"/>
      <c r="AQ85" s="397" t="s">
        <v>910</v>
      </c>
      <c r="AR85" s="397" t="s">
        <v>911</v>
      </c>
      <c r="AS85" s="406">
        <v>45625.520094560183</v>
      </c>
    </row>
    <row r="86" spans="1:45" x14ac:dyDescent="0.2">
      <c r="A86" s="404" t="s">
        <v>987</v>
      </c>
      <c r="B86" s="397" t="s">
        <v>988</v>
      </c>
      <c r="C86" s="397" t="s">
        <v>863</v>
      </c>
      <c r="D86" s="397" t="s">
        <v>901</v>
      </c>
      <c r="E86" s="397" t="s">
        <v>902</v>
      </c>
      <c r="F86" s="397" t="s">
        <v>717</v>
      </c>
      <c r="G86" s="405">
        <v>45621</v>
      </c>
      <c r="H86" s="397" t="s">
        <v>729</v>
      </c>
      <c r="I86" s="397" t="b">
        <v>0</v>
      </c>
      <c r="J86" s="397" t="s">
        <v>903</v>
      </c>
      <c r="L86" s="397" t="s">
        <v>749</v>
      </c>
      <c r="M86" s="397" t="s">
        <v>904</v>
      </c>
      <c r="N86" s="397">
        <v>0</v>
      </c>
      <c r="O86" s="397">
        <v>45080.01</v>
      </c>
      <c r="P86" s="397" t="s">
        <v>905</v>
      </c>
      <c r="Q86" s="397">
        <v>0</v>
      </c>
      <c r="R86" s="397">
        <v>45080.01</v>
      </c>
      <c r="S86" s="397">
        <v>-45080.01</v>
      </c>
      <c r="T86" s="397" t="s">
        <v>905</v>
      </c>
      <c r="U86" s="397" t="s">
        <v>980</v>
      </c>
      <c r="W86" s="397"/>
      <c r="X86" s="397" t="s">
        <v>805</v>
      </c>
      <c r="Y86" s="397"/>
      <c r="AA86" s="397" t="s">
        <v>907</v>
      </c>
      <c r="AB86" s="397"/>
      <c r="AH86" s="397" t="s">
        <v>908</v>
      </c>
      <c r="AK86" s="397" t="s">
        <v>849</v>
      </c>
      <c r="AL86" s="397" t="s">
        <v>81</v>
      </c>
      <c r="AM86" s="397" t="s">
        <v>913</v>
      </c>
      <c r="AN86" s="397"/>
      <c r="AQ86" s="397" t="s">
        <v>910</v>
      </c>
      <c r="AR86" s="397" t="s">
        <v>911</v>
      </c>
      <c r="AS86" s="406">
        <v>45625.607301504628</v>
      </c>
    </row>
    <row r="87" spans="1:45" x14ac:dyDescent="0.2">
      <c r="A87" s="404" t="s">
        <v>987</v>
      </c>
      <c r="B87" s="397" t="s">
        <v>988</v>
      </c>
      <c r="C87" s="397" t="s">
        <v>863</v>
      </c>
      <c r="D87" s="397" t="s">
        <v>901</v>
      </c>
      <c r="E87" s="397" t="s">
        <v>902</v>
      </c>
      <c r="F87" s="397" t="s">
        <v>717</v>
      </c>
      <c r="G87" s="405">
        <v>45621</v>
      </c>
      <c r="H87" s="397" t="s">
        <v>729</v>
      </c>
      <c r="I87" s="397" t="b">
        <v>0</v>
      </c>
      <c r="J87" s="397" t="s">
        <v>903</v>
      </c>
      <c r="L87" s="397" t="s">
        <v>749</v>
      </c>
      <c r="M87" s="397" t="s">
        <v>904</v>
      </c>
      <c r="N87" s="397">
        <v>0</v>
      </c>
      <c r="O87" s="397">
        <v>1708.67</v>
      </c>
      <c r="P87" s="397" t="s">
        <v>905</v>
      </c>
      <c r="Q87" s="397">
        <v>0</v>
      </c>
      <c r="R87" s="397">
        <v>1708.67</v>
      </c>
      <c r="S87" s="397">
        <v>-1708.67</v>
      </c>
      <c r="T87" s="397" t="s">
        <v>905</v>
      </c>
      <c r="U87" s="397" t="s">
        <v>981</v>
      </c>
      <c r="W87" s="397"/>
      <c r="X87" s="397" t="s">
        <v>805</v>
      </c>
      <c r="Y87" s="397"/>
      <c r="AA87" s="397" t="s">
        <v>907</v>
      </c>
      <c r="AB87" s="397"/>
      <c r="AH87" s="397" t="s">
        <v>908</v>
      </c>
      <c r="AK87" s="397" t="s">
        <v>849</v>
      </c>
      <c r="AL87" s="397" t="s">
        <v>81</v>
      </c>
      <c r="AM87" s="397" t="s">
        <v>913</v>
      </c>
      <c r="AN87" s="397"/>
      <c r="AQ87" s="397" t="s">
        <v>910</v>
      </c>
      <c r="AR87" s="397" t="s">
        <v>911</v>
      </c>
      <c r="AS87" s="406">
        <v>45625.607301504628</v>
      </c>
    </row>
    <row r="88" spans="1:45" x14ac:dyDescent="0.2">
      <c r="A88" s="404" t="s">
        <v>987</v>
      </c>
      <c r="B88" s="397" t="s">
        <v>988</v>
      </c>
      <c r="C88" s="397" t="s">
        <v>863</v>
      </c>
      <c r="D88" s="397" t="s">
        <v>901</v>
      </c>
      <c r="E88" s="397" t="s">
        <v>902</v>
      </c>
      <c r="F88" s="397" t="s">
        <v>717</v>
      </c>
      <c r="G88" s="405">
        <v>45621</v>
      </c>
      <c r="H88" s="397" t="s">
        <v>729</v>
      </c>
      <c r="I88" s="397" t="b">
        <v>0</v>
      </c>
      <c r="J88" s="397" t="s">
        <v>903</v>
      </c>
      <c r="L88" s="397" t="s">
        <v>749</v>
      </c>
      <c r="M88" s="397" t="s">
        <v>904</v>
      </c>
      <c r="N88" s="397">
        <v>0</v>
      </c>
      <c r="O88" s="397">
        <v>992.68</v>
      </c>
      <c r="P88" s="397" t="s">
        <v>905</v>
      </c>
      <c r="Q88" s="397">
        <v>0</v>
      </c>
      <c r="R88" s="397">
        <v>992.68</v>
      </c>
      <c r="S88" s="397">
        <v>-992.68</v>
      </c>
      <c r="T88" s="397" t="s">
        <v>905</v>
      </c>
      <c r="U88" s="397" t="s">
        <v>982</v>
      </c>
      <c r="W88" s="397"/>
      <c r="X88" s="397" t="s">
        <v>805</v>
      </c>
      <c r="Y88" s="397"/>
      <c r="AA88" s="397" t="s">
        <v>907</v>
      </c>
      <c r="AB88" s="397"/>
      <c r="AH88" s="397" t="s">
        <v>908</v>
      </c>
      <c r="AK88" s="397" t="s">
        <v>747</v>
      </c>
      <c r="AL88" s="397" t="s">
        <v>86</v>
      </c>
      <c r="AM88" s="397" t="s">
        <v>909</v>
      </c>
      <c r="AN88" s="397"/>
      <c r="AQ88" s="397" t="s">
        <v>910</v>
      </c>
      <c r="AR88" s="397" t="s">
        <v>911</v>
      </c>
      <c r="AS88" s="406">
        <v>45625.607301504628</v>
      </c>
    </row>
    <row r="89" spans="1:45" x14ac:dyDescent="0.2">
      <c r="A89" s="404" t="s">
        <v>987</v>
      </c>
      <c r="B89" s="397" t="s">
        <v>988</v>
      </c>
      <c r="C89" s="397" t="s">
        <v>863</v>
      </c>
      <c r="D89" s="397" t="s">
        <v>901</v>
      </c>
      <c r="E89" s="397" t="s">
        <v>902</v>
      </c>
      <c r="F89" s="397" t="s">
        <v>717</v>
      </c>
      <c r="G89" s="405">
        <v>45621</v>
      </c>
      <c r="H89" s="397" t="s">
        <v>729</v>
      </c>
      <c r="I89" s="397" t="b">
        <v>0</v>
      </c>
      <c r="J89" s="397" t="s">
        <v>903</v>
      </c>
      <c r="L89" s="397" t="s">
        <v>749</v>
      </c>
      <c r="M89" s="397" t="s">
        <v>904</v>
      </c>
      <c r="N89" s="397">
        <v>0</v>
      </c>
      <c r="O89" s="397">
        <v>14312.72</v>
      </c>
      <c r="P89" s="397" t="s">
        <v>905</v>
      </c>
      <c r="Q89" s="397">
        <v>0</v>
      </c>
      <c r="R89" s="397">
        <v>14312.72</v>
      </c>
      <c r="S89" s="397">
        <v>-14312.72</v>
      </c>
      <c r="T89" s="397" t="s">
        <v>905</v>
      </c>
      <c r="U89" s="397" t="s">
        <v>989</v>
      </c>
      <c r="W89" s="397"/>
      <c r="X89" s="397" t="s">
        <v>805</v>
      </c>
      <c r="Y89" s="397"/>
      <c r="AA89" s="397" t="s">
        <v>907</v>
      </c>
      <c r="AB89" s="397"/>
      <c r="AH89" s="397" t="s">
        <v>990</v>
      </c>
      <c r="AK89" s="397" t="s">
        <v>849</v>
      </c>
      <c r="AL89" s="397" t="s">
        <v>81</v>
      </c>
      <c r="AM89" s="397" t="s">
        <v>913</v>
      </c>
      <c r="AN89" s="397"/>
      <c r="AQ89" s="397" t="s">
        <v>910</v>
      </c>
      <c r="AR89" s="397" t="s">
        <v>911</v>
      </c>
      <c r="AS89" s="406">
        <v>45625.607301504628</v>
      </c>
    </row>
    <row r="90" spans="1:45" x14ac:dyDescent="0.2">
      <c r="A90" s="404" t="s">
        <v>991</v>
      </c>
      <c r="B90" s="397" t="s">
        <v>992</v>
      </c>
      <c r="C90" s="397" t="s">
        <v>863</v>
      </c>
      <c r="D90" s="397" t="s">
        <v>901</v>
      </c>
      <c r="E90" s="397" t="s">
        <v>902</v>
      </c>
      <c r="F90" s="397" t="s">
        <v>717</v>
      </c>
      <c r="G90" s="405">
        <v>45626</v>
      </c>
      <c r="H90" s="397" t="s">
        <v>729</v>
      </c>
      <c r="I90" s="397" t="b">
        <v>1</v>
      </c>
      <c r="J90" s="397" t="s">
        <v>903</v>
      </c>
      <c r="L90" s="397" t="s">
        <v>749</v>
      </c>
      <c r="M90" s="397" t="s">
        <v>904</v>
      </c>
      <c r="N90" s="397">
        <v>0</v>
      </c>
      <c r="O90" s="397">
        <v>41270.28</v>
      </c>
      <c r="P90" s="397" t="s">
        <v>905</v>
      </c>
      <c r="Q90" s="397">
        <v>0</v>
      </c>
      <c r="R90" s="397">
        <v>41270.28</v>
      </c>
      <c r="S90" s="397">
        <v>-41270.28</v>
      </c>
      <c r="T90" s="397" t="s">
        <v>905</v>
      </c>
      <c r="U90" s="397" t="s">
        <v>919</v>
      </c>
      <c r="W90" s="397"/>
      <c r="X90" s="397" t="s">
        <v>805</v>
      </c>
      <c r="Y90" s="397"/>
      <c r="AA90" s="397" t="s">
        <v>907</v>
      </c>
      <c r="AB90" s="397"/>
      <c r="AH90" s="397" t="s">
        <v>920</v>
      </c>
      <c r="AK90" s="397" t="s">
        <v>849</v>
      </c>
      <c r="AL90" s="397" t="s">
        <v>81</v>
      </c>
      <c r="AM90" s="397" t="s">
        <v>913</v>
      </c>
      <c r="AN90" s="397"/>
      <c r="AQ90" s="397" t="s">
        <v>910</v>
      </c>
      <c r="AR90" s="397" t="s">
        <v>911</v>
      </c>
      <c r="AS90" s="406">
        <v>45630.488294733797</v>
      </c>
    </row>
    <row r="91" spans="1:45" x14ac:dyDescent="0.2">
      <c r="A91" s="404" t="s">
        <v>991</v>
      </c>
      <c r="B91" s="397" t="s">
        <v>992</v>
      </c>
      <c r="C91" s="397" t="s">
        <v>863</v>
      </c>
      <c r="D91" s="397" t="s">
        <v>901</v>
      </c>
      <c r="E91" s="397" t="s">
        <v>902</v>
      </c>
      <c r="F91" s="397" t="s">
        <v>717</v>
      </c>
      <c r="G91" s="405">
        <v>45626</v>
      </c>
      <c r="H91" s="397" t="s">
        <v>729</v>
      </c>
      <c r="I91" s="397" t="b">
        <v>1</v>
      </c>
      <c r="J91" s="397" t="s">
        <v>903</v>
      </c>
      <c r="L91" s="397" t="s">
        <v>749</v>
      </c>
      <c r="M91" s="397" t="s">
        <v>904</v>
      </c>
      <c r="N91" s="397">
        <v>0</v>
      </c>
      <c r="O91" s="397">
        <v>158777.92000000001</v>
      </c>
      <c r="P91" s="397" t="s">
        <v>905</v>
      </c>
      <c r="Q91" s="397">
        <v>0</v>
      </c>
      <c r="R91" s="397">
        <v>158777.92000000001</v>
      </c>
      <c r="S91" s="397">
        <v>-158777.92000000001</v>
      </c>
      <c r="T91" s="397" t="s">
        <v>905</v>
      </c>
      <c r="U91" s="397" t="s">
        <v>917</v>
      </c>
      <c r="W91" s="397"/>
      <c r="X91" s="397" t="s">
        <v>805</v>
      </c>
      <c r="Y91" s="397"/>
      <c r="AA91" s="397" t="s">
        <v>907</v>
      </c>
      <c r="AB91" s="397"/>
      <c r="AH91" s="397" t="s">
        <v>918</v>
      </c>
      <c r="AK91" s="397" t="s">
        <v>849</v>
      </c>
      <c r="AL91" s="397" t="s">
        <v>81</v>
      </c>
      <c r="AM91" s="397" t="s">
        <v>913</v>
      </c>
      <c r="AN91" s="397"/>
      <c r="AQ91" s="397" t="s">
        <v>910</v>
      </c>
      <c r="AR91" s="397" t="s">
        <v>911</v>
      </c>
      <c r="AS91" s="406">
        <v>45630.488294733797</v>
      </c>
    </row>
    <row r="92" spans="1:45" x14ac:dyDescent="0.2">
      <c r="A92" s="404" t="s">
        <v>993</v>
      </c>
      <c r="B92" s="397" t="s">
        <v>994</v>
      </c>
      <c r="C92" s="397" t="s">
        <v>863</v>
      </c>
      <c r="D92" s="397" t="s">
        <v>901</v>
      </c>
      <c r="E92" s="397" t="s">
        <v>902</v>
      </c>
      <c r="F92" s="397" t="s">
        <v>723</v>
      </c>
      <c r="G92" s="405">
        <v>45627</v>
      </c>
      <c r="H92" s="397" t="s">
        <v>729</v>
      </c>
      <c r="I92" s="397" t="b">
        <v>0</v>
      </c>
      <c r="J92" s="397" t="s">
        <v>903</v>
      </c>
      <c r="L92" s="397" t="s">
        <v>749</v>
      </c>
      <c r="M92" s="397" t="s">
        <v>904</v>
      </c>
      <c r="N92" s="397">
        <v>41270.28</v>
      </c>
      <c r="O92" s="397">
        <v>0</v>
      </c>
      <c r="P92" s="397" t="s">
        <v>905</v>
      </c>
      <c r="Q92" s="397">
        <v>41270.28</v>
      </c>
      <c r="R92" s="397">
        <v>0</v>
      </c>
      <c r="S92" s="397">
        <v>41270.28</v>
      </c>
      <c r="T92" s="397" t="s">
        <v>905</v>
      </c>
      <c r="U92" s="397" t="s">
        <v>919</v>
      </c>
      <c r="W92" s="397"/>
      <c r="X92" s="397" t="s">
        <v>805</v>
      </c>
      <c r="Y92" s="397"/>
      <c r="AA92" s="397" t="s">
        <v>907</v>
      </c>
      <c r="AB92" s="397"/>
      <c r="AH92" s="397" t="s">
        <v>920</v>
      </c>
      <c r="AK92" s="397" t="s">
        <v>849</v>
      </c>
      <c r="AL92" s="397" t="s">
        <v>81</v>
      </c>
      <c r="AM92" s="397" t="s">
        <v>913</v>
      </c>
      <c r="AN92" s="397"/>
      <c r="AQ92" s="397" t="s">
        <v>910</v>
      </c>
      <c r="AR92" s="397" t="s">
        <v>911</v>
      </c>
      <c r="AS92" s="406">
        <v>45630.48849304398</v>
      </c>
    </row>
    <row r="93" spans="1:45" x14ac:dyDescent="0.2">
      <c r="A93" s="404" t="s">
        <v>993</v>
      </c>
      <c r="B93" s="397" t="s">
        <v>994</v>
      </c>
      <c r="C93" s="397" t="s">
        <v>863</v>
      </c>
      <c r="D93" s="397" t="s">
        <v>901</v>
      </c>
      <c r="E93" s="397" t="s">
        <v>902</v>
      </c>
      <c r="F93" s="397" t="s">
        <v>723</v>
      </c>
      <c r="G93" s="405">
        <v>45627</v>
      </c>
      <c r="H93" s="397" t="s">
        <v>729</v>
      </c>
      <c r="I93" s="397" t="b">
        <v>0</v>
      </c>
      <c r="J93" s="397" t="s">
        <v>903</v>
      </c>
      <c r="L93" s="397" t="s">
        <v>749</v>
      </c>
      <c r="M93" s="397" t="s">
        <v>904</v>
      </c>
      <c r="N93" s="397">
        <v>158777.92000000001</v>
      </c>
      <c r="O93" s="397">
        <v>0</v>
      </c>
      <c r="P93" s="397" t="s">
        <v>905</v>
      </c>
      <c r="Q93" s="397">
        <v>158777.92000000001</v>
      </c>
      <c r="R93" s="397">
        <v>0</v>
      </c>
      <c r="S93" s="397">
        <v>158777.92000000001</v>
      </c>
      <c r="T93" s="397" t="s">
        <v>905</v>
      </c>
      <c r="U93" s="397" t="s">
        <v>917</v>
      </c>
      <c r="W93" s="397"/>
      <c r="X93" s="397" t="s">
        <v>805</v>
      </c>
      <c r="Y93" s="397"/>
      <c r="AA93" s="397" t="s">
        <v>907</v>
      </c>
      <c r="AB93" s="397"/>
      <c r="AH93" s="397" t="s">
        <v>918</v>
      </c>
      <c r="AK93" s="397" t="s">
        <v>849</v>
      </c>
      <c r="AL93" s="397" t="s">
        <v>81</v>
      </c>
      <c r="AM93" s="397" t="s">
        <v>913</v>
      </c>
      <c r="AN93" s="397"/>
      <c r="AQ93" s="397" t="s">
        <v>910</v>
      </c>
      <c r="AR93" s="397" t="s">
        <v>911</v>
      </c>
      <c r="AS93" s="406">
        <v>45630.48849304398</v>
      </c>
    </row>
    <row r="94" spans="1:45" x14ac:dyDescent="0.2">
      <c r="A94" s="404" t="s">
        <v>995</v>
      </c>
      <c r="B94" s="397" t="s">
        <v>996</v>
      </c>
      <c r="C94" s="397" t="s">
        <v>863</v>
      </c>
      <c r="D94" s="397" t="s">
        <v>997</v>
      </c>
      <c r="E94" s="397" t="s">
        <v>902</v>
      </c>
      <c r="F94" s="397" t="s">
        <v>717</v>
      </c>
      <c r="G94" s="405">
        <v>45621</v>
      </c>
      <c r="H94" s="397" t="s">
        <v>729</v>
      </c>
      <c r="I94" s="397" t="b">
        <v>0</v>
      </c>
      <c r="J94" s="397" t="s">
        <v>903</v>
      </c>
      <c r="L94" s="397" t="s">
        <v>749</v>
      </c>
      <c r="M94" s="397" t="s">
        <v>904</v>
      </c>
      <c r="N94" s="397">
        <v>0</v>
      </c>
      <c r="O94" s="397">
        <v>82141.08</v>
      </c>
      <c r="P94" s="397" t="s">
        <v>905</v>
      </c>
      <c r="Q94" s="397">
        <v>0</v>
      </c>
      <c r="R94" s="397">
        <v>82141.08</v>
      </c>
      <c r="S94" s="397">
        <v>-82141.08</v>
      </c>
      <c r="T94" s="397" t="s">
        <v>905</v>
      </c>
      <c r="U94" s="397" t="s">
        <v>998</v>
      </c>
      <c r="W94" s="397"/>
      <c r="X94" s="397" t="s">
        <v>805</v>
      </c>
      <c r="Y94" s="397"/>
      <c r="AA94" s="397" t="s">
        <v>907</v>
      </c>
      <c r="AB94" s="397"/>
      <c r="AH94" s="397" t="s">
        <v>990</v>
      </c>
      <c r="AK94" s="397" t="s">
        <v>849</v>
      </c>
      <c r="AL94" s="397" t="s">
        <v>81</v>
      </c>
      <c r="AM94" s="397" t="s">
        <v>913</v>
      </c>
      <c r="AN94" s="397"/>
      <c r="AQ94" s="397" t="s">
        <v>910</v>
      </c>
      <c r="AR94" s="397" t="s">
        <v>911</v>
      </c>
      <c r="AS94" s="406">
        <v>45630.598641840275</v>
      </c>
    </row>
    <row r="95" spans="1:45" x14ac:dyDescent="0.2">
      <c r="A95" s="404" t="s">
        <v>999</v>
      </c>
      <c r="B95" s="397" t="s">
        <v>1000</v>
      </c>
      <c r="C95" s="397" t="s">
        <v>863</v>
      </c>
      <c r="D95" s="397" t="s">
        <v>901</v>
      </c>
      <c r="E95" s="397" t="s">
        <v>902</v>
      </c>
      <c r="F95" s="397" t="s">
        <v>717</v>
      </c>
      <c r="G95" s="405">
        <v>45626</v>
      </c>
      <c r="H95" s="397" t="s">
        <v>729</v>
      </c>
      <c r="I95" s="397" t="b">
        <v>1</v>
      </c>
      <c r="J95" s="397" t="s">
        <v>903</v>
      </c>
      <c r="L95" s="397" t="s">
        <v>749</v>
      </c>
      <c r="M95" s="397" t="s">
        <v>904</v>
      </c>
      <c r="N95" s="397">
        <v>0</v>
      </c>
      <c r="O95" s="397">
        <v>43785.3</v>
      </c>
      <c r="P95" s="397" t="s">
        <v>905</v>
      </c>
      <c r="Q95" s="397">
        <v>0</v>
      </c>
      <c r="R95" s="397">
        <v>43785.3</v>
      </c>
      <c r="S95" s="397">
        <v>-43785.3</v>
      </c>
      <c r="T95" s="397" t="s">
        <v>905</v>
      </c>
      <c r="U95" s="397" t="s">
        <v>1001</v>
      </c>
      <c r="W95" s="397"/>
      <c r="X95" s="397" t="s">
        <v>805</v>
      </c>
      <c r="Y95" s="397"/>
      <c r="AA95" s="397" t="s">
        <v>907</v>
      </c>
      <c r="AB95" s="397"/>
      <c r="AH95" s="397" t="s">
        <v>908</v>
      </c>
      <c r="AK95" s="397" t="s">
        <v>849</v>
      </c>
      <c r="AL95" s="397" t="s">
        <v>81</v>
      </c>
      <c r="AM95" s="397" t="s">
        <v>913</v>
      </c>
      <c r="AN95" s="397"/>
      <c r="AQ95" s="397" t="s">
        <v>910</v>
      </c>
      <c r="AR95" s="397" t="s">
        <v>911</v>
      </c>
      <c r="AS95" s="406">
        <v>45630.622610914354</v>
      </c>
    </row>
    <row r="96" spans="1:45" x14ac:dyDescent="0.2">
      <c r="A96" s="404" t="s">
        <v>999</v>
      </c>
      <c r="B96" s="397" t="s">
        <v>1000</v>
      </c>
      <c r="C96" s="397" t="s">
        <v>863</v>
      </c>
      <c r="D96" s="397" t="s">
        <v>901</v>
      </c>
      <c r="E96" s="397" t="s">
        <v>902</v>
      </c>
      <c r="F96" s="397" t="s">
        <v>717</v>
      </c>
      <c r="G96" s="405">
        <v>45626</v>
      </c>
      <c r="H96" s="397" t="s">
        <v>729</v>
      </c>
      <c r="I96" s="397" t="b">
        <v>1</v>
      </c>
      <c r="J96" s="397" t="s">
        <v>903</v>
      </c>
      <c r="L96" s="397" t="s">
        <v>749</v>
      </c>
      <c r="M96" s="397" t="s">
        <v>904</v>
      </c>
      <c r="N96" s="397">
        <v>0</v>
      </c>
      <c r="O96" s="397">
        <v>729.79</v>
      </c>
      <c r="P96" s="397" t="s">
        <v>905</v>
      </c>
      <c r="Q96" s="397">
        <v>0</v>
      </c>
      <c r="R96" s="397">
        <v>729.79</v>
      </c>
      <c r="S96" s="397">
        <v>-729.79</v>
      </c>
      <c r="T96" s="397" t="s">
        <v>905</v>
      </c>
      <c r="U96" s="397" t="s">
        <v>1002</v>
      </c>
      <c r="W96" s="397"/>
      <c r="X96" s="397" t="s">
        <v>805</v>
      </c>
      <c r="Y96" s="397"/>
      <c r="AA96" s="397" t="s">
        <v>907</v>
      </c>
      <c r="AB96" s="397"/>
      <c r="AH96" s="397" t="s">
        <v>908</v>
      </c>
      <c r="AK96" s="397" t="s">
        <v>849</v>
      </c>
      <c r="AL96" s="397" t="s">
        <v>81</v>
      </c>
      <c r="AM96" s="397" t="s">
        <v>913</v>
      </c>
      <c r="AN96" s="397"/>
      <c r="AQ96" s="397" t="s">
        <v>910</v>
      </c>
      <c r="AR96" s="397" t="s">
        <v>911</v>
      </c>
      <c r="AS96" s="406">
        <v>45630.622610914354</v>
      </c>
    </row>
    <row r="97" spans="1:45" x14ac:dyDescent="0.2">
      <c r="A97" s="404" t="s">
        <v>999</v>
      </c>
      <c r="B97" s="397" t="s">
        <v>1000</v>
      </c>
      <c r="C97" s="397" t="s">
        <v>863</v>
      </c>
      <c r="D97" s="397" t="s">
        <v>901</v>
      </c>
      <c r="E97" s="397" t="s">
        <v>902</v>
      </c>
      <c r="F97" s="397" t="s">
        <v>717</v>
      </c>
      <c r="G97" s="405">
        <v>45626</v>
      </c>
      <c r="H97" s="397" t="s">
        <v>729</v>
      </c>
      <c r="I97" s="397" t="b">
        <v>1</v>
      </c>
      <c r="J97" s="397" t="s">
        <v>903</v>
      </c>
      <c r="L97" s="397" t="s">
        <v>749</v>
      </c>
      <c r="M97" s="397" t="s">
        <v>904</v>
      </c>
      <c r="N97" s="397">
        <v>0</v>
      </c>
      <c r="O97" s="397">
        <v>992.68</v>
      </c>
      <c r="P97" s="397" t="s">
        <v>905</v>
      </c>
      <c r="Q97" s="397">
        <v>0</v>
      </c>
      <c r="R97" s="397">
        <v>992.68</v>
      </c>
      <c r="S97" s="397">
        <v>-992.68</v>
      </c>
      <c r="T97" s="397" t="s">
        <v>905</v>
      </c>
      <c r="U97" s="397" t="s">
        <v>1003</v>
      </c>
      <c r="W97" s="397"/>
      <c r="X97" s="397" t="s">
        <v>805</v>
      </c>
      <c r="Y97" s="397"/>
      <c r="AA97" s="397" t="s">
        <v>907</v>
      </c>
      <c r="AB97" s="397"/>
      <c r="AH97" s="397" t="s">
        <v>908</v>
      </c>
      <c r="AK97" s="397" t="s">
        <v>747</v>
      </c>
      <c r="AL97" s="397" t="s">
        <v>86</v>
      </c>
      <c r="AM97" s="397" t="s">
        <v>909</v>
      </c>
      <c r="AN97" s="397"/>
      <c r="AQ97" s="397" t="s">
        <v>910</v>
      </c>
      <c r="AR97" s="397" t="s">
        <v>911</v>
      </c>
      <c r="AS97" s="406">
        <v>45630.622610914354</v>
      </c>
    </row>
    <row r="98" spans="1:45" x14ac:dyDescent="0.2">
      <c r="A98" s="404" t="s">
        <v>999</v>
      </c>
      <c r="B98" s="397" t="s">
        <v>1000</v>
      </c>
      <c r="C98" s="397" t="s">
        <v>863</v>
      </c>
      <c r="D98" s="397" t="s">
        <v>901</v>
      </c>
      <c r="E98" s="397" t="s">
        <v>902</v>
      </c>
      <c r="F98" s="397" t="s">
        <v>717</v>
      </c>
      <c r="G98" s="405">
        <v>45626</v>
      </c>
      <c r="H98" s="397" t="s">
        <v>729</v>
      </c>
      <c r="I98" s="397" t="b">
        <v>1</v>
      </c>
      <c r="J98" s="397" t="s">
        <v>903</v>
      </c>
      <c r="L98" s="397" t="s">
        <v>749</v>
      </c>
      <c r="M98" s="397" t="s">
        <v>904</v>
      </c>
      <c r="N98" s="397">
        <v>0</v>
      </c>
      <c r="O98" s="397">
        <v>8939.86</v>
      </c>
      <c r="P98" s="397" t="s">
        <v>905</v>
      </c>
      <c r="Q98" s="397">
        <v>0</v>
      </c>
      <c r="R98" s="397">
        <v>8939.86</v>
      </c>
      <c r="S98" s="397">
        <v>-8939.86</v>
      </c>
      <c r="T98" s="397" t="s">
        <v>905</v>
      </c>
      <c r="U98" s="397" t="s">
        <v>1004</v>
      </c>
      <c r="W98" s="397"/>
      <c r="X98" s="397" t="s">
        <v>805</v>
      </c>
      <c r="Y98" s="397"/>
      <c r="AA98" s="397" t="s">
        <v>907</v>
      </c>
      <c r="AB98" s="397"/>
      <c r="AH98" s="397" t="s">
        <v>990</v>
      </c>
      <c r="AK98" s="397" t="s">
        <v>849</v>
      </c>
      <c r="AL98" s="397" t="s">
        <v>81</v>
      </c>
      <c r="AM98" s="397" t="s">
        <v>913</v>
      </c>
      <c r="AN98" s="397"/>
      <c r="AQ98" s="397" t="s">
        <v>910</v>
      </c>
      <c r="AR98" s="397" t="s">
        <v>911</v>
      </c>
      <c r="AS98" s="406">
        <v>45630.622610914354</v>
      </c>
    </row>
    <row r="99" spans="1:45" x14ac:dyDescent="0.2">
      <c r="A99" s="404" t="s">
        <v>1005</v>
      </c>
      <c r="B99" s="397" t="s">
        <v>1006</v>
      </c>
      <c r="C99" s="397" t="s">
        <v>863</v>
      </c>
      <c r="D99" s="397" t="s">
        <v>901</v>
      </c>
      <c r="E99" s="397" t="s">
        <v>902</v>
      </c>
      <c r="F99" s="397" t="s">
        <v>723</v>
      </c>
      <c r="G99" s="405">
        <v>45627</v>
      </c>
      <c r="H99" s="397" t="s">
        <v>729</v>
      </c>
      <c r="I99" s="397" t="b">
        <v>0</v>
      </c>
      <c r="J99" s="397" t="s">
        <v>903</v>
      </c>
      <c r="L99" s="397" t="s">
        <v>749</v>
      </c>
      <c r="M99" s="397" t="s">
        <v>904</v>
      </c>
      <c r="N99" s="397">
        <v>8939.86</v>
      </c>
      <c r="O99" s="397">
        <v>0</v>
      </c>
      <c r="P99" s="397" t="s">
        <v>905</v>
      </c>
      <c r="Q99" s="397">
        <v>8939.86</v>
      </c>
      <c r="R99" s="397">
        <v>0</v>
      </c>
      <c r="S99" s="397">
        <v>8939.86</v>
      </c>
      <c r="T99" s="397" t="s">
        <v>905</v>
      </c>
      <c r="U99" s="397" t="s">
        <v>1004</v>
      </c>
      <c r="W99" s="397"/>
      <c r="X99" s="397" t="s">
        <v>805</v>
      </c>
      <c r="Y99" s="397"/>
      <c r="AA99" s="397" t="s">
        <v>907</v>
      </c>
      <c r="AB99" s="397"/>
      <c r="AH99" s="397" t="s">
        <v>990</v>
      </c>
      <c r="AK99" s="397" t="s">
        <v>849</v>
      </c>
      <c r="AL99" s="397" t="s">
        <v>81</v>
      </c>
      <c r="AM99" s="397" t="s">
        <v>913</v>
      </c>
      <c r="AN99" s="397"/>
      <c r="AQ99" s="397" t="s">
        <v>910</v>
      </c>
      <c r="AR99" s="397" t="s">
        <v>911</v>
      </c>
      <c r="AS99" s="406">
        <v>45630.622894629632</v>
      </c>
    </row>
    <row r="100" spans="1:45" x14ac:dyDescent="0.2">
      <c r="A100" s="404" t="s">
        <v>1005</v>
      </c>
      <c r="B100" s="397" t="s">
        <v>1006</v>
      </c>
      <c r="C100" s="397" t="s">
        <v>863</v>
      </c>
      <c r="D100" s="397" t="s">
        <v>901</v>
      </c>
      <c r="E100" s="397" t="s">
        <v>902</v>
      </c>
      <c r="F100" s="397" t="s">
        <v>723</v>
      </c>
      <c r="G100" s="405">
        <v>45627</v>
      </c>
      <c r="H100" s="397" t="s">
        <v>729</v>
      </c>
      <c r="I100" s="397" t="b">
        <v>0</v>
      </c>
      <c r="J100" s="397" t="s">
        <v>903</v>
      </c>
      <c r="L100" s="397" t="s">
        <v>749</v>
      </c>
      <c r="M100" s="397" t="s">
        <v>904</v>
      </c>
      <c r="N100" s="397">
        <v>43785.3</v>
      </c>
      <c r="O100" s="397">
        <v>0</v>
      </c>
      <c r="P100" s="397" t="s">
        <v>905</v>
      </c>
      <c r="Q100" s="397">
        <v>43785.3</v>
      </c>
      <c r="R100" s="397">
        <v>0</v>
      </c>
      <c r="S100" s="397">
        <v>43785.3</v>
      </c>
      <c r="T100" s="397" t="s">
        <v>905</v>
      </c>
      <c r="U100" s="397" t="s">
        <v>1001</v>
      </c>
      <c r="W100" s="397"/>
      <c r="X100" s="397" t="s">
        <v>805</v>
      </c>
      <c r="Y100" s="397"/>
      <c r="AA100" s="397" t="s">
        <v>907</v>
      </c>
      <c r="AB100" s="397"/>
      <c r="AH100" s="397" t="s">
        <v>908</v>
      </c>
      <c r="AK100" s="397" t="s">
        <v>849</v>
      </c>
      <c r="AL100" s="397" t="s">
        <v>81</v>
      </c>
      <c r="AM100" s="397" t="s">
        <v>913</v>
      </c>
      <c r="AN100" s="397"/>
      <c r="AQ100" s="397" t="s">
        <v>910</v>
      </c>
      <c r="AR100" s="397" t="s">
        <v>911</v>
      </c>
      <c r="AS100" s="406">
        <v>45630.622894629632</v>
      </c>
    </row>
    <row r="101" spans="1:45" x14ac:dyDescent="0.2">
      <c r="A101" s="404" t="s">
        <v>1005</v>
      </c>
      <c r="B101" s="397" t="s">
        <v>1006</v>
      </c>
      <c r="C101" s="397" t="s">
        <v>863</v>
      </c>
      <c r="D101" s="397" t="s">
        <v>901</v>
      </c>
      <c r="E101" s="397" t="s">
        <v>902</v>
      </c>
      <c r="F101" s="397" t="s">
        <v>723</v>
      </c>
      <c r="G101" s="405">
        <v>45627</v>
      </c>
      <c r="H101" s="397" t="s">
        <v>729</v>
      </c>
      <c r="I101" s="397" t="b">
        <v>0</v>
      </c>
      <c r="J101" s="397" t="s">
        <v>903</v>
      </c>
      <c r="L101" s="397" t="s">
        <v>749</v>
      </c>
      <c r="M101" s="397" t="s">
        <v>904</v>
      </c>
      <c r="N101" s="397">
        <v>729.79</v>
      </c>
      <c r="O101" s="397">
        <v>0</v>
      </c>
      <c r="P101" s="397" t="s">
        <v>905</v>
      </c>
      <c r="Q101" s="397">
        <v>729.79</v>
      </c>
      <c r="R101" s="397">
        <v>0</v>
      </c>
      <c r="S101" s="397">
        <v>729.79</v>
      </c>
      <c r="T101" s="397" t="s">
        <v>905</v>
      </c>
      <c r="U101" s="397" t="s">
        <v>1002</v>
      </c>
      <c r="W101" s="397"/>
      <c r="X101" s="397" t="s">
        <v>805</v>
      </c>
      <c r="Y101" s="397"/>
      <c r="AA101" s="397" t="s">
        <v>907</v>
      </c>
      <c r="AB101" s="397"/>
      <c r="AH101" s="397" t="s">
        <v>908</v>
      </c>
      <c r="AK101" s="397" t="s">
        <v>849</v>
      </c>
      <c r="AL101" s="397" t="s">
        <v>81</v>
      </c>
      <c r="AM101" s="397" t="s">
        <v>913</v>
      </c>
      <c r="AN101" s="397"/>
      <c r="AQ101" s="397" t="s">
        <v>910</v>
      </c>
      <c r="AR101" s="397" t="s">
        <v>911</v>
      </c>
      <c r="AS101" s="406">
        <v>45630.622894629632</v>
      </c>
    </row>
    <row r="102" spans="1:45" x14ac:dyDescent="0.2">
      <c r="A102" s="404" t="s">
        <v>1005</v>
      </c>
      <c r="B102" s="397" t="s">
        <v>1006</v>
      </c>
      <c r="C102" s="397" t="s">
        <v>863</v>
      </c>
      <c r="D102" s="397" t="s">
        <v>901</v>
      </c>
      <c r="E102" s="397" t="s">
        <v>902</v>
      </c>
      <c r="F102" s="397" t="s">
        <v>723</v>
      </c>
      <c r="G102" s="405">
        <v>45627</v>
      </c>
      <c r="H102" s="397" t="s">
        <v>729</v>
      </c>
      <c r="I102" s="397" t="b">
        <v>0</v>
      </c>
      <c r="J102" s="397" t="s">
        <v>903</v>
      </c>
      <c r="L102" s="397" t="s">
        <v>749</v>
      </c>
      <c r="M102" s="397" t="s">
        <v>904</v>
      </c>
      <c r="N102" s="397">
        <v>992.68</v>
      </c>
      <c r="O102" s="397">
        <v>0</v>
      </c>
      <c r="P102" s="397" t="s">
        <v>905</v>
      </c>
      <c r="Q102" s="397">
        <v>992.68</v>
      </c>
      <c r="R102" s="397">
        <v>0</v>
      </c>
      <c r="S102" s="397">
        <v>992.68</v>
      </c>
      <c r="T102" s="397" t="s">
        <v>905</v>
      </c>
      <c r="U102" s="397" t="s">
        <v>1003</v>
      </c>
      <c r="W102" s="397"/>
      <c r="X102" s="397" t="s">
        <v>805</v>
      </c>
      <c r="Y102" s="397"/>
      <c r="AA102" s="397" t="s">
        <v>907</v>
      </c>
      <c r="AB102" s="397"/>
      <c r="AH102" s="397" t="s">
        <v>908</v>
      </c>
      <c r="AK102" s="397" t="s">
        <v>747</v>
      </c>
      <c r="AL102" s="397" t="s">
        <v>86</v>
      </c>
      <c r="AM102" s="397" t="s">
        <v>909</v>
      </c>
      <c r="AN102" s="397"/>
      <c r="AQ102" s="397" t="s">
        <v>910</v>
      </c>
      <c r="AR102" s="397" t="s">
        <v>911</v>
      </c>
      <c r="AS102" s="406">
        <v>45630.622894629632</v>
      </c>
    </row>
    <row r="103" spans="1:45" x14ac:dyDescent="0.2">
      <c r="A103" s="404" t="s">
        <v>1007</v>
      </c>
      <c r="B103" s="397" t="s">
        <v>1008</v>
      </c>
      <c r="C103" s="397" t="s">
        <v>863</v>
      </c>
      <c r="D103" s="397" t="s">
        <v>923</v>
      </c>
      <c r="E103" s="397" t="s">
        <v>902</v>
      </c>
      <c r="F103" s="397" t="s">
        <v>723</v>
      </c>
      <c r="G103" s="405">
        <v>45649</v>
      </c>
      <c r="H103" s="397" t="s">
        <v>729</v>
      </c>
      <c r="I103" s="397" t="b">
        <v>0</v>
      </c>
      <c r="J103" s="397" t="s">
        <v>903</v>
      </c>
      <c r="L103" s="397" t="s">
        <v>749</v>
      </c>
      <c r="M103" s="397" t="s">
        <v>904</v>
      </c>
      <c r="N103" s="397">
        <v>0</v>
      </c>
      <c r="O103" s="397">
        <v>84157.46</v>
      </c>
      <c r="P103" s="397" t="s">
        <v>905</v>
      </c>
      <c r="Q103" s="397">
        <v>0</v>
      </c>
      <c r="R103" s="397">
        <v>84157.46</v>
      </c>
      <c r="S103" s="397">
        <v>-84157.46</v>
      </c>
      <c r="T103" s="397" t="s">
        <v>905</v>
      </c>
      <c r="U103" s="397" t="s">
        <v>919</v>
      </c>
      <c r="W103" s="397"/>
      <c r="X103" s="397" t="s">
        <v>805</v>
      </c>
      <c r="Y103" s="397"/>
      <c r="AA103" s="397" t="s">
        <v>907</v>
      </c>
      <c r="AB103" s="397"/>
      <c r="AH103" s="397" t="s">
        <v>920</v>
      </c>
      <c r="AK103" s="397" t="s">
        <v>849</v>
      </c>
      <c r="AL103" s="397" t="s">
        <v>81</v>
      </c>
      <c r="AM103" s="397" t="s">
        <v>913</v>
      </c>
      <c r="AN103" s="397"/>
      <c r="AQ103" s="397" t="s">
        <v>910</v>
      </c>
      <c r="AR103" s="397" t="s">
        <v>911</v>
      </c>
      <c r="AS103" s="406">
        <v>45659.580392523145</v>
      </c>
    </row>
    <row r="104" spans="1:45" x14ac:dyDescent="0.2">
      <c r="A104" s="404" t="s">
        <v>1007</v>
      </c>
      <c r="B104" s="397" t="s">
        <v>1008</v>
      </c>
      <c r="C104" s="397" t="s">
        <v>863</v>
      </c>
      <c r="D104" s="397" t="s">
        <v>923</v>
      </c>
      <c r="E104" s="397" t="s">
        <v>902</v>
      </c>
      <c r="F104" s="397" t="s">
        <v>723</v>
      </c>
      <c r="G104" s="405">
        <v>45649</v>
      </c>
      <c r="H104" s="397" t="s">
        <v>729</v>
      </c>
      <c r="I104" s="397" t="b">
        <v>0</v>
      </c>
      <c r="J104" s="397" t="s">
        <v>903</v>
      </c>
      <c r="L104" s="397" t="s">
        <v>749</v>
      </c>
      <c r="M104" s="397" t="s">
        <v>904</v>
      </c>
      <c r="N104" s="397">
        <v>0</v>
      </c>
      <c r="O104" s="397">
        <v>183.54</v>
      </c>
      <c r="P104" s="397" t="s">
        <v>905</v>
      </c>
      <c r="Q104" s="397">
        <v>0</v>
      </c>
      <c r="R104" s="397">
        <v>183.54</v>
      </c>
      <c r="S104" s="397">
        <v>-183.54</v>
      </c>
      <c r="T104" s="397" t="s">
        <v>905</v>
      </c>
      <c r="U104" s="397" t="s">
        <v>924</v>
      </c>
      <c r="W104" s="397"/>
      <c r="X104" s="397" t="s">
        <v>805</v>
      </c>
      <c r="Y104" s="397"/>
      <c r="AA104" s="397" t="s">
        <v>907</v>
      </c>
      <c r="AB104" s="397"/>
      <c r="AH104" s="397" t="s">
        <v>925</v>
      </c>
      <c r="AK104" s="397" t="s">
        <v>849</v>
      </c>
      <c r="AL104" s="397" t="s">
        <v>81</v>
      </c>
      <c r="AM104" s="397" t="s">
        <v>913</v>
      </c>
      <c r="AN104" s="397"/>
      <c r="AQ104" s="397" t="s">
        <v>910</v>
      </c>
      <c r="AR104" s="397" t="s">
        <v>911</v>
      </c>
      <c r="AS104" s="406">
        <v>45659.580392523145</v>
      </c>
    </row>
    <row r="105" spans="1:45" x14ac:dyDescent="0.2">
      <c r="A105" s="404" t="s">
        <v>1007</v>
      </c>
      <c r="B105" s="397" t="s">
        <v>1008</v>
      </c>
      <c r="C105" s="397" t="s">
        <v>863</v>
      </c>
      <c r="D105" s="397" t="s">
        <v>923</v>
      </c>
      <c r="E105" s="397" t="s">
        <v>902</v>
      </c>
      <c r="F105" s="397" t="s">
        <v>723</v>
      </c>
      <c r="G105" s="405">
        <v>45649</v>
      </c>
      <c r="H105" s="397" t="s">
        <v>729</v>
      </c>
      <c r="I105" s="397" t="b">
        <v>0</v>
      </c>
      <c r="J105" s="397" t="s">
        <v>903</v>
      </c>
      <c r="L105" s="397" t="s">
        <v>749</v>
      </c>
      <c r="M105" s="397" t="s">
        <v>904</v>
      </c>
      <c r="N105" s="397">
        <v>0</v>
      </c>
      <c r="O105" s="397">
        <v>118561.06</v>
      </c>
      <c r="P105" s="397" t="s">
        <v>905</v>
      </c>
      <c r="Q105" s="397">
        <v>0</v>
      </c>
      <c r="R105" s="397">
        <v>118561.06</v>
      </c>
      <c r="S105" s="397">
        <v>-118561.06</v>
      </c>
      <c r="T105" s="397" t="s">
        <v>905</v>
      </c>
      <c r="U105" s="397" t="s">
        <v>917</v>
      </c>
      <c r="W105" s="397"/>
      <c r="X105" s="397" t="s">
        <v>805</v>
      </c>
      <c r="Y105" s="397"/>
      <c r="AA105" s="397" t="s">
        <v>907</v>
      </c>
      <c r="AB105" s="397"/>
      <c r="AH105" s="397" t="s">
        <v>918</v>
      </c>
      <c r="AK105" s="397" t="s">
        <v>849</v>
      </c>
      <c r="AL105" s="397" t="s">
        <v>81</v>
      </c>
      <c r="AM105" s="397" t="s">
        <v>913</v>
      </c>
      <c r="AN105" s="397"/>
      <c r="AQ105" s="397" t="s">
        <v>910</v>
      </c>
      <c r="AR105" s="397" t="s">
        <v>911</v>
      </c>
      <c r="AS105" s="406">
        <v>45659.580392523145</v>
      </c>
    </row>
    <row r="106" spans="1:45" x14ac:dyDescent="0.2">
      <c r="A106" s="404" t="s">
        <v>1009</v>
      </c>
      <c r="B106" s="397" t="s">
        <v>1010</v>
      </c>
      <c r="C106" s="397" t="s">
        <v>863</v>
      </c>
      <c r="D106" s="397" t="s">
        <v>901</v>
      </c>
      <c r="E106" s="397" t="s">
        <v>902</v>
      </c>
      <c r="F106" s="397" t="s">
        <v>723</v>
      </c>
      <c r="G106" s="405">
        <v>45649</v>
      </c>
      <c r="H106" s="397" t="s">
        <v>729</v>
      </c>
      <c r="I106" s="397" t="b">
        <v>0</v>
      </c>
      <c r="J106" s="397" t="s">
        <v>903</v>
      </c>
      <c r="L106" s="397" t="s">
        <v>749</v>
      </c>
      <c r="M106" s="397" t="s">
        <v>904</v>
      </c>
      <c r="N106" s="397">
        <v>0</v>
      </c>
      <c r="O106" s="397">
        <v>43785.3</v>
      </c>
      <c r="P106" s="397" t="s">
        <v>905</v>
      </c>
      <c r="Q106" s="397">
        <v>0</v>
      </c>
      <c r="R106" s="397">
        <v>43785.3</v>
      </c>
      <c r="S106" s="397">
        <v>-43785.3</v>
      </c>
      <c r="T106" s="397" t="s">
        <v>905</v>
      </c>
      <c r="U106" s="397" t="s">
        <v>1001</v>
      </c>
      <c r="W106" s="397"/>
      <c r="X106" s="397" t="s">
        <v>805</v>
      </c>
      <c r="Y106" s="397"/>
      <c r="AA106" s="397" t="s">
        <v>907</v>
      </c>
      <c r="AB106" s="397"/>
      <c r="AH106" s="397" t="s">
        <v>908</v>
      </c>
      <c r="AK106" s="397" t="s">
        <v>849</v>
      </c>
      <c r="AL106" s="397" t="s">
        <v>81</v>
      </c>
      <c r="AM106" s="397" t="s">
        <v>913</v>
      </c>
      <c r="AN106" s="397"/>
      <c r="AQ106" s="397" t="s">
        <v>910</v>
      </c>
      <c r="AR106" s="397" t="s">
        <v>911</v>
      </c>
      <c r="AS106" s="406">
        <v>45659.714419756943</v>
      </c>
    </row>
    <row r="107" spans="1:45" x14ac:dyDescent="0.2">
      <c r="A107" s="404" t="s">
        <v>1009</v>
      </c>
      <c r="B107" s="397" t="s">
        <v>1010</v>
      </c>
      <c r="C107" s="397" t="s">
        <v>863</v>
      </c>
      <c r="D107" s="397" t="s">
        <v>901</v>
      </c>
      <c r="E107" s="397" t="s">
        <v>902</v>
      </c>
      <c r="F107" s="397" t="s">
        <v>723</v>
      </c>
      <c r="G107" s="405">
        <v>45649</v>
      </c>
      <c r="H107" s="397" t="s">
        <v>729</v>
      </c>
      <c r="I107" s="397" t="b">
        <v>0</v>
      </c>
      <c r="J107" s="397" t="s">
        <v>903</v>
      </c>
      <c r="L107" s="397" t="s">
        <v>749</v>
      </c>
      <c r="M107" s="397" t="s">
        <v>904</v>
      </c>
      <c r="N107" s="397">
        <v>0</v>
      </c>
      <c r="O107" s="397">
        <v>1105.6099999999999</v>
      </c>
      <c r="P107" s="397" t="s">
        <v>905</v>
      </c>
      <c r="Q107" s="397">
        <v>0</v>
      </c>
      <c r="R107" s="397">
        <v>1105.6099999999999</v>
      </c>
      <c r="S107" s="397">
        <v>-1105.6099999999999</v>
      </c>
      <c r="T107" s="397" t="s">
        <v>905</v>
      </c>
      <c r="U107" s="397" t="s">
        <v>1002</v>
      </c>
      <c r="W107" s="397"/>
      <c r="X107" s="397" t="s">
        <v>805</v>
      </c>
      <c r="Y107" s="397"/>
      <c r="AA107" s="397" t="s">
        <v>907</v>
      </c>
      <c r="AB107" s="397"/>
      <c r="AH107" s="397" t="s">
        <v>908</v>
      </c>
      <c r="AK107" s="397" t="s">
        <v>849</v>
      </c>
      <c r="AL107" s="397" t="s">
        <v>81</v>
      </c>
      <c r="AM107" s="397" t="s">
        <v>913</v>
      </c>
      <c r="AN107" s="397"/>
      <c r="AQ107" s="397" t="s">
        <v>910</v>
      </c>
      <c r="AR107" s="397" t="s">
        <v>911</v>
      </c>
      <c r="AS107" s="406">
        <v>45659.714419756943</v>
      </c>
    </row>
    <row r="108" spans="1:45" x14ac:dyDescent="0.2">
      <c r="A108" s="404" t="s">
        <v>1009</v>
      </c>
      <c r="B108" s="397" t="s">
        <v>1010</v>
      </c>
      <c r="C108" s="397" t="s">
        <v>863</v>
      </c>
      <c r="D108" s="397" t="s">
        <v>901</v>
      </c>
      <c r="E108" s="397" t="s">
        <v>902</v>
      </c>
      <c r="F108" s="397" t="s">
        <v>723</v>
      </c>
      <c r="G108" s="405">
        <v>45649</v>
      </c>
      <c r="H108" s="397" t="s">
        <v>729</v>
      </c>
      <c r="I108" s="397" t="b">
        <v>0</v>
      </c>
      <c r="J108" s="397" t="s">
        <v>903</v>
      </c>
      <c r="L108" s="397" t="s">
        <v>749</v>
      </c>
      <c r="M108" s="397" t="s">
        <v>904</v>
      </c>
      <c r="N108" s="397">
        <v>0</v>
      </c>
      <c r="O108" s="397">
        <v>992.68</v>
      </c>
      <c r="P108" s="397" t="s">
        <v>905</v>
      </c>
      <c r="Q108" s="397">
        <v>0</v>
      </c>
      <c r="R108" s="397">
        <v>992.68</v>
      </c>
      <c r="S108" s="397">
        <v>-992.68</v>
      </c>
      <c r="T108" s="397" t="s">
        <v>905</v>
      </c>
      <c r="U108" s="397" t="s">
        <v>1003</v>
      </c>
      <c r="W108" s="397"/>
      <c r="X108" s="397" t="s">
        <v>805</v>
      </c>
      <c r="Y108" s="397"/>
      <c r="AA108" s="397" t="s">
        <v>907</v>
      </c>
      <c r="AB108" s="397"/>
      <c r="AH108" s="397" t="s">
        <v>908</v>
      </c>
      <c r="AK108" s="397" t="s">
        <v>747</v>
      </c>
      <c r="AL108" s="397" t="s">
        <v>86</v>
      </c>
      <c r="AM108" s="397" t="s">
        <v>909</v>
      </c>
      <c r="AN108" s="397"/>
      <c r="AQ108" s="397" t="s">
        <v>910</v>
      </c>
      <c r="AR108" s="397" t="s">
        <v>911</v>
      </c>
      <c r="AS108" s="406">
        <v>45659.714419756943</v>
      </c>
    </row>
    <row r="109" spans="1:45" x14ac:dyDescent="0.2">
      <c r="A109" s="404" t="s">
        <v>1009</v>
      </c>
      <c r="B109" s="397" t="s">
        <v>1010</v>
      </c>
      <c r="C109" s="397" t="s">
        <v>863</v>
      </c>
      <c r="D109" s="397" t="s">
        <v>901</v>
      </c>
      <c r="E109" s="397" t="s">
        <v>902</v>
      </c>
      <c r="F109" s="397" t="s">
        <v>723</v>
      </c>
      <c r="G109" s="405">
        <v>45649</v>
      </c>
      <c r="H109" s="397" t="s">
        <v>729</v>
      </c>
      <c r="I109" s="397" t="b">
        <v>0</v>
      </c>
      <c r="J109" s="397" t="s">
        <v>903</v>
      </c>
      <c r="L109" s="397" t="s">
        <v>749</v>
      </c>
      <c r="M109" s="397" t="s">
        <v>904</v>
      </c>
      <c r="N109" s="397">
        <v>0</v>
      </c>
      <c r="O109" s="397">
        <v>6603.87</v>
      </c>
      <c r="P109" s="397" t="s">
        <v>905</v>
      </c>
      <c r="Q109" s="397">
        <v>0</v>
      </c>
      <c r="R109" s="397">
        <v>6603.87</v>
      </c>
      <c r="S109" s="397">
        <v>-6603.87</v>
      </c>
      <c r="T109" s="397" t="s">
        <v>905</v>
      </c>
      <c r="U109" s="397" t="s">
        <v>1004</v>
      </c>
      <c r="W109" s="397"/>
      <c r="X109" s="397" t="s">
        <v>805</v>
      </c>
      <c r="Y109" s="397"/>
      <c r="AA109" s="397" t="s">
        <v>907</v>
      </c>
      <c r="AB109" s="397"/>
      <c r="AH109" s="397" t="s">
        <v>990</v>
      </c>
      <c r="AK109" s="397" t="s">
        <v>849</v>
      </c>
      <c r="AL109" s="397" t="s">
        <v>81</v>
      </c>
      <c r="AM109" s="397" t="s">
        <v>913</v>
      </c>
      <c r="AN109" s="397"/>
      <c r="AQ109" s="397" t="s">
        <v>910</v>
      </c>
      <c r="AR109" s="397" t="s">
        <v>911</v>
      </c>
      <c r="AS109" s="406">
        <v>45659.714419756943</v>
      </c>
    </row>
    <row r="110" spans="1:45" x14ac:dyDescent="0.2">
      <c r="A110" s="404" t="s">
        <v>1011</v>
      </c>
      <c r="B110" s="397" t="s">
        <v>1012</v>
      </c>
      <c r="C110" s="397" t="s">
        <v>863</v>
      </c>
      <c r="D110" s="397" t="s">
        <v>901</v>
      </c>
      <c r="E110" s="397" t="s">
        <v>902</v>
      </c>
      <c r="F110" s="397" t="s">
        <v>723</v>
      </c>
      <c r="G110" s="405">
        <v>45657</v>
      </c>
      <c r="H110" s="397" t="s">
        <v>729</v>
      </c>
      <c r="I110" s="397" t="b">
        <v>1</v>
      </c>
      <c r="J110" s="397" t="s">
        <v>903</v>
      </c>
      <c r="L110" s="397" t="s">
        <v>749</v>
      </c>
      <c r="M110" s="397" t="s">
        <v>904</v>
      </c>
      <c r="N110" s="397">
        <v>0</v>
      </c>
      <c r="O110" s="397">
        <v>9073.83</v>
      </c>
      <c r="P110" s="397" t="s">
        <v>905</v>
      </c>
      <c r="Q110" s="397">
        <v>0</v>
      </c>
      <c r="R110" s="397">
        <v>9073.83</v>
      </c>
      <c r="S110" s="397">
        <v>-9073.83</v>
      </c>
      <c r="T110" s="397" t="s">
        <v>905</v>
      </c>
      <c r="U110" s="397" t="s">
        <v>1013</v>
      </c>
      <c r="W110" s="397"/>
      <c r="X110" s="397" t="s">
        <v>805</v>
      </c>
      <c r="Y110" s="397"/>
      <c r="AA110" s="397" t="s">
        <v>907</v>
      </c>
      <c r="AB110" s="397"/>
      <c r="AH110" s="397" t="s">
        <v>990</v>
      </c>
      <c r="AK110" s="397" t="s">
        <v>849</v>
      </c>
      <c r="AL110" s="397" t="s">
        <v>81</v>
      </c>
      <c r="AM110" s="397" t="s">
        <v>913</v>
      </c>
      <c r="AN110" s="397"/>
      <c r="AQ110" s="397" t="s">
        <v>910</v>
      </c>
      <c r="AR110" s="397" t="s">
        <v>911</v>
      </c>
      <c r="AS110" s="406">
        <v>45662.938711238428</v>
      </c>
    </row>
    <row r="111" spans="1:45" x14ac:dyDescent="0.2">
      <c r="A111" s="404" t="s">
        <v>1011</v>
      </c>
      <c r="B111" s="397" t="s">
        <v>1012</v>
      </c>
      <c r="C111" s="397" t="s">
        <v>863</v>
      </c>
      <c r="D111" s="397" t="s">
        <v>901</v>
      </c>
      <c r="E111" s="397" t="s">
        <v>902</v>
      </c>
      <c r="F111" s="397" t="s">
        <v>723</v>
      </c>
      <c r="G111" s="405">
        <v>45657</v>
      </c>
      <c r="H111" s="397" t="s">
        <v>729</v>
      </c>
      <c r="I111" s="397" t="b">
        <v>1</v>
      </c>
      <c r="J111" s="397" t="s">
        <v>903</v>
      </c>
      <c r="L111" s="397" t="s">
        <v>749</v>
      </c>
      <c r="M111" s="397" t="s">
        <v>904</v>
      </c>
      <c r="N111" s="397">
        <v>0</v>
      </c>
      <c r="O111" s="397">
        <v>31153.38</v>
      </c>
      <c r="P111" s="397" t="s">
        <v>905</v>
      </c>
      <c r="Q111" s="397">
        <v>0</v>
      </c>
      <c r="R111" s="397">
        <v>31153.38</v>
      </c>
      <c r="S111" s="397">
        <v>-31153.38</v>
      </c>
      <c r="T111" s="397" t="s">
        <v>905</v>
      </c>
      <c r="U111" s="397" t="s">
        <v>1014</v>
      </c>
      <c r="W111" s="397"/>
      <c r="X111" s="397" t="s">
        <v>805</v>
      </c>
      <c r="Y111" s="397"/>
      <c r="AA111" s="397" t="s">
        <v>907</v>
      </c>
      <c r="AB111" s="397"/>
      <c r="AH111" s="397" t="s">
        <v>908</v>
      </c>
      <c r="AK111" s="397" t="s">
        <v>849</v>
      </c>
      <c r="AL111" s="397" t="s">
        <v>81</v>
      </c>
      <c r="AM111" s="397" t="s">
        <v>913</v>
      </c>
      <c r="AN111" s="397"/>
      <c r="AQ111" s="397" t="s">
        <v>910</v>
      </c>
      <c r="AR111" s="397" t="s">
        <v>911</v>
      </c>
      <c r="AS111" s="406">
        <v>45662.938711238428</v>
      </c>
    </row>
    <row r="112" spans="1:45" x14ac:dyDescent="0.2">
      <c r="A112" s="404" t="s">
        <v>1011</v>
      </c>
      <c r="B112" s="397" t="s">
        <v>1012</v>
      </c>
      <c r="C112" s="397" t="s">
        <v>863</v>
      </c>
      <c r="D112" s="397" t="s">
        <v>901</v>
      </c>
      <c r="E112" s="397" t="s">
        <v>902</v>
      </c>
      <c r="F112" s="397" t="s">
        <v>723</v>
      </c>
      <c r="G112" s="405">
        <v>45657</v>
      </c>
      <c r="H112" s="397" t="s">
        <v>729</v>
      </c>
      <c r="I112" s="397" t="b">
        <v>1</v>
      </c>
      <c r="J112" s="397" t="s">
        <v>903</v>
      </c>
      <c r="L112" s="397" t="s">
        <v>749</v>
      </c>
      <c r="M112" s="397" t="s">
        <v>904</v>
      </c>
      <c r="N112" s="397">
        <v>0</v>
      </c>
      <c r="O112" s="397">
        <v>694.83</v>
      </c>
      <c r="P112" s="397" t="s">
        <v>905</v>
      </c>
      <c r="Q112" s="397">
        <v>0</v>
      </c>
      <c r="R112" s="397">
        <v>694.83</v>
      </c>
      <c r="S112" s="397">
        <v>-694.83</v>
      </c>
      <c r="T112" s="397" t="s">
        <v>905</v>
      </c>
      <c r="U112" s="397" t="s">
        <v>1015</v>
      </c>
      <c r="W112" s="397"/>
      <c r="X112" s="397" t="s">
        <v>805</v>
      </c>
      <c r="Y112" s="397"/>
      <c r="AA112" s="397" t="s">
        <v>907</v>
      </c>
      <c r="AB112" s="397"/>
      <c r="AH112" s="397" t="s">
        <v>908</v>
      </c>
      <c r="AK112" s="397" t="s">
        <v>849</v>
      </c>
      <c r="AL112" s="397" t="s">
        <v>81</v>
      </c>
      <c r="AM112" s="397" t="s">
        <v>913</v>
      </c>
      <c r="AN112" s="397"/>
      <c r="AQ112" s="397" t="s">
        <v>910</v>
      </c>
      <c r="AR112" s="397" t="s">
        <v>911</v>
      </c>
      <c r="AS112" s="406">
        <v>45662.938711238428</v>
      </c>
    </row>
    <row r="113" spans="1:45" x14ac:dyDescent="0.2">
      <c r="A113" s="404" t="s">
        <v>1011</v>
      </c>
      <c r="B113" s="397" t="s">
        <v>1012</v>
      </c>
      <c r="C113" s="397" t="s">
        <v>863</v>
      </c>
      <c r="D113" s="397" t="s">
        <v>901</v>
      </c>
      <c r="E113" s="397" t="s">
        <v>902</v>
      </c>
      <c r="F113" s="397" t="s">
        <v>723</v>
      </c>
      <c r="G113" s="405">
        <v>45657</v>
      </c>
      <c r="H113" s="397" t="s">
        <v>729</v>
      </c>
      <c r="I113" s="397" t="b">
        <v>1</v>
      </c>
      <c r="J113" s="397" t="s">
        <v>903</v>
      </c>
      <c r="L113" s="397" t="s">
        <v>749</v>
      </c>
      <c r="M113" s="397" t="s">
        <v>904</v>
      </c>
      <c r="N113" s="397">
        <v>0</v>
      </c>
      <c r="O113" s="397">
        <v>992.68</v>
      </c>
      <c r="P113" s="397" t="s">
        <v>905</v>
      </c>
      <c r="Q113" s="397">
        <v>0</v>
      </c>
      <c r="R113" s="397">
        <v>992.68</v>
      </c>
      <c r="S113" s="397">
        <v>-992.68</v>
      </c>
      <c r="T113" s="397" t="s">
        <v>905</v>
      </c>
      <c r="U113" s="397" t="s">
        <v>1016</v>
      </c>
      <c r="W113" s="397"/>
      <c r="X113" s="397" t="s">
        <v>805</v>
      </c>
      <c r="Y113" s="397"/>
      <c r="AA113" s="397" t="s">
        <v>907</v>
      </c>
      <c r="AB113" s="397"/>
      <c r="AH113" s="397" t="s">
        <v>908</v>
      </c>
      <c r="AK113" s="397" t="s">
        <v>747</v>
      </c>
      <c r="AL113" s="397" t="s">
        <v>86</v>
      </c>
      <c r="AM113" s="397" t="s">
        <v>909</v>
      </c>
      <c r="AN113" s="397"/>
      <c r="AQ113" s="397" t="s">
        <v>910</v>
      </c>
      <c r="AR113" s="397" t="s">
        <v>911</v>
      </c>
      <c r="AS113" s="406">
        <v>45662.938711238428</v>
      </c>
    </row>
    <row r="114" spans="1:45" x14ac:dyDescent="0.2">
      <c r="A114" s="404" t="s">
        <v>1017</v>
      </c>
      <c r="B114" s="397" t="s">
        <v>1018</v>
      </c>
      <c r="C114" s="397" t="s">
        <v>863</v>
      </c>
      <c r="D114" s="397" t="s">
        <v>901</v>
      </c>
      <c r="E114" s="397" t="s">
        <v>902</v>
      </c>
      <c r="F114" s="397" t="s">
        <v>724</v>
      </c>
      <c r="G114" s="405">
        <v>45658</v>
      </c>
      <c r="H114" s="397" t="s">
        <v>729</v>
      </c>
      <c r="I114" s="397" t="b">
        <v>0</v>
      </c>
      <c r="J114" s="397" t="s">
        <v>903</v>
      </c>
      <c r="L114" s="397" t="s">
        <v>749</v>
      </c>
      <c r="M114" s="397" t="s">
        <v>904</v>
      </c>
      <c r="N114" s="397">
        <v>992.68</v>
      </c>
      <c r="O114" s="397">
        <v>0</v>
      </c>
      <c r="P114" s="397" t="s">
        <v>905</v>
      </c>
      <c r="Q114" s="397">
        <v>992.68</v>
      </c>
      <c r="R114" s="397">
        <v>0</v>
      </c>
      <c r="S114" s="397">
        <v>992.68</v>
      </c>
      <c r="T114" s="397" t="s">
        <v>905</v>
      </c>
      <c r="U114" s="397" t="s">
        <v>1016</v>
      </c>
      <c r="W114" s="397"/>
      <c r="X114" s="397" t="s">
        <v>805</v>
      </c>
      <c r="Y114" s="397"/>
      <c r="AA114" s="397" t="s">
        <v>907</v>
      </c>
      <c r="AB114" s="397"/>
      <c r="AH114" s="397" t="s">
        <v>908</v>
      </c>
      <c r="AK114" s="397" t="s">
        <v>747</v>
      </c>
      <c r="AL114" s="397" t="s">
        <v>86</v>
      </c>
      <c r="AM114" s="397" t="s">
        <v>909</v>
      </c>
      <c r="AN114" s="397"/>
      <c r="AQ114" s="397" t="s">
        <v>910</v>
      </c>
      <c r="AR114" s="397" t="s">
        <v>911</v>
      </c>
      <c r="AS114" s="406">
        <v>45662.938968263887</v>
      </c>
    </row>
    <row r="115" spans="1:45" x14ac:dyDescent="0.2">
      <c r="A115" s="404" t="s">
        <v>1017</v>
      </c>
      <c r="B115" s="397" t="s">
        <v>1018</v>
      </c>
      <c r="C115" s="397" t="s">
        <v>863</v>
      </c>
      <c r="D115" s="397" t="s">
        <v>901</v>
      </c>
      <c r="E115" s="397" t="s">
        <v>902</v>
      </c>
      <c r="F115" s="397" t="s">
        <v>724</v>
      </c>
      <c r="G115" s="405">
        <v>45658</v>
      </c>
      <c r="H115" s="397" t="s">
        <v>729</v>
      </c>
      <c r="I115" s="397" t="b">
        <v>0</v>
      </c>
      <c r="J115" s="397" t="s">
        <v>903</v>
      </c>
      <c r="L115" s="397" t="s">
        <v>749</v>
      </c>
      <c r="M115" s="397" t="s">
        <v>904</v>
      </c>
      <c r="N115" s="397">
        <v>9073.83</v>
      </c>
      <c r="O115" s="397">
        <v>0</v>
      </c>
      <c r="P115" s="397" t="s">
        <v>905</v>
      </c>
      <c r="Q115" s="397">
        <v>9073.83</v>
      </c>
      <c r="R115" s="397">
        <v>0</v>
      </c>
      <c r="S115" s="397">
        <v>9073.83</v>
      </c>
      <c r="T115" s="397" t="s">
        <v>905</v>
      </c>
      <c r="U115" s="397" t="s">
        <v>1013</v>
      </c>
      <c r="W115" s="397"/>
      <c r="X115" s="397" t="s">
        <v>805</v>
      </c>
      <c r="Y115" s="397"/>
      <c r="AA115" s="397" t="s">
        <v>907</v>
      </c>
      <c r="AB115" s="397"/>
      <c r="AH115" s="397" t="s">
        <v>990</v>
      </c>
      <c r="AK115" s="397" t="s">
        <v>849</v>
      </c>
      <c r="AL115" s="397" t="s">
        <v>81</v>
      </c>
      <c r="AM115" s="397" t="s">
        <v>913</v>
      </c>
      <c r="AN115" s="397"/>
      <c r="AQ115" s="397" t="s">
        <v>910</v>
      </c>
      <c r="AR115" s="397" t="s">
        <v>911</v>
      </c>
      <c r="AS115" s="406">
        <v>45662.938968263887</v>
      </c>
    </row>
    <row r="116" spans="1:45" x14ac:dyDescent="0.2">
      <c r="A116" s="404" t="s">
        <v>1017</v>
      </c>
      <c r="B116" s="397" t="s">
        <v>1018</v>
      </c>
      <c r="C116" s="397" t="s">
        <v>863</v>
      </c>
      <c r="D116" s="397" t="s">
        <v>901</v>
      </c>
      <c r="E116" s="397" t="s">
        <v>902</v>
      </c>
      <c r="F116" s="397" t="s">
        <v>724</v>
      </c>
      <c r="G116" s="405">
        <v>45658</v>
      </c>
      <c r="H116" s="397" t="s">
        <v>729</v>
      </c>
      <c r="I116" s="397" t="b">
        <v>0</v>
      </c>
      <c r="J116" s="397" t="s">
        <v>903</v>
      </c>
      <c r="L116" s="397" t="s">
        <v>749</v>
      </c>
      <c r="M116" s="397" t="s">
        <v>904</v>
      </c>
      <c r="N116" s="397">
        <v>31153.38</v>
      </c>
      <c r="O116" s="397">
        <v>0</v>
      </c>
      <c r="P116" s="397" t="s">
        <v>905</v>
      </c>
      <c r="Q116" s="397">
        <v>31153.38</v>
      </c>
      <c r="R116" s="397">
        <v>0</v>
      </c>
      <c r="S116" s="397">
        <v>31153.38</v>
      </c>
      <c r="T116" s="397" t="s">
        <v>905</v>
      </c>
      <c r="U116" s="397" t="s">
        <v>1014</v>
      </c>
      <c r="W116" s="397"/>
      <c r="X116" s="397" t="s">
        <v>805</v>
      </c>
      <c r="Y116" s="397"/>
      <c r="AA116" s="397" t="s">
        <v>907</v>
      </c>
      <c r="AB116" s="397"/>
      <c r="AH116" s="397" t="s">
        <v>908</v>
      </c>
      <c r="AK116" s="397" t="s">
        <v>849</v>
      </c>
      <c r="AL116" s="397" t="s">
        <v>81</v>
      </c>
      <c r="AM116" s="397" t="s">
        <v>913</v>
      </c>
      <c r="AN116" s="397"/>
      <c r="AQ116" s="397" t="s">
        <v>910</v>
      </c>
      <c r="AR116" s="397" t="s">
        <v>911</v>
      </c>
      <c r="AS116" s="406">
        <v>45662.938968263887</v>
      </c>
    </row>
    <row r="117" spans="1:45" x14ac:dyDescent="0.2">
      <c r="A117" s="404" t="s">
        <v>1017</v>
      </c>
      <c r="B117" s="397" t="s">
        <v>1018</v>
      </c>
      <c r="C117" s="397" t="s">
        <v>863</v>
      </c>
      <c r="D117" s="397" t="s">
        <v>901</v>
      </c>
      <c r="E117" s="397" t="s">
        <v>902</v>
      </c>
      <c r="F117" s="397" t="s">
        <v>724</v>
      </c>
      <c r="G117" s="405">
        <v>45658</v>
      </c>
      <c r="H117" s="397" t="s">
        <v>729</v>
      </c>
      <c r="I117" s="397" t="b">
        <v>0</v>
      </c>
      <c r="J117" s="397" t="s">
        <v>903</v>
      </c>
      <c r="L117" s="397" t="s">
        <v>749</v>
      </c>
      <c r="M117" s="397" t="s">
        <v>904</v>
      </c>
      <c r="N117" s="397">
        <v>694.83</v>
      </c>
      <c r="O117" s="397">
        <v>0</v>
      </c>
      <c r="P117" s="397" t="s">
        <v>905</v>
      </c>
      <c r="Q117" s="397">
        <v>694.83</v>
      </c>
      <c r="R117" s="397">
        <v>0</v>
      </c>
      <c r="S117" s="397">
        <v>694.83</v>
      </c>
      <c r="T117" s="397" t="s">
        <v>905</v>
      </c>
      <c r="U117" s="397" t="s">
        <v>1015</v>
      </c>
      <c r="W117" s="397"/>
      <c r="X117" s="397" t="s">
        <v>805</v>
      </c>
      <c r="Y117" s="397"/>
      <c r="AA117" s="397" t="s">
        <v>907</v>
      </c>
      <c r="AB117" s="397"/>
      <c r="AH117" s="397" t="s">
        <v>908</v>
      </c>
      <c r="AK117" s="397" t="s">
        <v>849</v>
      </c>
      <c r="AL117" s="397" t="s">
        <v>81</v>
      </c>
      <c r="AM117" s="397" t="s">
        <v>913</v>
      </c>
      <c r="AN117" s="397"/>
      <c r="AQ117" s="397" t="s">
        <v>910</v>
      </c>
      <c r="AR117" s="397" t="s">
        <v>911</v>
      </c>
      <c r="AS117" s="406">
        <v>45662.938968263887</v>
      </c>
    </row>
    <row r="118" spans="1:45" x14ac:dyDescent="0.2">
      <c r="A118" s="404" t="s">
        <v>1019</v>
      </c>
      <c r="B118" s="397" t="s">
        <v>1020</v>
      </c>
      <c r="C118" s="397" t="s">
        <v>863</v>
      </c>
      <c r="D118" s="397" t="s">
        <v>901</v>
      </c>
      <c r="E118" s="397" t="s">
        <v>902</v>
      </c>
      <c r="F118" s="397" t="s">
        <v>723</v>
      </c>
      <c r="G118" s="405">
        <v>45657</v>
      </c>
      <c r="H118" s="397" t="s">
        <v>729</v>
      </c>
      <c r="I118" s="397" t="b">
        <v>1</v>
      </c>
      <c r="J118" s="397" t="s">
        <v>903</v>
      </c>
      <c r="L118" s="397" t="s">
        <v>749</v>
      </c>
      <c r="M118" s="397" t="s">
        <v>904</v>
      </c>
      <c r="N118" s="397">
        <v>0</v>
      </c>
      <c r="O118" s="397">
        <v>39207.64</v>
      </c>
      <c r="P118" s="397" t="s">
        <v>905</v>
      </c>
      <c r="Q118" s="397">
        <v>0</v>
      </c>
      <c r="R118" s="397">
        <v>39207.64</v>
      </c>
      <c r="S118" s="397">
        <v>-39207.64</v>
      </c>
      <c r="T118" s="397" t="s">
        <v>905</v>
      </c>
      <c r="U118" s="397" t="s">
        <v>919</v>
      </c>
      <c r="W118" s="397"/>
      <c r="X118" s="397" t="s">
        <v>805</v>
      </c>
      <c r="Y118" s="397"/>
      <c r="AA118" s="397" t="s">
        <v>907</v>
      </c>
      <c r="AB118" s="397"/>
      <c r="AH118" s="397" t="s">
        <v>920</v>
      </c>
      <c r="AK118" s="397" t="s">
        <v>849</v>
      </c>
      <c r="AL118" s="397" t="s">
        <v>81</v>
      </c>
      <c r="AM118" s="397" t="s">
        <v>913</v>
      </c>
      <c r="AN118" s="397"/>
      <c r="AQ118" s="397" t="s">
        <v>910</v>
      </c>
      <c r="AR118" s="397" t="s">
        <v>911</v>
      </c>
      <c r="AS118" s="406">
        <v>45663.413962638886</v>
      </c>
    </row>
    <row r="119" spans="1:45" x14ac:dyDescent="0.2">
      <c r="A119" s="404" t="s">
        <v>1019</v>
      </c>
      <c r="B119" s="397" t="s">
        <v>1020</v>
      </c>
      <c r="C119" s="397" t="s">
        <v>863</v>
      </c>
      <c r="D119" s="397" t="s">
        <v>901</v>
      </c>
      <c r="E119" s="397" t="s">
        <v>902</v>
      </c>
      <c r="F119" s="397" t="s">
        <v>723</v>
      </c>
      <c r="G119" s="405">
        <v>45657</v>
      </c>
      <c r="H119" s="397" t="s">
        <v>729</v>
      </c>
      <c r="I119" s="397" t="b">
        <v>1</v>
      </c>
      <c r="J119" s="397" t="s">
        <v>903</v>
      </c>
      <c r="L119" s="397" t="s">
        <v>749</v>
      </c>
      <c r="M119" s="397" t="s">
        <v>904</v>
      </c>
      <c r="N119" s="397">
        <v>0</v>
      </c>
      <c r="O119" s="397">
        <v>109700.23</v>
      </c>
      <c r="P119" s="397" t="s">
        <v>905</v>
      </c>
      <c r="Q119" s="397">
        <v>0</v>
      </c>
      <c r="R119" s="397">
        <v>109700.23</v>
      </c>
      <c r="S119" s="397">
        <v>-109700.23</v>
      </c>
      <c r="T119" s="397" t="s">
        <v>905</v>
      </c>
      <c r="U119" s="397" t="s">
        <v>917</v>
      </c>
      <c r="W119" s="397"/>
      <c r="X119" s="397" t="s">
        <v>805</v>
      </c>
      <c r="Y119" s="397"/>
      <c r="AA119" s="397" t="s">
        <v>907</v>
      </c>
      <c r="AB119" s="397"/>
      <c r="AH119" s="397" t="s">
        <v>918</v>
      </c>
      <c r="AK119" s="397" t="s">
        <v>849</v>
      </c>
      <c r="AL119" s="397" t="s">
        <v>81</v>
      </c>
      <c r="AM119" s="397" t="s">
        <v>913</v>
      </c>
      <c r="AN119" s="397"/>
      <c r="AQ119" s="397" t="s">
        <v>910</v>
      </c>
      <c r="AR119" s="397" t="s">
        <v>911</v>
      </c>
      <c r="AS119" s="406">
        <v>45663.413962638886</v>
      </c>
    </row>
    <row r="120" spans="1:45" x14ac:dyDescent="0.2">
      <c r="A120" s="404" t="s">
        <v>1021</v>
      </c>
      <c r="B120" s="397" t="s">
        <v>1022</v>
      </c>
      <c r="C120" s="397" t="s">
        <v>863</v>
      </c>
      <c r="D120" s="397" t="s">
        <v>901</v>
      </c>
      <c r="E120" s="397" t="s">
        <v>902</v>
      </c>
      <c r="F120" s="397" t="s">
        <v>724</v>
      </c>
      <c r="G120" s="405">
        <v>45658</v>
      </c>
      <c r="H120" s="397" t="s">
        <v>729</v>
      </c>
      <c r="I120" s="397" t="b">
        <v>0</v>
      </c>
      <c r="J120" s="397" t="s">
        <v>903</v>
      </c>
      <c r="L120" s="397" t="s">
        <v>749</v>
      </c>
      <c r="M120" s="397" t="s">
        <v>904</v>
      </c>
      <c r="N120" s="397">
        <v>39207.64</v>
      </c>
      <c r="O120" s="397">
        <v>0</v>
      </c>
      <c r="P120" s="397" t="s">
        <v>905</v>
      </c>
      <c r="Q120" s="397">
        <v>39207.64</v>
      </c>
      <c r="R120" s="397">
        <v>0</v>
      </c>
      <c r="S120" s="397">
        <v>39207.64</v>
      </c>
      <c r="T120" s="397" t="s">
        <v>905</v>
      </c>
      <c r="U120" s="397" t="s">
        <v>919</v>
      </c>
      <c r="W120" s="397"/>
      <c r="X120" s="397" t="s">
        <v>805</v>
      </c>
      <c r="Y120" s="397"/>
      <c r="AA120" s="397" t="s">
        <v>907</v>
      </c>
      <c r="AB120" s="397"/>
      <c r="AH120" s="397" t="s">
        <v>920</v>
      </c>
      <c r="AK120" s="397" t="s">
        <v>849</v>
      </c>
      <c r="AL120" s="397" t="s">
        <v>81</v>
      </c>
      <c r="AM120" s="397" t="s">
        <v>913</v>
      </c>
      <c r="AN120" s="397"/>
      <c r="AQ120" s="397" t="s">
        <v>910</v>
      </c>
      <c r="AR120" s="397" t="s">
        <v>911</v>
      </c>
      <c r="AS120" s="406">
        <v>45663.414152627316</v>
      </c>
    </row>
    <row r="121" spans="1:45" x14ac:dyDescent="0.2">
      <c r="A121" s="404" t="s">
        <v>1021</v>
      </c>
      <c r="B121" s="397" t="s">
        <v>1022</v>
      </c>
      <c r="C121" s="397" t="s">
        <v>863</v>
      </c>
      <c r="D121" s="397" t="s">
        <v>901</v>
      </c>
      <c r="E121" s="397" t="s">
        <v>902</v>
      </c>
      <c r="F121" s="397" t="s">
        <v>724</v>
      </c>
      <c r="G121" s="405">
        <v>45658</v>
      </c>
      <c r="H121" s="397" t="s">
        <v>729</v>
      </c>
      <c r="I121" s="397" t="b">
        <v>0</v>
      </c>
      <c r="J121" s="397" t="s">
        <v>903</v>
      </c>
      <c r="L121" s="397" t="s">
        <v>749</v>
      </c>
      <c r="M121" s="397" t="s">
        <v>904</v>
      </c>
      <c r="N121" s="397">
        <v>109700.23</v>
      </c>
      <c r="O121" s="397">
        <v>0</v>
      </c>
      <c r="P121" s="397" t="s">
        <v>905</v>
      </c>
      <c r="Q121" s="397">
        <v>109700.23</v>
      </c>
      <c r="R121" s="397">
        <v>0</v>
      </c>
      <c r="S121" s="397">
        <v>109700.23</v>
      </c>
      <c r="T121" s="397" t="s">
        <v>905</v>
      </c>
      <c r="U121" s="397" t="s">
        <v>917</v>
      </c>
      <c r="W121" s="397"/>
      <c r="X121" s="397" t="s">
        <v>805</v>
      </c>
      <c r="Y121" s="397"/>
      <c r="AA121" s="397" t="s">
        <v>907</v>
      </c>
      <c r="AB121" s="397"/>
      <c r="AH121" s="397" t="s">
        <v>918</v>
      </c>
      <c r="AK121" s="397" t="s">
        <v>849</v>
      </c>
      <c r="AL121" s="397" t="s">
        <v>81</v>
      </c>
      <c r="AM121" s="397" t="s">
        <v>913</v>
      </c>
      <c r="AN121" s="397"/>
      <c r="AQ121" s="397" t="s">
        <v>910</v>
      </c>
      <c r="AR121" s="397" t="s">
        <v>911</v>
      </c>
      <c r="AS121" s="406">
        <v>45663.414157650463</v>
      </c>
    </row>
    <row r="122" spans="1:45" x14ac:dyDescent="0.2">
      <c r="A122" s="404" t="s">
        <v>1023</v>
      </c>
      <c r="B122" s="397" t="s">
        <v>1024</v>
      </c>
      <c r="C122" s="397" t="s">
        <v>863</v>
      </c>
      <c r="D122" s="397" t="s">
        <v>1025</v>
      </c>
      <c r="E122" s="397" t="s">
        <v>902</v>
      </c>
      <c r="F122" s="397" t="s">
        <v>723</v>
      </c>
      <c r="G122" s="405">
        <v>45657</v>
      </c>
      <c r="H122" s="397" t="s">
        <v>729</v>
      </c>
      <c r="I122" s="397" t="b">
        <v>0</v>
      </c>
      <c r="J122" s="397" t="s">
        <v>903</v>
      </c>
      <c r="L122" s="397" t="s">
        <v>749</v>
      </c>
      <c r="M122" s="397" t="s">
        <v>904</v>
      </c>
      <c r="N122" s="397">
        <v>0</v>
      </c>
      <c r="O122" s="397">
        <v>93859.32</v>
      </c>
      <c r="P122" s="397" t="s">
        <v>905</v>
      </c>
      <c r="Q122" s="397">
        <v>0</v>
      </c>
      <c r="R122" s="397">
        <v>93859.32</v>
      </c>
      <c r="S122" s="397">
        <v>-93859.32</v>
      </c>
      <c r="T122" s="397" t="s">
        <v>905</v>
      </c>
      <c r="U122" s="397" t="s">
        <v>1026</v>
      </c>
      <c r="W122" s="397"/>
      <c r="X122" s="397" t="s">
        <v>805</v>
      </c>
      <c r="Y122" s="397"/>
      <c r="AA122" s="397" t="s">
        <v>907</v>
      </c>
      <c r="AB122" s="397"/>
      <c r="AH122" s="397" t="s">
        <v>918</v>
      </c>
      <c r="AK122" s="397" t="s">
        <v>849</v>
      </c>
      <c r="AL122" s="397" t="s">
        <v>81</v>
      </c>
      <c r="AM122" s="397" t="s">
        <v>913</v>
      </c>
      <c r="AN122" s="397"/>
      <c r="AQ122" s="397" t="s">
        <v>910</v>
      </c>
      <c r="AR122" s="397" t="s">
        <v>911</v>
      </c>
      <c r="AS122" s="406">
        <v>45665.428283055553</v>
      </c>
    </row>
    <row r="123" spans="1:45" x14ac:dyDescent="0.2">
      <c r="A123" s="404" t="s">
        <v>1023</v>
      </c>
      <c r="B123" s="397" t="s">
        <v>1024</v>
      </c>
      <c r="C123" s="397" t="s">
        <v>863</v>
      </c>
      <c r="D123" s="397" t="s">
        <v>1025</v>
      </c>
      <c r="E123" s="397" t="s">
        <v>902</v>
      </c>
      <c r="F123" s="397" t="s">
        <v>723</v>
      </c>
      <c r="G123" s="405">
        <v>45657</v>
      </c>
      <c r="H123" s="397" t="s">
        <v>729</v>
      </c>
      <c r="I123" s="397" t="b">
        <v>0</v>
      </c>
      <c r="J123" s="397" t="s">
        <v>903</v>
      </c>
      <c r="L123" s="397" t="s">
        <v>749</v>
      </c>
      <c r="M123" s="397" t="s">
        <v>904</v>
      </c>
      <c r="N123" s="397">
        <v>0</v>
      </c>
      <c r="O123" s="397">
        <v>79487.58</v>
      </c>
      <c r="P123" s="397" t="s">
        <v>905</v>
      </c>
      <c r="Q123" s="397">
        <v>0</v>
      </c>
      <c r="R123" s="397">
        <v>79487.58</v>
      </c>
      <c r="S123" s="397">
        <v>-79487.58</v>
      </c>
      <c r="T123" s="397" t="s">
        <v>905</v>
      </c>
      <c r="U123" s="397" t="s">
        <v>1027</v>
      </c>
      <c r="W123" s="397"/>
      <c r="X123" s="397" t="s">
        <v>805</v>
      </c>
      <c r="Y123" s="397"/>
      <c r="AA123" s="397" t="s">
        <v>907</v>
      </c>
      <c r="AB123" s="397"/>
      <c r="AH123" s="397" t="s">
        <v>918</v>
      </c>
      <c r="AK123" s="397" t="s">
        <v>849</v>
      </c>
      <c r="AL123" s="397" t="s">
        <v>81</v>
      </c>
      <c r="AM123" s="397" t="s">
        <v>913</v>
      </c>
      <c r="AN123" s="397"/>
      <c r="AQ123" s="397" t="s">
        <v>910</v>
      </c>
      <c r="AR123" s="397" t="s">
        <v>911</v>
      </c>
      <c r="AS123" s="406">
        <v>45665.428283055553</v>
      </c>
    </row>
    <row r="124" spans="1:45" x14ac:dyDescent="0.2">
      <c r="A124" s="404" t="s">
        <v>1023</v>
      </c>
      <c r="B124" s="397" t="s">
        <v>1024</v>
      </c>
      <c r="C124" s="397" t="s">
        <v>863</v>
      </c>
      <c r="D124" s="397" t="s">
        <v>1025</v>
      </c>
      <c r="E124" s="397" t="s">
        <v>902</v>
      </c>
      <c r="F124" s="397" t="s">
        <v>723</v>
      </c>
      <c r="G124" s="405">
        <v>45657</v>
      </c>
      <c r="H124" s="397" t="s">
        <v>729</v>
      </c>
      <c r="I124" s="397" t="b">
        <v>0</v>
      </c>
      <c r="J124" s="397" t="s">
        <v>903</v>
      </c>
      <c r="L124" s="397" t="s">
        <v>749</v>
      </c>
      <c r="M124" s="397" t="s">
        <v>904</v>
      </c>
      <c r="N124" s="397">
        <v>0</v>
      </c>
      <c r="O124" s="397">
        <v>107678.41</v>
      </c>
      <c r="P124" s="397" t="s">
        <v>905</v>
      </c>
      <c r="Q124" s="397">
        <v>0</v>
      </c>
      <c r="R124" s="397">
        <v>107678.41</v>
      </c>
      <c r="S124" s="397">
        <v>-107678.41</v>
      </c>
      <c r="T124" s="397" t="s">
        <v>905</v>
      </c>
      <c r="U124" s="397" t="s">
        <v>1028</v>
      </c>
      <c r="W124" s="397"/>
      <c r="X124" s="397" t="s">
        <v>805</v>
      </c>
      <c r="Y124" s="397"/>
      <c r="AA124" s="397" t="s">
        <v>907</v>
      </c>
      <c r="AB124" s="397"/>
      <c r="AH124" s="397" t="s">
        <v>918</v>
      </c>
      <c r="AK124" s="397" t="s">
        <v>849</v>
      </c>
      <c r="AL124" s="397" t="s">
        <v>81</v>
      </c>
      <c r="AM124" s="397" t="s">
        <v>913</v>
      </c>
      <c r="AN124" s="397"/>
      <c r="AQ124" s="397" t="s">
        <v>910</v>
      </c>
      <c r="AR124" s="397" t="s">
        <v>911</v>
      </c>
      <c r="AS124" s="406">
        <v>45665.428283055553</v>
      </c>
    </row>
    <row r="125" spans="1:45" x14ac:dyDescent="0.2">
      <c r="A125" s="404" t="s">
        <v>1023</v>
      </c>
      <c r="B125" s="397" t="s">
        <v>1024</v>
      </c>
      <c r="C125" s="397" t="s">
        <v>863</v>
      </c>
      <c r="D125" s="397" t="s">
        <v>1025</v>
      </c>
      <c r="E125" s="397" t="s">
        <v>902</v>
      </c>
      <c r="F125" s="397" t="s">
        <v>723</v>
      </c>
      <c r="G125" s="405">
        <v>45657</v>
      </c>
      <c r="H125" s="397" t="s">
        <v>729</v>
      </c>
      <c r="I125" s="397" t="b">
        <v>0</v>
      </c>
      <c r="J125" s="397" t="s">
        <v>903</v>
      </c>
      <c r="L125" s="397" t="s">
        <v>749</v>
      </c>
      <c r="M125" s="397" t="s">
        <v>904</v>
      </c>
      <c r="N125" s="397">
        <v>0</v>
      </c>
      <c r="O125" s="397">
        <v>135826.01999999999</v>
      </c>
      <c r="P125" s="397" t="s">
        <v>905</v>
      </c>
      <c r="Q125" s="397">
        <v>0</v>
      </c>
      <c r="R125" s="397">
        <v>135826.01999999999</v>
      </c>
      <c r="S125" s="397">
        <v>-135826.01999999999</v>
      </c>
      <c r="T125" s="397" t="s">
        <v>905</v>
      </c>
      <c r="U125" s="397" t="s">
        <v>1029</v>
      </c>
      <c r="W125" s="397"/>
      <c r="X125" s="397" t="s">
        <v>805</v>
      </c>
      <c r="Y125" s="397"/>
      <c r="AA125" s="397" t="s">
        <v>907</v>
      </c>
      <c r="AB125" s="397"/>
      <c r="AH125" s="397" t="s">
        <v>918</v>
      </c>
      <c r="AK125" s="397" t="s">
        <v>849</v>
      </c>
      <c r="AL125" s="397" t="s">
        <v>81</v>
      </c>
      <c r="AM125" s="397" t="s">
        <v>913</v>
      </c>
      <c r="AN125" s="397"/>
      <c r="AQ125" s="397" t="s">
        <v>910</v>
      </c>
      <c r="AR125" s="397" t="s">
        <v>911</v>
      </c>
      <c r="AS125" s="406">
        <v>45665.428283055553</v>
      </c>
    </row>
    <row r="126" spans="1:45" x14ac:dyDescent="0.2">
      <c r="A126" s="404" t="s">
        <v>1023</v>
      </c>
      <c r="B126" s="397" t="s">
        <v>1024</v>
      </c>
      <c r="C126" s="397" t="s">
        <v>863</v>
      </c>
      <c r="D126" s="397" t="s">
        <v>1025</v>
      </c>
      <c r="E126" s="397" t="s">
        <v>902</v>
      </c>
      <c r="F126" s="397" t="s">
        <v>723</v>
      </c>
      <c r="G126" s="405">
        <v>45657</v>
      </c>
      <c r="H126" s="397" t="s">
        <v>729</v>
      </c>
      <c r="I126" s="397" t="b">
        <v>0</v>
      </c>
      <c r="J126" s="397" t="s">
        <v>903</v>
      </c>
      <c r="L126" s="397" t="s">
        <v>749</v>
      </c>
      <c r="M126" s="397" t="s">
        <v>904</v>
      </c>
      <c r="N126" s="397">
        <v>0</v>
      </c>
      <c r="O126" s="397">
        <v>132667.63</v>
      </c>
      <c r="P126" s="397" t="s">
        <v>905</v>
      </c>
      <c r="Q126" s="397">
        <v>0</v>
      </c>
      <c r="R126" s="397">
        <v>132667.63</v>
      </c>
      <c r="S126" s="397">
        <v>-132667.63</v>
      </c>
      <c r="T126" s="397" t="s">
        <v>905</v>
      </c>
      <c r="U126" s="397" t="s">
        <v>1030</v>
      </c>
      <c r="W126" s="397"/>
      <c r="X126" s="397" t="s">
        <v>805</v>
      </c>
      <c r="Y126" s="397"/>
      <c r="AA126" s="397" t="s">
        <v>907</v>
      </c>
      <c r="AB126" s="397"/>
      <c r="AH126" s="397" t="s">
        <v>918</v>
      </c>
      <c r="AK126" s="397" t="s">
        <v>849</v>
      </c>
      <c r="AL126" s="397" t="s">
        <v>81</v>
      </c>
      <c r="AM126" s="397" t="s">
        <v>913</v>
      </c>
      <c r="AN126" s="397"/>
      <c r="AQ126" s="397" t="s">
        <v>910</v>
      </c>
      <c r="AR126" s="397" t="s">
        <v>911</v>
      </c>
      <c r="AS126" s="406">
        <v>45665.428283055553</v>
      </c>
    </row>
    <row r="127" spans="1:45" x14ac:dyDescent="0.2">
      <c r="A127" s="404" t="s">
        <v>1031</v>
      </c>
      <c r="B127" s="397" t="s">
        <v>1032</v>
      </c>
      <c r="C127" s="397" t="s">
        <v>863</v>
      </c>
      <c r="D127" s="397" t="s">
        <v>1025</v>
      </c>
      <c r="E127" s="397" t="s">
        <v>902</v>
      </c>
      <c r="F127" s="397" t="s">
        <v>723</v>
      </c>
      <c r="G127" s="405">
        <v>45657</v>
      </c>
      <c r="H127" s="397" t="s">
        <v>729</v>
      </c>
      <c r="I127" s="397" t="b">
        <v>1</v>
      </c>
      <c r="J127" s="397" t="s">
        <v>903</v>
      </c>
      <c r="L127" s="397" t="s">
        <v>749</v>
      </c>
      <c r="M127" s="397" t="s">
        <v>904</v>
      </c>
      <c r="N127" s="397">
        <v>0</v>
      </c>
      <c r="O127" s="397">
        <v>87307.91</v>
      </c>
      <c r="P127" s="397" t="s">
        <v>905</v>
      </c>
      <c r="Q127" s="397">
        <v>0</v>
      </c>
      <c r="R127" s="397">
        <v>87307.91</v>
      </c>
      <c r="S127" s="397">
        <v>-87307.91</v>
      </c>
      <c r="T127" s="397" t="s">
        <v>905</v>
      </c>
      <c r="U127" s="397" t="s">
        <v>1033</v>
      </c>
      <c r="W127" s="397"/>
      <c r="X127" s="397" t="s">
        <v>805</v>
      </c>
      <c r="Y127" s="397"/>
      <c r="AA127" s="397" t="s">
        <v>907</v>
      </c>
      <c r="AB127" s="397"/>
      <c r="AH127" s="397" t="s">
        <v>918</v>
      </c>
      <c r="AK127" s="397" t="s">
        <v>849</v>
      </c>
      <c r="AL127" s="397" t="s">
        <v>81</v>
      </c>
      <c r="AM127" s="397" t="s">
        <v>913</v>
      </c>
      <c r="AN127" s="397"/>
      <c r="AQ127" s="397" t="s">
        <v>910</v>
      </c>
      <c r="AR127" s="397" t="s">
        <v>911</v>
      </c>
      <c r="AS127" s="406">
        <v>45665.430873101854</v>
      </c>
    </row>
    <row r="128" spans="1:45" x14ac:dyDescent="0.2">
      <c r="A128" s="404" t="s">
        <v>1034</v>
      </c>
      <c r="B128" s="397" t="s">
        <v>1035</v>
      </c>
      <c r="C128" s="397" t="s">
        <v>863</v>
      </c>
      <c r="D128" s="397" t="s">
        <v>1025</v>
      </c>
      <c r="E128" s="397" t="s">
        <v>902</v>
      </c>
      <c r="F128" s="397" t="s">
        <v>724</v>
      </c>
      <c r="G128" s="405">
        <v>45658</v>
      </c>
      <c r="H128" s="397" t="s">
        <v>729</v>
      </c>
      <c r="I128" s="397" t="b">
        <v>0</v>
      </c>
      <c r="J128" s="397" t="s">
        <v>903</v>
      </c>
      <c r="L128" s="397" t="s">
        <v>749</v>
      </c>
      <c r="M128" s="397" t="s">
        <v>904</v>
      </c>
      <c r="N128" s="397">
        <v>87307.91</v>
      </c>
      <c r="O128" s="397">
        <v>0</v>
      </c>
      <c r="P128" s="397" t="s">
        <v>905</v>
      </c>
      <c r="Q128" s="397">
        <v>87307.91</v>
      </c>
      <c r="R128" s="397">
        <v>0</v>
      </c>
      <c r="S128" s="397">
        <v>87307.91</v>
      </c>
      <c r="T128" s="397" t="s">
        <v>905</v>
      </c>
      <c r="U128" s="397" t="s">
        <v>1033</v>
      </c>
      <c r="W128" s="397"/>
      <c r="X128" s="397" t="s">
        <v>805</v>
      </c>
      <c r="Y128" s="397"/>
      <c r="AA128" s="397" t="s">
        <v>907</v>
      </c>
      <c r="AB128" s="397"/>
      <c r="AH128" s="397" t="s">
        <v>918</v>
      </c>
      <c r="AK128" s="397" t="s">
        <v>849</v>
      </c>
      <c r="AL128" s="397" t="s">
        <v>81</v>
      </c>
      <c r="AM128" s="397" t="s">
        <v>913</v>
      </c>
      <c r="AN128" s="397"/>
      <c r="AQ128" s="397" t="s">
        <v>910</v>
      </c>
      <c r="AR128" s="397" t="s">
        <v>911</v>
      </c>
      <c r="AS128" s="406">
        <v>45665.430873101854</v>
      </c>
    </row>
    <row r="129" spans="1:45" x14ac:dyDescent="0.2">
      <c r="A129" s="404" t="s">
        <v>1036</v>
      </c>
      <c r="B129" s="397" t="s">
        <v>1037</v>
      </c>
      <c r="C129" s="397" t="s">
        <v>863</v>
      </c>
      <c r="D129" s="397" t="s">
        <v>923</v>
      </c>
      <c r="E129" s="397" t="s">
        <v>902</v>
      </c>
      <c r="F129" s="397" t="s">
        <v>724</v>
      </c>
      <c r="G129" s="405">
        <v>45677</v>
      </c>
      <c r="H129" s="397" t="s">
        <v>729</v>
      </c>
      <c r="I129" s="397" t="b">
        <v>0</v>
      </c>
      <c r="J129" s="397" t="s">
        <v>903</v>
      </c>
      <c r="L129" s="397" t="s">
        <v>749</v>
      </c>
      <c r="M129" s="397" t="s">
        <v>904</v>
      </c>
      <c r="N129" s="397">
        <v>0</v>
      </c>
      <c r="O129" s="397">
        <v>59348.97</v>
      </c>
      <c r="P129" s="397" t="s">
        <v>905</v>
      </c>
      <c r="Q129" s="397">
        <v>0</v>
      </c>
      <c r="R129" s="397">
        <v>59348.97</v>
      </c>
      <c r="S129" s="397">
        <v>-59348.97</v>
      </c>
      <c r="T129" s="397" t="s">
        <v>905</v>
      </c>
      <c r="U129" s="397" t="s">
        <v>919</v>
      </c>
      <c r="W129" s="397"/>
      <c r="X129" s="397" t="s">
        <v>805</v>
      </c>
      <c r="Y129" s="397"/>
      <c r="AA129" s="397" t="s">
        <v>907</v>
      </c>
      <c r="AB129" s="397"/>
      <c r="AH129" s="397" t="s">
        <v>920</v>
      </c>
      <c r="AK129" s="397" t="s">
        <v>849</v>
      </c>
      <c r="AL129" s="397" t="s">
        <v>81</v>
      </c>
      <c r="AM129" s="397" t="s">
        <v>913</v>
      </c>
      <c r="AN129" s="397"/>
      <c r="AQ129" s="397" t="s">
        <v>910</v>
      </c>
      <c r="AR129" s="397" t="s">
        <v>911</v>
      </c>
      <c r="AS129" s="406">
        <v>45691.510853414351</v>
      </c>
    </row>
    <row r="130" spans="1:45" x14ac:dyDescent="0.2">
      <c r="A130" s="404" t="s">
        <v>1036</v>
      </c>
      <c r="B130" s="397" t="s">
        <v>1037</v>
      </c>
      <c r="C130" s="397" t="s">
        <v>863</v>
      </c>
      <c r="D130" s="397" t="s">
        <v>923</v>
      </c>
      <c r="E130" s="397" t="s">
        <v>902</v>
      </c>
      <c r="F130" s="397" t="s">
        <v>724</v>
      </c>
      <c r="G130" s="405">
        <v>45677</v>
      </c>
      <c r="H130" s="397" t="s">
        <v>729</v>
      </c>
      <c r="I130" s="397" t="b">
        <v>0</v>
      </c>
      <c r="J130" s="397" t="s">
        <v>903</v>
      </c>
      <c r="L130" s="397" t="s">
        <v>749</v>
      </c>
      <c r="M130" s="397" t="s">
        <v>904</v>
      </c>
      <c r="N130" s="397">
        <v>0</v>
      </c>
      <c r="O130" s="397">
        <v>148.58000000000001</v>
      </c>
      <c r="P130" s="397" t="s">
        <v>905</v>
      </c>
      <c r="Q130" s="397">
        <v>0</v>
      </c>
      <c r="R130" s="397">
        <v>148.58000000000001</v>
      </c>
      <c r="S130" s="397">
        <v>-148.58000000000001</v>
      </c>
      <c r="T130" s="397" t="s">
        <v>905</v>
      </c>
      <c r="U130" s="397" t="s">
        <v>924</v>
      </c>
      <c r="W130" s="397"/>
      <c r="X130" s="397" t="s">
        <v>805</v>
      </c>
      <c r="Y130" s="397"/>
      <c r="AA130" s="397" t="s">
        <v>907</v>
      </c>
      <c r="AB130" s="397"/>
      <c r="AH130" s="397" t="s">
        <v>925</v>
      </c>
      <c r="AK130" s="397" t="s">
        <v>849</v>
      </c>
      <c r="AL130" s="397" t="s">
        <v>81</v>
      </c>
      <c r="AM130" s="397" t="s">
        <v>913</v>
      </c>
      <c r="AN130" s="397"/>
      <c r="AQ130" s="397" t="s">
        <v>910</v>
      </c>
      <c r="AR130" s="397" t="s">
        <v>911</v>
      </c>
      <c r="AS130" s="406">
        <v>45691.510853414351</v>
      </c>
    </row>
    <row r="131" spans="1:45" x14ac:dyDescent="0.2">
      <c r="A131" s="404" t="s">
        <v>1036</v>
      </c>
      <c r="B131" s="397" t="s">
        <v>1037</v>
      </c>
      <c r="C131" s="397" t="s">
        <v>863</v>
      </c>
      <c r="D131" s="397" t="s">
        <v>923</v>
      </c>
      <c r="E131" s="397" t="s">
        <v>902</v>
      </c>
      <c r="F131" s="397" t="s">
        <v>724</v>
      </c>
      <c r="G131" s="405">
        <v>45677</v>
      </c>
      <c r="H131" s="397" t="s">
        <v>729</v>
      </c>
      <c r="I131" s="397" t="b">
        <v>0</v>
      </c>
      <c r="J131" s="397" t="s">
        <v>903</v>
      </c>
      <c r="L131" s="397" t="s">
        <v>749</v>
      </c>
      <c r="M131" s="397" t="s">
        <v>904</v>
      </c>
      <c r="N131" s="397">
        <v>0</v>
      </c>
      <c r="O131" s="397">
        <v>87307.91</v>
      </c>
      <c r="P131" s="397" t="s">
        <v>905</v>
      </c>
      <c r="Q131" s="397">
        <v>0</v>
      </c>
      <c r="R131" s="397">
        <v>87307.91</v>
      </c>
      <c r="S131" s="397">
        <v>-87307.91</v>
      </c>
      <c r="T131" s="397" t="s">
        <v>905</v>
      </c>
      <c r="U131" s="397" t="s">
        <v>1038</v>
      </c>
      <c r="W131" s="397"/>
      <c r="X131" s="397" t="s">
        <v>805</v>
      </c>
      <c r="Y131" s="397"/>
      <c r="AA131" s="397" t="s">
        <v>907</v>
      </c>
      <c r="AB131" s="397"/>
      <c r="AH131" s="397" t="s">
        <v>918</v>
      </c>
      <c r="AK131" s="397" t="s">
        <v>849</v>
      </c>
      <c r="AL131" s="397" t="s">
        <v>81</v>
      </c>
      <c r="AM131" s="397" t="s">
        <v>913</v>
      </c>
      <c r="AN131" s="397"/>
      <c r="AQ131" s="397" t="s">
        <v>910</v>
      </c>
      <c r="AR131" s="397" t="s">
        <v>911</v>
      </c>
      <c r="AS131" s="406">
        <v>45691.510853414351</v>
      </c>
    </row>
    <row r="132" spans="1:45" x14ac:dyDescent="0.2">
      <c r="A132" s="404" t="s">
        <v>1036</v>
      </c>
      <c r="B132" s="397" t="s">
        <v>1037</v>
      </c>
      <c r="C132" s="397" t="s">
        <v>863</v>
      </c>
      <c r="D132" s="397" t="s">
        <v>923</v>
      </c>
      <c r="E132" s="397" t="s">
        <v>902</v>
      </c>
      <c r="F132" s="397" t="s">
        <v>724</v>
      </c>
      <c r="G132" s="405">
        <v>45677</v>
      </c>
      <c r="H132" s="397" t="s">
        <v>729</v>
      </c>
      <c r="I132" s="397" t="b">
        <v>0</v>
      </c>
      <c r="J132" s="397" t="s">
        <v>903</v>
      </c>
      <c r="L132" s="397" t="s">
        <v>749</v>
      </c>
      <c r="M132" s="397" t="s">
        <v>904</v>
      </c>
      <c r="N132" s="397">
        <v>0</v>
      </c>
      <c r="O132" s="397">
        <v>91283.53</v>
      </c>
      <c r="P132" s="397" t="s">
        <v>905</v>
      </c>
      <c r="Q132" s="397">
        <v>0</v>
      </c>
      <c r="R132" s="397">
        <v>91283.53</v>
      </c>
      <c r="S132" s="397">
        <v>-91283.53</v>
      </c>
      <c r="T132" s="397" t="s">
        <v>905</v>
      </c>
      <c r="U132" s="397" t="s">
        <v>917</v>
      </c>
      <c r="W132" s="397"/>
      <c r="X132" s="397" t="s">
        <v>805</v>
      </c>
      <c r="Y132" s="397"/>
      <c r="AA132" s="397" t="s">
        <v>907</v>
      </c>
      <c r="AB132" s="397"/>
      <c r="AH132" s="397" t="s">
        <v>918</v>
      </c>
      <c r="AK132" s="397" t="s">
        <v>849</v>
      </c>
      <c r="AL132" s="397" t="s">
        <v>81</v>
      </c>
      <c r="AM132" s="397" t="s">
        <v>913</v>
      </c>
      <c r="AN132" s="397"/>
      <c r="AQ132" s="397" t="s">
        <v>910</v>
      </c>
      <c r="AR132" s="397" t="s">
        <v>911</v>
      </c>
      <c r="AS132" s="406">
        <v>45691.510853414351</v>
      </c>
    </row>
    <row r="133" spans="1:45" x14ac:dyDescent="0.2">
      <c r="A133" s="404" t="s">
        <v>1039</v>
      </c>
      <c r="B133" s="397" t="s">
        <v>1040</v>
      </c>
      <c r="C133" s="397" t="s">
        <v>863</v>
      </c>
      <c r="D133" s="397" t="s">
        <v>901</v>
      </c>
      <c r="E133" s="397" t="s">
        <v>902</v>
      </c>
      <c r="F133" s="397" t="s">
        <v>724</v>
      </c>
      <c r="G133" s="405">
        <v>45677</v>
      </c>
      <c r="H133" s="397" t="s">
        <v>729</v>
      </c>
      <c r="I133" s="397" t="b">
        <v>0</v>
      </c>
      <c r="J133" s="397" t="s">
        <v>903</v>
      </c>
      <c r="L133" s="397" t="s">
        <v>749</v>
      </c>
      <c r="M133" s="397" t="s">
        <v>904</v>
      </c>
      <c r="N133" s="397">
        <v>0</v>
      </c>
      <c r="O133" s="397">
        <v>7019.87</v>
      </c>
      <c r="P133" s="397" t="s">
        <v>905</v>
      </c>
      <c r="Q133" s="397">
        <v>0</v>
      </c>
      <c r="R133" s="397">
        <v>7019.87</v>
      </c>
      <c r="S133" s="397">
        <v>-7019.87</v>
      </c>
      <c r="T133" s="397" t="s">
        <v>905</v>
      </c>
      <c r="U133" s="397" t="s">
        <v>1013</v>
      </c>
      <c r="W133" s="397"/>
      <c r="X133" s="397" t="s">
        <v>805</v>
      </c>
      <c r="Y133" s="397"/>
      <c r="AA133" s="397" t="s">
        <v>907</v>
      </c>
      <c r="AB133" s="397"/>
      <c r="AH133" s="397" t="s">
        <v>990</v>
      </c>
      <c r="AK133" s="397" t="s">
        <v>849</v>
      </c>
      <c r="AL133" s="397" t="s">
        <v>81</v>
      </c>
      <c r="AM133" s="397" t="s">
        <v>913</v>
      </c>
      <c r="AN133" s="397"/>
      <c r="AQ133" s="397" t="s">
        <v>910</v>
      </c>
      <c r="AR133" s="397" t="s">
        <v>911</v>
      </c>
      <c r="AS133" s="406">
        <v>45691.726208414351</v>
      </c>
    </row>
    <row r="134" spans="1:45" x14ac:dyDescent="0.2">
      <c r="A134" s="404" t="s">
        <v>1039</v>
      </c>
      <c r="B134" s="397" t="s">
        <v>1040</v>
      </c>
      <c r="C134" s="397" t="s">
        <v>863</v>
      </c>
      <c r="D134" s="397" t="s">
        <v>901</v>
      </c>
      <c r="E134" s="397" t="s">
        <v>902</v>
      </c>
      <c r="F134" s="397" t="s">
        <v>724</v>
      </c>
      <c r="G134" s="405">
        <v>45677</v>
      </c>
      <c r="H134" s="397" t="s">
        <v>729</v>
      </c>
      <c r="I134" s="397" t="b">
        <v>0</v>
      </c>
      <c r="J134" s="397" t="s">
        <v>903</v>
      </c>
      <c r="L134" s="397" t="s">
        <v>749</v>
      </c>
      <c r="M134" s="397" t="s">
        <v>904</v>
      </c>
      <c r="N134" s="397">
        <v>0</v>
      </c>
      <c r="O134" s="397">
        <v>31153.38</v>
      </c>
      <c r="P134" s="397" t="s">
        <v>905</v>
      </c>
      <c r="Q134" s="397">
        <v>0</v>
      </c>
      <c r="R134" s="397">
        <v>31153.38</v>
      </c>
      <c r="S134" s="397">
        <v>-31153.38</v>
      </c>
      <c r="T134" s="397" t="s">
        <v>905</v>
      </c>
      <c r="U134" s="397" t="s">
        <v>1014</v>
      </c>
      <c r="W134" s="397"/>
      <c r="X134" s="397" t="s">
        <v>805</v>
      </c>
      <c r="Y134" s="397"/>
      <c r="AA134" s="397" t="s">
        <v>907</v>
      </c>
      <c r="AB134" s="397"/>
      <c r="AH134" s="397" t="s">
        <v>908</v>
      </c>
      <c r="AK134" s="397" t="s">
        <v>849</v>
      </c>
      <c r="AL134" s="397" t="s">
        <v>81</v>
      </c>
      <c r="AM134" s="397" t="s">
        <v>913</v>
      </c>
      <c r="AN134" s="397"/>
      <c r="AQ134" s="397" t="s">
        <v>910</v>
      </c>
      <c r="AR134" s="397" t="s">
        <v>911</v>
      </c>
      <c r="AS134" s="406">
        <v>45691.726208414351</v>
      </c>
    </row>
    <row r="135" spans="1:45" x14ac:dyDescent="0.2">
      <c r="A135" s="404" t="s">
        <v>1039</v>
      </c>
      <c r="B135" s="397" t="s">
        <v>1040</v>
      </c>
      <c r="C135" s="397" t="s">
        <v>863</v>
      </c>
      <c r="D135" s="397" t="s">
        <v>901</v>
      </c>
      <c r="E135" s="397" t="s">
        <v>902</v>
      </c>
      <c r="F135" s="397" t="s">
        <v>724</v>
      </c>
      <c r="G135" s="405">
        <v>45677</v>
      </c>
      <c r="H135" s="397" t="s">
        <v>729</v>
      </c>
      <c r="I135" s="397" t="b">
        <v>0</v>
      </c>
      <c r="J135" s="397" t="s">
        <v>903</v>
      </c>
      <c r="L135" s="397" t="s">
        <v>749</v>
      </c>
      <c r="M135" s="397" t="s">
        <v>904</v>
      </c>
      <c r="N135" s="397">
        <v>0</v>
      </c>
      <c r="O135" s="397">
        <v>887.11</v>
      </c>
      <c r="P135" s="397" t="s">
        <v>905</v>
      </c>
      <c r="Q135" s="397">
        <v>0</v>
      </c>
      <c r="R135" s="397">
        <v>887.11</v>
      </c>
      <c r="S135" s="397">
        <v>-887.11</v>
      </c>
      <c r="T135" s="397" t="s">
        <v>905</v>
      </c>
      <c r="U135" s="397" t="s">
        <v>1015</v>
      </c>
      <c r="W135" s="397"/>
      <c r="X135" s="397" t="s">
        <v>805</v>
      </c>
      <c r="Y135" s="397"/>
      <c r="AA135" s="397" t="s">
        <v>907</v>
      </c>
      <c r="AB135" s="397"/>
      <c r="AH135" s="397" t="s">
        <v>908</v>
      </c>
      <c r="AK135" s="397" t="s">
        <v>849</v>
      </c>
      <c r="AL135" s="397" t="s">
        <v>81</v>
      </c>
      <c r="AM135" s="397" t="s">
        <v>913</v>
      </c>
      <c r="AN135" s="397"/>
      <c r="AQ135" s="397" t="s">
        <v>910</v>
      </c>
      <c r="AR135" s="397" t="s">
        <v>911</v>
      </c>
      <c r="AS135" s="406">
        <v>45691.726208414351</v>
      </c>
    </row>
    <row r="136" spans="1:45" x14ac:dyDescent="0.2">
      <c r="A136" s="404" t="s">
        <v>1039</v>
      </c>
      <c r="B136" s="397" t="s">
        <v>1040</v>
      </c>
      <c r="C136" s="397" t="s">
        <v>863</v>
      </c>
      <c r="D136" s="397" t="s">
        <v>901</v>
      </c>
      <c r="E136" s="397" t="s">
        <v>902</v>
      </c>
      <c r="F136" s="397" t="s">
        <v>724</v>
      </c>
      <c r="G136" s="405">
        <v>45677</v>
      </c>
      <c r="H136" s="397" t="s">
        <v>729</v>
      </c>
      <c r="I136" s="397" t="b">
        <v>0</v>
      </c>
      <c r="J136" s="397" t="s">
        <v>903</v>
      </c>
      <c r="L136" s="397" t="s">
        <v>749</v>
      </c>
      <c r="M136" s="397" t="s">
        <v>904</v>
      </c>
      <c r="N136" s="397">
        <v>0</v>
      </c>
      <c r="O136" s="397">
        <v>992.68</v>
      </c>
      <c r="P136" s="397" t="s">
        <v>905</v>
      </c>
      <c r="Q136" s="397">
        <v>0</v>
      </c>
      <c r="R136" s="397">
        <v>992.68</v>
      </c>
      <c r="S136" s="397">
        <v>-992.68</v>
      </c>
      <c r="T136" s="397" t="s">
        <v>905</v>
      </c>
      <c r="U136" s="397" t="s">
        <v>1016</v>
      </c>
      <c r="W136" s="397"/>
      <c r="X136" s="397" t="s">
        <v>805</v>
      </c>
      <c r="Y136" s="397"/>
      <c r="AA136" s="397" t="s">
        <v>907</v>
      </c>
      <c r="AB136" s="397"/>
      <c r="AH136" s="397" t="s">
        <v>908</v>
      </c>
      <c r="AK136" s="397" t="s">
        <v>747</v>
      </c>
      <c r="AL136" s="397" t="s">
        <v>86</v>
      </c>
      <c r="AM136" s="397" t="s">
        <v>909</v>
      </c>
      <c r="AN136" s="397"/>
      <c r="AQ136" s="397" t="s">
        <v>910</v>
      </c>
      <c r="AR136" s="397" t="s">
        <v>911</v>
      </c>
      <c r="AS136" s="406">
        <v>45691.726208414351</v>
      </c>
    </row>
    <row r="137" spans="1:45" x14ac:dyDescent="0.2">
      <c r="A137" s="404" t="s">
        <v>1041</v>
      </c>
      <c r="B137" s="397" t="s">
        <v>1042</v>
      </c>
      <c r="C137" s="397" t="s">
        <v>863</v>
      </c>
      <c r="D137" s="397" t="s">
        <v>901</v>
      </c>
      <c r="E137" s="397" t="s">
        <v>902</v>
      </c>
      <c r="F137" s="397" t="s">
        <v>724</v>
      </c>
      <c r="G137" s="405">
        <v>45688</v>
      </c>
      <c r="H137" s="397" t="s">
        <v>729</v>
      </c>
      <c r="I137" s="397" t="b">
        <v>1</v>
      </c>
      <c r="J137" s="397" t="s">
        <v>903</v>
      </c>
      <c r="L137" s="397" t="s">
        <v>749</v>
      </c>
      <c r="M137" s="397" t="s">
        <v>904</v>
      </c>
      <c r="N137" s="397">
        <v>0</v>
      </c>
      <c r="O137" s="397">
        <v>73450.960000000006</v>
      </c>
      <c r="P137" s="397" t="s">
        <v>905</v>
      </c>
      <c r="Q137" s="397">
        <v>0</v>
      </c>
      <c r="R137" s="397">
        <v>73450.960000000006</v>
      </c>
      <c r="S137" s="397">
        <v>-73450.960000000006</v>
      </c>
      <c r="T137" s="397" t="s">
        <v>905</v>
      </c>
      <c r="U137" s="397" t="s">
        <v>919</v>
      </c>
      <c r="W137" s="397"/>
      <c r="X137" s="397" t="s">
        <v>805</v>
      </c>
      <c r="Y137" s="397"/>
      <c r="AA137" s="397" t="s">
        <v>907</v>
      </c>
      <c r="AB137" s="397"/>
      <c r="AH137" s="397" t="s">
        <v>920</v>
      </c>
      <c r="AK137" s="397" t="s">
        <v>849</v>
      </c>
      <c r="AL137" s="397" t="s">
        <v>81</v>
      </c>
      <c r="AM137" s="397" t="s">
        <v>913</v>
      </c>
      <c r="AN137" s="397"/>
      <c r="AQ137" s="397" t="s">
        <v>910</v>
      </c>
      <c r="AR137" s="397" t="s">
        <v>911</v>
      </c>
      <c r="AS137" s="406">
        <v>45693.832400370367</v>
      </c>
    </row>
    <row r="138" spans="1:45" x14ac:dyDescent="0.2">
      <c r="A138" s="404" t="s">
        <v>1041</v>
      </c>
      <c r="B138" s="397" t="s">
        <v>1042</v>
      </c>
      <c r="C138" s="397" t="s">
        <v>863</v>
      </c>
      <c r="D138" s="397" t="s">
        <v>901</v>
      </c>
      <c r="E138" s="397" t="s">
        <v>902</v>
      </c>
      <c r="F138" s="397" t="s">
        <v>724</v>
      </c>
      <c r="G138" s="405">
        <v>45688</v>
      </c>
      <c r="H138" s="397" t="s">
        <v>729</v>
      </c>
      <c r="I138" s="397" t="b">
        <v>1</v>
      </c>
      <c r="J138" s="397" t="s">
        <v>903</v>
      </c>
      <c r="L138" s="397" t="s">
        <v>749</v>
      </c>
      <c r="M138" s="397" t="s">
        <v>904</v>
      </c>
      <c r="N138" s="397">
        <v>0</v>
      </c>
      <c r="O138" s="397">
        <v>92321.8</v>
      </c>
      <c r="P138" s="397" t="s">
        <v>905</v>
      </c>
      <c r="Q138" s="397">
        <v>0</v>
      </c>
      <c r="R138" s="397">
        <v>92321.8</v>
      </c>
      <c r="S138" s="397">
        <v>-92321.8</v>
      </c>
      <c r="T138" s="397" t="s">
        <v>905</v>
      </c>
      <c r="U138" s="397" t="s">
        <v>1038</v>
      </c>
      <c r="W138" s="397"/>
      <c r="X138" s="397" t="s">
        <v>805</v>
      </c>
      <c r="Y138" s="397"/>
      <c r="AA138" s="397" t="s">
        <v>907</v>
      </c>
      <c r="AB138" s="397"/>
      <c r="AH138" s="397" t="s">
        <v>918</v>
      </c>
      <c r="AK138" s="397" t="s">
        <v>849</v>
      </c>
      <c r="AL138" s="397" t="s">
        <v>81</v>
      </c>
      <c r="AM138" s="397" t="s">
        <v>913</v>
      </c>
      <c r="AN138" s="397"/>
      <c r="AQ138" s="397" t="s">
        <v>910</v>
      </c>
      <c r="AR138" s="397" t="s">
        <v>911</v>
      </c>
      <c r="AS138" s="406">
        <v>45693.832400370367</v>
      </c>
    </row>
    <row r="139" spans="1:45" x14ac:dyDescent="0.2">
      <c r="A139" s="404" t="s">
        <v>1041</v>
      </c>
      <c r="B139" s="397" t="s">
        <v>1042</v>
      </c>
      <c r="C139" s="397" t="s">
        <v>863</v>
      </c>
      <c r="D139" s="397" t="s">
        <v>901</v>
      </c>
      <c r="E139" s="397" t="s">
        <v>902</v>
      </c>
      <c r="F139" s="397" t="s">
        <v>724</v>
      </c>
      <c r="G139" s="405">
        <v>45688</v>
      </c>
      <c r="H139" s="397" t="s">
        <v>729</v>
      </c>
      <c r="I139" s="397" t="b">
        <v>1</v>
      </c>
      <c r="J139" s="397" t="s">
        <v>903</v>
      </c>
      <c r="L139" s="397" t="s">
        <v>749</v>
      </c>
      <c r="M139" s="397" t="s">
        <v>904</v>
      </c>
      <c r="N139" s="397">
        <v>0</v>
      </c>
      <c r="O139" s="397">
        <v>93491.09</v>
      </c>
      <c r="P139" s="397" t="s">
        <v>905</v>
      </c>
      <c r="Q139" s="397">
        <v>0</v>
      </c>
      <c r="R139" s="397">
        <v>93491.09</v>
      </c>
      <c r="S139" s="397">
        <v>-93491.09</v>
      </c>
      <c r="T139" s="397" t="s">
        <v>905</v>
      </c>
      <c r="U139" s="397" t="s">
        <v>917</v>
      </c>
      <c r="W139" s="397"/>
      <c r="X139" s="397" t="s">
        <v>805</v>
      </c>
      <c r="Y139" s="397"/>
      <c r="AA139" s="397" t="s">
        <v>907</v>
      </c>
      <c r="AB139" s="397"/>
      <c r="AH139" s="397" t="s">
        <v>918</v>
      </c>
      <c r="AK139" s="397" t="s">
        <v>849</v>
      </c>
      <c r="AL139" s="397" t="s">
        <v>81</v>
      </c>
      <c r="AM139" s="397" t="s">
        <v>913</v>
      </c>
      <c r="AN139" s="397"/>
      <c r="AQ139" s="397" t="s">
        <v>910</v>
      </c>
      <c r="AR139" s="397" t="s">
        <v>911</v>
      </c>
      <c r="AS139" s="406">
        <v>45693.832400370367</v>
      </c>
    </row>
    <row r="140" spans="1:45" x14ac:dyDescent="0.2">
      <c r="A140" s="404" t="s">
        <v>1043</v>
      </c>
      <c r="B140" s="397" t="s">
        <v>1044</v>
      </c>
      <c r="C140" s="397" t="s">
        <v>863</v>
      </c>
      <c r="D140" s="397" t="s">
        <v>901</v>
      </c>
      <c r="E140" s="397" t="s">
        <v>902</v>
      </c>
      <c r="F140" s="397" t="s">
        <v>725</v>
      </c>
      <c r="G140" s="405">
        <v>45689</v>
      </c>
      <c r="H140" s="397" t="s">
        <v>729</v>
      </c>
      <c r="I140" s="397" t="b">
        <v>0</v>
      </c>
      <c r="J140" s="397" t="s">
        <v>903</v>
      </c>
      <c r="L140" s="397" t="s">
        <v>749</v>
      </c>
      <c r="M140" s="397" t="s">
        <v>904</v>
      </c>
      <c r="N140" s="397">
        <v>93491.09</v>
      </c>
      <c r="O140" s="397">
        <v>0</v>
      </c>
      <c r="P140" s="397" t="s">
        <v>905</v>
      </c>
      <c r="Q140" s="397">
        <v>93491.09</v>
      </c>
      <c r="R140" s="397">
        <v>0</v>
      </c>
      <c r="S140" s="397">
        <v>93491.09</v>
      </c>
      <c r="T140" s="397" t="s">
        <v>905</v>
      </c>
      <c r="U140" s="397" t="s">
        <v>917</v>
      </c>
      <c r="W140" s="397"/>
      <c r="X140" s="397" t="s">
        <v>805</v>
      </c>
      <c r="Y140" s="397"/>
      <c r="AA140" s="397" t="s">
        <v>907</v>
      </c>
      <c r="AB140" s="397"/>
      <c r="AH140" s="397" t="s">
        <v>918</v>
      </c>
      <c r="AK140" s="397" t="s">
        <v>849</v>
      </c>
      <c r="AL140" s="397" t="s">
        <v>81</v>
      </c>
      <c r="AM140" s="397" t="s">
        <v>913</v>
      </c>
      <c r="AN140" s="397"/>
      <c r="AQ140" s="397" t="s">
        <v>910</v>
      </c>
      <c r="AR140" s="397" t="s">
        <v>911</v>
      </c>
      <c r="AS140" s="406">
        <v>45693.832587141202</v>
      </c>
    </row>
    <row r="141" spans="1:45" x14ac:dyDescent="0.2">
      <c r="A141" s="404" t="s">
        <v>1043</v>
      </c>
      <c r="B141" s="397" t="s">
        <v>1044</v>
      </c>
      <c r="C141" s="397" t="s">
        <v>863</v>
      </c>
      <c r="D141" s="397" t="s">
        <v>901</v>
      </c>
      <c r="E141" s="397" t="s">
        <v>902</v>
      </c>
      <c r="F141" s="397" t="s">
        <v>725</v>
      </c>
      <c r="G141" s="405">
        <v>45689</v>
      </c>
      <c r="H141" s="397" t="s">
        <v>729</v>
      </c>
      <c r="I141" s="397" t="b">
        <v>0</v>
      </c>
      <c r="J141" s="397" t="s">
        <v>903</v>
      </c>
      <c r="L141" s="397" t="s">
        <v>749</v>
      </c>
      <c r="M141" s="397" t="s">
        <v>904</v>
      </c>
      <c r="N141" s="397">
        <v>73450.960000000006</v>
      </c>
      <c r="O141" s="397">
        <v>0</v>
      </c>
      <c r="P141" s="397" t="s">
        <v>905</v>
      </c>
      <c r="Q141" s="397">
        <v>73450.960000000006</v>
      </c>
      <c r="R141" s="397">
        <v>0</v>
      </c>
      <c r="S141" s="397">
        <v>73450.960000000006</v>
      </c>
      <c r="T141" s="397" t="s">
        <v>905</v>
      </c>
      <c r="U141" s="397" t="s">
        <v>919</v>
      </c>
      <c r="W141" s="397"/>
      <c r="X141" s="397" t="s">
        <v>805</v>
      </c>
      <c r="Y141" s="397"/>
      <c r="AA141" s="397" t="s">
        <v>907</v>
      </c>
      <c r="AB141" s="397"/>
      <c r="AH141" s="397" t="s">
        <v>920</v>
      </c>
      <c r="AK141" s="397" t="s">
        <v>849</v>
      </c>
      <c r="AL141" s="397" t="s">
        <v>81</v>
      </c>
      <c r="AM141" s="397" t="s">
        <v>913</v>
      </c>
      <c r="AN141" s="397"/>
      <c r="AQ141" s="397" t="s">
        <v>910</v>
      </c>
      <c r="AR141" s="397" t="s">
        <v>911</v>
      </c>
      <c r="AS141" s="406">
        <v>45693.832587141202</v>
      </c>
    </row>
    <row r="142" spans="1:45" x14ac:dyDescent="0.2">
      <c r="A142" s="404" t="s">
        <v>1043</v>
      </c>
      <c r="B142" s="397" t="s">
        <v>1044</v>
      </c>
      <c r="C142" s="397" t="s">
        <v>863</v>
      </c>
      <c r="D142" s="397" t="s">
        <v>901</v>
      </c>
      <c r="E142" s="397" t="s">
        <v>902</v>
      </c>
      <c r="F142" s="397" t="s">
        <v>725</v>
      </c>
      <c r="G142" s="405">
        <v>45689</v>
      </c>
      <c r="H142" s="397" t="s">
        <v>729</v>
      </c>
      <c r="I142" s="397" t="b">
        <v>0</v>
      </c>
      <c r="J142" s="397" t="s">
        <v>903</v>
      </c>
      <c r="L142" s="397" t="s">
        <v>749</v>
      </c>
      <c r="M142" s="397" t="s">
        <v>904</v>
      </c>
      <c r="N142" s="397">
        <v>92321.8</v>
      </c>
      <c r="O142" s="397">
        <v>0</v>
      </c>
      <c r="P142" s="397" t="s">
        <v>905</v>
      </c>
      <c r="Q142" s="397">
        <v>92321.8</v>
      </c>
      <c r="R142" s="397">
        <v>0</v>
      </c>
      <c r="S142" s="397">
        <v>92321.8</v>
      </c>
      <c r="T142" s="397" t="s">
        <v>905</v>
      </c>
      <c r="U142" s="397" t="s">
        <v>1038</v>
      </c>
      <c r="W142" s="397"/>
      <c r="X142" s="397" t="s">
        <v>805</v>
      </c>
      <c r="Y142" s="397"/>
      <c r="AA142" s="397" t="s">
        <v>907</v>
      </c>
      <c r="AB142" s="397"/>
      <c r="AH142" s="397" t="s">
        <v>918</v>
      </c>
      <c r="AK142" s="397" t="s">
        <v>849</v>
      </c>
      <c r="AL142" s="397" t="s">
        <v>81</v>
      </c>
      <c r="AM142" s="397" t="s">
        <v>913</v>
      </c>
      <c r="AN142" s="397"/>
      <c r="AQ142" s="397" t="s">
        <v>910</v>
      </c>
      <c r="AR142" s="397" t="s">
        <v>911</v>
      </c>
      <c r="AS142" s="406">
        <v>45693.832587141202</v>
      </c>
    </row>
    <row r="143" spans="1:45" x14ac:dyDescent="0.2">
      <c r="A143" s="404" t="s">
        <v>1045</v>
      </c>
      <c r="B143" s="397" t="s">
        <v>1046</v>
      </c>
      <c r="C143" s="397" t="s">
        <v>863</v>
      </c>
      <c r="D143" s="397" t="s">
        <v>901</v>
      </c>
      <c r="E143" s="397" t="s">
        <v>902</v>
      </c>
      <c r="F143" s="397" t="s">
        <v>724</v>
      </c>
      <c r="G143" s="405">
        <v>45688</v>
      </c>
      <c r="H143" s="397" t="s">
        <v>729</v>
      </c>
      <c r="I143" s="397" t="b">
        <v>1</v>
      </c>
      <c r="J143" s="397" t="s">
        <v>903</v>
      </c>
      <c r="L143" s="397" t="s">
        <v>749</v>
      </c>
      <c r="M143" s="397" t="s">
        <v>904</v>
      </c>
      <c r="N143" s="397">
        <v>0</v>
      </c>
      <c r="O143" s="397">
        <v>31793.01</v>
      </c>
      <c r="P143" s="397" t="s">
        <v>905</v>
      </c>
      <c r="Q143" s="397">
        <v>0</v>
      </c>
      <c r="R143" s="397">
        <v>31793.01</v>
      </c>
      <c r="S143" s="397">
        <v>-31793.01</v>
      </c>
      <c r="T143" s="397" t="s">
        <v>905</v>
      </c>
      <c r="U143" s="397" t="s">
        <v>1047</v>
      </c>
      <c r="W143" s="397"/>
      <c r="X143" s="397" t="s">
        <v>805</v>
      </c>
      <c r="Y143" s="397"/>
      <c r="AA143" s="397" t="s">
        <v>907</v>
      </c>
      <c r="AB143" s="397"/>
      <c r="AH143" s="397" t="s">
        <v>908</v>
      </c>
      <c r="AK143" s="397" t="s">
        <v>849</v>
      </c>
      <c r="AL143" s="397" t="s">
        <v>81</v>
      </c>
      <c r="AM143" s="397" t="s">
        <v>913</v>
      </c>
      <c r="AN143" s="397"/>
      <c r="AQ143" s="397" t="s">
        <v>910</v>
      </c>
      <c r="AR143" s="397" t="s">
        <v>911</v>
      </c>
      <c r="AS143" s="406">
        <v>45693.876021828706</v>
      </c>
    </row>
    <row r="144" spans="1:45" x14ac:dyDescent="0.2">
      <c r="A144" s="404" t="s">
        <v>1045</v>
      </c>
      <c r="B144" s="397" t="s">
        <v>1046</v>
      </c>
      <c r="C144" s="397" t="s">
        <v>863</v>
      </c>
      <c r="D144" s="397" t="s">
        <v>901</v>
      </c>
      <c r="E144" s="397" t="s">
        <v>902</v>
      </c>
      <c r="F144" s="397" t="s">
        <v>724</v>
      </c>
      <c r="G144" s="405">
        <v>45688</v>
      </c>
      <c r="H144" s="397" t="s">
        <v>729</v>
      </c>
      <c r="I144" s="397" t="b">
        <v>1</v>
      </c>
      <c r="J144" s="397" t="s">
        <v>903</v>
      </c>
      <c r="L144" s="397" t="s">
        <v>749</v>
      </c>
      <c r="M144" s="397" t="s">
        <v>904</v>
      </c>
      <c r="N144" s="397">
        <v>0</v>
      </c>
      <c r="O144" s="397">
        <v>541.88</v>
      </c>
      <c r="P144" s="397" t="s">
        <v>905</v>
      </c>
      <c r="Q144" s="397">
        <v>0</v>
      </c>
      <c r="R144" s="397">
        <v>541.88</v>
      </c>
      <c r="S144" s="397">
        <v>-541.88</v>
      </c>
      <c r="T144" s="397" t="s">
        <v>905</v>
      </c>
      <c r="U144" s="397" t="s">
        <v>1048</v>
      </c>
      <c r="W144" s="397"/>
      <c r="X144" s="397" t="s">
        <v>805</v>
      </c>
      <c r="Y144" s="397"/>
      <c r="AA144" s="397" t="s">
        <v>907</v>
      </c>
      <c r="AB144" s="397"/>
      <c r="AH144" s="397" t="s">
        <v>908</v>
      </c>
      <c r="AK144" s="397" t="s">
        <v>849</v>
      </c>
      <c r="AL144" s="397" t="s">
        <v>81</v>
      </c>
      <c r="AM144" s="397" t="s">
        <v>913</v>
      </c>
      <c r="AN144" s="397"/>
      <c r="AQ144" s="397" t="s">
        <v>910</v>
      </c>
      <c r="AR144" s="397" t="s">
        <v>911</v>
      </c>
      <c r="AS144" s="406">
        <v>45693.876021828706</v>
      </c>
    </row>
    <row r="145" spans="1:45" x14ac:dyDescent="0.2">
      <c r="A145" s="404" t="s">
        <v>1045</v>
      </c>
      <c r="B145" s="397" t="s">
        <v>1046</v>
      </c>
      <c r="C145" s="397" t="s">
        <v>863</v>
      </c>
      <c r="D145" s="397" t="s">
        <v>901</v>
      </c>
      <c r="E145" s="397" t="s">
        <v>902</v>
      </c>
      <c r="F145" s="397" t="s">
        <v>724</v>
      </c>
      <c r="G145" s="405">
        <v>45688</v>
      </c>
      <c r="H145" s="397" t="s">
        <v>729</v>
      </c>
      <c r="I145" s="397" t="b">
        <v>1</v>
      </c>
      <c r="J145" s="397" t="s">
        <v>903</v>
      </c>
      <c r="L145" s="397" t="s">
        <v>749</v>
      </c>
      <c r="M145" s="397" t="s">
        <v>904</v>
      </c>
      <c r="N145" s="397">
        <v>0</v>
      </c>
      <c r="O145" s="397">
        <v>994.83</v>
      </c>
      <c r="P145" s="397" t="s">
        <v>905</v>
      </c>
      <c r="Q145" s="397">
        <v>0</v>
      </c>
      <c r="R145" s="397">
        <v>994.83</v>
      </c>
      <c r="S145" s="397">
        <v>-994.83</v>
      </c>
      <c r="T145" s="397" t="s">
        <v>905</v>
      </c>
      <c r="U145" s="397" t="s">
        <v>1049</v>
      </c>
      <c r="W145" s="397"/>
      <c r="X145" s="397" t="s">
        <v>805</v>
      </c>
      <c r="Y145" s="397"/>
      <c r="AA145" s="397" t="s">
        <v>907</v>
      </c>
      <c r="AB145" s="397"/>
      <c r="AH145" s="397" t="s">
        <v>908</v>
      </c>
      <c r="AK145" s="397" t="s">
        <v>747</v>
      </c>
      <c r="AL145" s="397" t="s">
        <v>86</v>
      </c>
      <c r="AM145" s="397" t="s">
        <v>909</v>
      </c>
      <c r="AN145" s="397"/>
      <c r="AQ145" s="397" t="s">
        <v>910</v>
      </c>
      <c r="AR145" s="397" t="s">
        <v>911</v>
      </c>
      <c r="AS145" s="406">
        <v>45693.876021828706</v>
      </c>
    </row>
    <row r="146" spans="1:45" x14ac:dyDescent="0.2">
      <c r="A146" s="404" t="s">
        <v>1045</v>
      </c>
      <c r="B146" s="397" t="s">
        <v>1046</v>
      </c>
      <c r="C146" s="397" t="s">
        <v>863</v>
      </c>
      <c r="D146" s="397" t="s">
        <v>901</v>
      </c>
      <c r="E146" s="397" t="s">
        <v>902</v>
      </c>
      <c r="F146" s="397" t="s">
        <v>724</v>
      </c>
      <c r="G146" s="405">
        <v>45688</v>
      </c>
      <c r="H146" s="397" t="s">
        <v>729</v>
      </c>
      <c r="I146" s="397" t="b">
        <v>1</v>
      </c>
      <c r="J146" s="397" t="s">
        <v>903</v>
      </c>
      <c r="L146" s="397" t="s">
        <v>749</v>
      </c>
      <c r="M146" s="397" t="s">
        <v>904</v>
      </c>
      <c r="N146" s="397">
        <v>0</v>
      </c>
      <c r="O146" s="397">
        <v>5610.56</v>
      </c>
      <c r="P146" s="397" t="s">
        <v>905</v>
      </c>
      <c r="Q146" s="397">
        <v>0</v>
      </c>
      <c r="R146" s="397">
        <v>5610.56</v>
      </c>
      <c r="S146" s="397">
        <v>-5610.56</v>
      </c>
      <c r="T146" s="397" t="s">
        <v>905</v>
      </c>
      <c r="U146" s="397" t="s">
        <v>1050</v>
      </c>
      <c r="W146" s="397"/>
      <c r="X146" s="397" t="s">
        <v>805</v>
      </c>
      <c r="Y146" s="397"/>
      <c r="AA146" s="397" t="s">
        <v>907</v>
      </c>
      <c r="AB146" s="397"/>
      <c r="AH146" s="397" t="s">
        <v>990</v>
      </c>
      <c r="AK146" s="397" t="s">
        <v>849</v>
      </c>
      <c r="AL146" s="397" t="s">
        <v>81</v>
      </c>
      <c r="AM146" s="397" t="s">
        <v>913</v>
      </c>
      <c r="AN146" s="397"/>
      <c r="AQ146" s="397" t="s">
        <v>910</v>
      </c>
      <c r="AR146" s="397" t="s">
        <v>911</v>
      </c>
      <c r="AS146" s="406">
        <v>45693.876021828706</v>
      </c>
    </row>
    <row r="147" spans="1:45" x14ac:dyDescent="0.2">
      <c r="A147" s="404" t="s">
        <v>1051</v>
      </c>
      <c r="B147" s="397" t="s">
        <v>1052</v>
      </c>
      <c r="C147" s="397" t="s">
        <v>863</v>
      </c>
      <c r="D147" s="397" t="s">
        <v>901</v>
      </c>
      <c r="E147" s="397" t="s">
        <v>902</v>
      </c>
      <c r="F147" s="397" t="s">
        <v>725</v>
      </c>
      <c r="G147" s="405">
        <v>45689</v>
      </c>
      <c r="H147" s="397" t="s">
        <v>729</v>
      </c>
      <c r="I147" s="397" t="b">
        <v>0</v>
      </c>
      <c r="J147" s="397" t="s">
        <v>903</v>
      </c>
      <c r="L147" s="397" t="s">
        <v>749</v>
      </c>
      <c r="M147" s="397" t="s">
        <v>904</v>
      </c>
      <c r="N147" s="397">
        <v>31793.01</v>
      </c>
      <c r="O147" s="397">
        <v>0</v>
      </c>
      <c r="P147" s="397" t="s">
        <v>905</v>
      </c>
      <c r="Q147" s="397">
        <v>31793.01</v>
      </c>
      <c r="R147" s="397">
        <v>0</v>
      </c>
      <c r="S147" s="397">
        <v>31793.01</v>
      </c>
      <c r="T147" s="397" t="s">
        <v>905</v>
      </c>
      <c r="U147" s="397" t="s">
        <v>1047</v>
      </c>
      <c r="W147" s="397"/>
      <c r="X147" s="397" t="s">
        <v>805</v>
      </c>
      <c r="Y147" s="397"/>
      <c r="AA147" s="397" t="s">
        <v>907</v>
      </c>
      <c r="AB147" s="397"/>
      <c r="AH147" s="397" t="s">
        <v>908</v>
      </c>
      <c r="AK147" s="397" t="s">
        <v>849</v>
      </c>
      <c r="AL147" s="397" t="s">
        <v>81</v>
      </c>
      <c r="AM147" s="397" t="s">
        <v>913</v>
      </c>
      <c r="AN147" s="397"/>
      <c r="AQ147" s="397" t="s">
        <v>910</v>
      </c>
      <c r="AR147" s="397" t="s">
        <v>911</v>
      </c>
      <c r="AS147" s="406">
        <v>45693.876283854166</v>
      </c>
    </row>
    <row r="148" spans="1:45" x14ac:dyDescent="0.2">
      <c r="A148" s="404" t="s">
        <v>1051</v>
      </c>
      <c r="B148" s="397" t="s">
        <v>1052</v>
      </c>
      <c r="C148" s="397" t="s">
        <v>863</v>
      </c>
      <c r="D148" s="397" t="s">
        <v>901</v>
      </c>
      <c r="E148" s="397" t="s">
        <v>902</v>
      </c>
      <c r="F148" s="397" t="s">
        <v>725</v>
      </c>
      <c r="G148" s="405">
        <v>45689</v>
      </c>
      <c r="H148" s="397" t="s">
        <v>729</v>
      </c>
      <c r="I148" s="397" t="b">
        <v>0</v>
      </c>
      <c r="J148" s="397" t="s">
        <v>903</v>
      </c>
      <c r="L148" s="397" t="s">
        <v>749</v>
      </c>
      <c r="M148" s="397" t="s">
        <v>904</v>
      </c>
      <c r="N148" s="397">
        <v>541.88</v>
      </c>
      <c r="O148" s="397">
        <v>0</v>
      </c>
      <c r="P148" s="397" t="s">
        <v>905</v>
      </c>
      <c r="Q148" s="397">
        <v>541.88</v>
      </c>
      <c r="R148" s="397">
        <v>0</v>
      </c>
      <c r="S148" s="397">
        <v>541.88</v>
      </c>
      <c r="T148" s="397" t="s">
        <v>905</v>
      </c>
      <c r="U148" s="397" t="s">
        <v>1048</v>
      </c>
      <c r="W148" s="397"/>
      <c r="X148" s="397" t="s">
        <v>805</v>
      </c>
      <c r="Y148" s="397"/>
      <c r="AA148" s="397" t="s">
        <v>907</v>
      </c>
      <c r="AB148" s="397"/>
      <c r="AH148" s="397" t="s">
        <v>908</v>
      </c>
      <c r="AK148" s="397" t="s">
        <v>849</v>
      </c>
      <c r="AL148" s="397" t="s">
        <v>81</v>
      </c>
      <c r="AM148" s="397" t="s">
        <v>913</v>
      </c>
      <c r="AN148" s="397"/>
      <c r="AQ148" s="397" t="s">
        <v>910</v>
      </c>
      <c r="AR148" s="397" t="s">
        <v>911</v>
      </c>
      <c r="AS148" s="406">
        <v>45693.876283854166</v>
      </c>
    </row>
    <row r="149" spans="1:45" x14ac:dyDescent="0.2">
      <c r="A149" s="404" t="s">
        <v>1051</v>
      </c>
      <c r="B149" s="397" t="s">
        <v>1052</v>
      </c>
      <c r="C149" s="397" t="s">
        <v>863</v>
      </c>
      <c r="D149" s="397" t="s">
        <v>901</v>
      </c>
      <c r="E149" s="397" t="s">
        <v>902</v>
      </c>
      <c r="F149" s="397" t="s">
        <v>725</v>
      </c>
      <c r="G149" s="405">
        <v>45689</v>
      </c>
      <c r="H149" s="397" t="s">
        <v>729</v>
      </c>
      <c r="I149" s="397" t="b">
        <v>0</v>
      </c>
      <c r="J149" s="397" t="s">
        <v>903</v>
      </c>
      <c r="L149" s="397" t="s">
        <v>749</v>
      </c>
      <c r="M149" s="397" t="s">
        <v>904</v>
      </c>
      <c r="N149" s="397">
        <v>994.83</v>
      </c>
      <c r="O149" s="397">
        <v>0</v>
      </c>
      <c r="P149" s="397" t="s">
        <v>905</v>
      </c>
      <c r="Q149" s="397">
        <v>994.83</v>
      </c>
      <c r="R149" s="397">
        <v>0</v>
      </c>
      <c r="S149" s="397">
        <v>994.83</v>
      </c>
      <c r="T149" s="397" t="s">
        <v>905</v>
      </c>
      <c r="U149" s="397" t="s">
        <v>1049</v>
      </c>
      <c r="W149" s="397"/>
      <c r="X149" s="397" t="s">
        <v>805</v>
      </c>
      <c r="Y149" s="397"/>
      <c r="AA149" s="397" t="s">
        <v>907</v>
      </c>
      <c r="AB149" s="397"/>
      <c r="AH149" s="397" t="s">
        <v>908</v>
      </c>
      <c r="AK149" s="397" t="s">
        <v>747</v>
      </c>
      <c r="AL149" s="397" t="s">
        <v>86</v>
      </c>
      <c r="AM149" s="397" t="s">
        <v>909</v>
      </c>
      <c r="AN149" s="397"/>
      <c r="AQ149" s="397" t="s">
        <v>910</v>
      </c>
      <c r="AR149" s="397" t="s">
        <v>911</v>
      </c>
      <c r="AS149" s="406">
        <v>45693.876283854166</v>
      </c>
    </row>
    <row r="150" spans="1:45" x14ac:dyDescent="0.2">
      <c r="A150" s="404" t="s">
        <v>1051</v>
      </c>
      <c r="B150" s="397" t="s">
        <v>1052</v>
      </c>
      <c r="C150" s="397" t="s">
        <v>863</v>
      </c>
      <c r="D150" s="397" t="s">
        <v>901</v>
      </c>
      <c r="E150" s="397" t="s">
        <v>902</v>
      </c>
      <c r="F150" s="397" t="s">
        <v>725</v>
      </c>
      <c r="G150" s="405">
        <v>45689</v>
      </c>
      <c r="H150" s="397" t="s">
        <v>729</v>
      </c>
      <c r="I150" s="397" t="b">
        <v>0</v>
      </c>
      <c r="J150" s="397" t="s">
        <v>903</v>
      </c>
      <c r="L150" s="397" t="s">
        <v>749</v>
      </c>
      <c r="M150" s="397" t="s">
        <v>904</v>
      </c>
      <c r="N150" s="397">
        <v>5610.56</v>
      </c>
      <c r="O150" s="397">
        <v>0</v>
      </c>
      <c r="P150" s="397" t="s">
        <v>905</v>
      </c>
      <c r="Q150" s="397">
        <v>5610.56</v>
      </c>
      <c r="R150" s="397">
        <v>0</v>
      </c>
      <c r="S150" s="397">
        <v>5610.56</v>
      </c>
      <c r="T150" s="397" t="s">
        <v>905</v>
      </c>
      <c r="U150" s="397" t="s">
        <v>1050</v>
      </c>
      <c r="W150" s="397"/>
      <c r="X150" s="397" t="s">
        <v>805</v>
      </c>
      <c r="Y150" s="397"/>
      <c r="AA150" s="397" t="s">
        <v>907</v>
      </c>
      <c r="AB150" s="397"/>
      <c r="AH150" s="397" t="s">
        <v>990</v>
      </c>
      <c r="AK150" s="397" t="s">
        <v>849</v>
      </c>
      <c r="AL150" s="397" t="s">
        <v>81</v>
      </c>
      <c r="AM150" s="397" t="s">
        <v>913</v>
      </c>
      <c r="AN150" s="397"/>
      <c r="AQ150" s="397" t="s">
        <v>910</v>
      </c>
      <c r="AR150" s="397" t="s">
        <v>911</v>
      </c>
      <c r="AS150" s="406">
        <v>45693.876283854166</v>
      </c>
    </row>
    <row r="151" spans="1:45" x14ac:dyDescent="0.2">
      <c r="A151" s="404" t="s">
        <v>1053</v>
      </c>
      <c r="B151" s="397" t="s">
        <v>1054</v>
      </c>
      <c r="C151" s="397" t="s">
        <v>863</v>
      </c>
      <c r="D151" s="397" t="s">
        <v>923</v>
      </c>
      <c r="E151" s="397" t="s">
        <v>902</v>
      </c>
      <c r="F151" s="397" t="s">
        <v>725</v>
      </c>
      <c r="G151" s="405">
        <v>45712</v>
      </c>
      <c r="H151" s="397" t="s">
        <v>729</v>
      </c>
      <c r="I151" s="397" t="b">
        <v>0</v>
      </c>
      <c r="J151" s="397" t="s">
        <v>903</v>
      </c>
      <c r="L151" s="397" t="s">
        <v>749</v>
      </c>
      <c r="M151" s="397" t="s">
        <v>904</v>
      </c>
      <c r="N151" s="397">
        <v>0</v>
      </c>
      <c r="O151" s="397">
        <v>79726.28</v>
      </c>
      <c r="P151" s="397" t="s">
        <v>905</v>
      </c>
      <c r="Q151" s="397">
        <v>0</v>
      </c>
      <c r="R151" s="397">
        <v>79726.28</v>
      </c>
      <c r="S151" s="397">
        <v>-79726.28</v>
      </c>
      <c r="T151" s="397" t="s">
        <v>905</v>
      </c>
      <c r="U151" s="397" t="s">
        <v>919</v>
      </c>
      <c r="W151" s="397"/>
      <c r="X151" s="397" t="s">
        <v>805</v>
      </c>
      <c r="Y151" s="397"/>
      <c r="AA151" s="397" t="s">
        <v>907</v>
      </c>
      <c r="AB151" s="397"/>
      <c r="AH151" s="397" t="s">
        <v>920</v>
      </c>
      <c r="AK151" s="397" t="s">
        <v>849</v>
      </c>
      <c r="AL151" s="397" t="s">
        <v>81</v>
      </c>
      <c r="AM151" s="397" t="s">
        <v>913</v>
      </c>
      <c r="AN151" s="397"/>
      <c r="AQ151" s="397" t="s">
        <v>910</v>
      </c>
      <c r="AR151" s="397" t="s">
        <v>911</v>
      </c>
      <c r="AS151" s="406">
        <v>45719.615652581022</v>
      </c>
    </row>
    <row r="152" spans="1:45" x14ac:dyDescent="0.2">
      <c r="A152" s="404" t="s">
        <v>1053</v>
      </c>
      <c r="B152" s="397" t="s">
        <v>1054</v>
      </c>
      <c r="C152" s="397" t="s">
        <v>863</v>
      </c>
      <c r="D152" s="397" t="s">
        <v>923</v>
      </c>
      <c r="E152" s="397" t="s">
        <v>902</v>
      </c>
      <c r="F152" s="397" t="s">
        <v>725</v>
      </c>
      <c r="G152" s="405">
        <v>45712</v>
      </c>
      <c r="H152" s="397" t="s">
        <v>729</v>
      </c>
      <c r="I152" s="397" t="b">
        <v>0</v>
      </c>
      <c r="J152" s="397" t="s">
        <v>903</v>
      </c>
      <c r="L152" s="397" t="s">
        <v>749</v>
      </c>
      <c r="M152" s="397" t="s">
        <v>904</v>
      </c>
      <c r="N152" s="397">
        <v>0</v>
      </c>
      <c r="O152" s="397">
        <v>148.58000000000001</v>
      </c>
      <c r="P152" s="397" t="s">
        <v>905</v>
      </c>
      <c r="Q152" s="397">
        <v>0</v>
      </c>
      <c r="R152" s="397">
        <v>148.58000000000001</v>
      </c>
      <c r="S152" s="397">
        <v>-148.58000000000001</v>
      </c>
      <c r="T152" s="397" t="s">
        <v>905</v>
      </c>
      <c r="U152" s="397" t="s">
        <v>924</v>
      </c>
      <c r="W152" s="397"/>
      <c r="X152" s="397" t="s">
        <v>805</v>
      </c>
      <c r="Y152" s="397"/>
      <c r="AA152" s="397" t="s">
        <v>907</v>
      </c>
      <c r="AB152" s="397"/>
      <c r="AH152" s="397" t="s">
        <v>925</v>
      </c>
      <c r="AK152" s="397" t="s">
        <v>849</v>
      </c>
      <c r="AL152" s="397" t="s">
        <v>81</v>
      </c>
      <c r="AM152" s="397" t="s">
        <v>913</v>
      </c>
      <c r="AN152" s="397"/>
      <c r="AQ152" s="397" t="s">
        <v>910</v>
      </c>
      <c r="AR152" s="397" t="s">
        <v>911</v>
      </c>
      <c r="AS152" s="406">
        <v>45719.615652581022</v>
      </c>
    </row>
    <row r="153" spans="1:45" x14ac:dyDescent="0.2">
      <c r="A153" s="404" t="s">
        <v>1053</v>
      </c>
      <c r="B153" s="397" t="s">
        <v>1054</v>
      </c>
      <c r="C153" s="397" t="s">
        <v>863</v>
      </c>
      <c r="D153" s="397" t="s">
        <v>923</v>
      </c>
      <c r="E153" s="397" t="s">
        <v>902</v>
      </c>
      <c r="F153" s="397" t="s">
        <v>725</v>
      </c>
      <c r="G153" s="405">
        <v>45712</v>
      </c>
      <c r="H153" s="397" t="s">
        <v>729</v>
      </c>
      <c r="I153" s="397" t="b">
        <v>0</v>
      </c>
      <c r="J153" s="397" t="s">
        <v>903</v>
      </c>
      <c r="L153" s="397" t="s">
        <v>749</v>
      </c>
      <c r="M153" s="397" t="s">
        <v>904</v>
      </c>
      <c r="N153" s="397">
        <v>0</v>
      </c>
      <c r="O153" s="397">
        <v>92321.8</v>
      </c>
      <c r="P153" s="397" t="s">
        <v>905</v>
      </c>
      <c r="Q153" s="397">
        <v>0</v>
      </c>
      <c r="R153" s="397">
        <v>92321.8</v>
      </c>
      <c r="S153" s="397">
        <v>-92321.8</v>
      </c>
      <c r="T153" s="397" t="s">
        <v>905</v>
      </c>
      <c r="U153" s="397" t="s">
        <v>1038</v>
      </c>
      <c r="W153" s="397"/>
      <c r="X153" s="397" t="s">
        <v>805</v>
      </c>
      <c r="Y153" s="397"/>
      <c r="AA153" s="397" t="s">
        <v>907</v>
      </c>
      <c r="AB153" s="397"/>
      <c r="AH153" s="397" t="s">
        <v>918</v>
      </c>
      <c r="AK153" s="397" t="s">
        <v>849</v>
      </c>
      <c r="AL153" s="397" t="s">
        <v>81</v>
      </c>
      <c r="AM153" s="397" t="s">
        <v>913</v>
      </c>
      <c r="AN153" s="397"/>
      <c r="AQ153" s="397" t="s">
        <v>910</v>
      </c>
      <c r="AR153" s="397" t="s">
        <v>911</v>
      </c>
      <c r="AS153" s="406">
        <v>45719.615652581022</v>
      </c>
    </row>
    <row r="154" spans="1:45" x14ac:dyDescent="0.2">
      <c r="A154" s="404" t="s">
        <v>1053</v>
      </c>
      <c r="B154" s="397" t="s">
        <v>1054</v>
      </c>
      <c r="C154" s="397" t="s">
        <v>863</v>
      </c>
      <c r="D154" s="397" t="s">
        <v>923</v>
      </c>
      <c r="E154" s="397" t="s">
        <v>902</v>
      </c>
      <c r="F154" s="397" t="s">
        <v>725</v>
      </c>
      <c r="G154" s="405">
        <v>45712</v>
      </c>
      <c r="H154" s="397" t="s">
        <v>729</v>
      </c>
      <c r="I154" s="397" t="b">
        <v>0</v>
      </c>
      <c r="J154" s="397" t="s">
        <v>903</v>
      </c>
      <c r="L154" s="397" t="s">
        <v>749</v>
      </c>
      <c r="M154" s="397" t="s">
        <v>904</v>
      </c>
      <c r="N154" s="397">
        <v>0</v>
      </c>
      <c r="O154" s="397">
        <v>85688.14</v>
      </c>
      <c r="P154" s="397" t="s">
        <v>905</v>
      </c>
      <c r="Q154" s="397">
        <v>0</v>
      </c>
      <c r="R154" s="397">
        <v>85688.14</v>
      </c>
      <c r="S154" s="397">
        <v>-85688.14</v>
      </c>
      <c r="T154" s="397" t="s">
        <v>905</v>
      </c>
      <c r="U154" s="397" t="s">
        <v>917</v>
      </c>
      <c r="W154" s="397"/>
      <c r="X154" s="397" t="s">
        <v>805</v>
      </c>
      <c r="Y154" s="397"/>
      <c r="AA154" s="397" t="s">
        <v>907</v>
      </c>
      <c r="AB154" s="397"/>
      <c r="AH154" s="397" t="s">
        <v>918</v>
      </c>
      <c r="AK154" s="397" t="s">
        <v>849</v>
      </c>
      <c r="AL154" s="397" t="s">
        <v>81</v>
      </c>
      <c r="AM154" s="397" t="s">
        <v>913</v>
      </c>
      <c r="AN154" s="397"/>
      <c r="AQ154" s="397" t="s">
        <v>910</v>
      </c>
      <c r="AR154" s="397" t="s">
        <v>911</v>
      </c>
      <c r="AS154" s="406">
        <v>45719.615652581022</v>
      </c>
    </row>
    <row r="155" spans="1:45" x14ac:dyDescent="0.2">
      <c r="A155" s="404" t="s">
        <v>1055</v>
      </c>
      <c r="B155" s="397" t="s">
        <v>1056</v>
      </c>
      <c r="C155" s="397" t="s">
        <v>863</v>
      </c>
      <c r="D155" s="397" t="s">
        <v>901</v>
      </c>
      <c r="E155" s="397" t="s">
        <v>902</v>
      </c>
      <c r="F155" s="397" t="s">
        <v>725</v>
      </c>
      <c r="G155" s="405">
        <v>45712</v>
      </c>
      <c r="H155" s="397" t="s">
        <v>729</v>
      </c>
      <c r="I155" s="397" t="b">
        <v>0</v>
      </c>
      <c r="J155" s="397" t="s">
        <v>903</v>
      </c>
      <c r="L155" s="397" t="s">
        <v>749</v>
      </c>
      <c r="M155" s="397" t="s">
        <v>904</v>
      </c>
      <c r="N155" s="397">
        <v>0</v>
      </c>
      <c r="O155" s="397">
        <v>994.83</v>
      </c>
      <c r="P155" s="397" t="s">
        <v>905</v>
      </c>
      <c r="Q155" s="397">
        <v>0</v>
      </c>
      <c r="R155" s="397">
        <v>994.83</v>
      </c>
      <c r="S155" s="397">
        <v>-994.83</v>
      </c>
      <c r="T155" s="397" t="s">
        <v>905</v>
      </c>
      <c r="U155" s="397" t="s">
        <v>1049</v>
      </c>
      <c r="W155" s="397"/>
      <c r="X155" s="397" t="s">
        <v>805</v>
      </c>
      <c r="Y155" s="397"/>
      <c r="AA155" s="397" t="s">
        <v>907</v>
      </c>
      <c r="AB155" s="397"/>
      <c r="AH155" s="397" t="s">
        <v>908</v>
      </c>
      <c r="AK155" s="397" t="s">
        <v>747</v>
      </c>
      <c r="AL155" s="397" t="s">
        <v>86</v>
      </c>
      <c r="AM155" s="397" t="s">
        <v>909</v>
      </c>
      <c r="AN155" s="397"/>
      <c r="AQ155" s="397" t="s">
        <v>910</v>
      </c>
      <c r="AR155" s="397" t="s">
        <v>911</v>
      </c>
      <c r="AS155" s="406">
        <v>45719.64355483796</v>
      </c>
    </row>
    <row r="156" spans="1:45" x14ac:dyDescent="0.2">
      <c r="A156" s="404" t="s">
        <v>1055</v>
      </c>
      <c r="B156" s="397" t="s">
        <v>1056</v>
      </c>
      <c r="C156" s="397" t="s">
        <v>863</v>
      </c>
      <c r="D156" s="397" t="s">
        <v>901</v>
      </c>
      <c r="E156" s="397" t="s">
        <v>902</v>
      </c>
      <c r="F156" s="397" t="s">
        <v>725</v>
      </c>
      <c r="G156" s="405">
        <v>45712</v>
      </c>
      <c r="H156" s="397" t="s">
        <v>729</v>
      </c>
      <c r="I156" s="397" t="b">
        <v>0</v>
      </c>
      <c r="J156" s="397" t="s">
        <v>903</v>
      </c>
      <c r="L156" s="397" t="s">
        <v>749</v>
      </c>
      <c r="M156" s="397" t="s">
        <v>904</v>
      </c>
      <c r="N156" s="397">
        <v>0</v>
      </c>
      <c r="O156" s="397">
        <v>6540.4</v>
      </c>
      <c r="P156" s="397" t="s">
        <v>905</v>
      </c>
      <c r="Q156" s="397">
        <v>0</v>
      </c>
      <c r="R156" s="397">
        <v>6540.4</v>
      </c>
      <c r="S156" s="397">
        <v>-6540.4</v>
      </c>
      <c r="T156" s="397" t="s">
        <v>905</v>
      </c>
      <c r="U156" s="397" t="s">
        <v>1050</v>
      </c>
      <c r="W156" s="397"/>
      <c r="X156" s="397" t="s">
        <v>805</v>
      </c>
      <c r="Y156" s="397"/>
      <c r="AA156" s="397" t="s">
        <v>907</v>
      </c>
      <c r="AB156" s="397"/>
      <c r="AH156" s="397" t="s">
        <v>990</v>
      </c>
      <c r="AK156" s="397" t="s">
        <v>849</v>
      </c>
      <c r="AL156" s="397" t="s">
        <v>81</v>
      </c>
      <c r="AM156" s="397" t="s">
        <v>913</v>
      </c>
      <c r="AN156" s="397"/>
      <c r="AQ156" s="397" t="s">
        <v>910</v>
      </c>
      <c r="AR156" s="397" t="s">
        <v>911</v>
      </c>
      <c r="AS156" s="406">
        <v>45719.64355483796</v>
      </c>
    </row>
    <row r="157" spans="1:45" x14ac:dyDescent="0.2">
      <c r="A157" s="404" t="s">
        <v>1055</v>
      </c>
      <c r="B157" s="397" t="s">
        <v>1056</v>
      </c>
      <c r="C157" s="397" t="s">
        <v>863</v>
      </c>
      <c r="D157" s="397" t="s">
        <v>901</v>
      </c>
      <c r="E157" s="397" t="s">
        <v>902</v>
      </c>
      <c r="F157" s="397" t="s">
        <v>725</v>
      </c>
      <c r="G157" s="405">
        <v>45712</v>
      </c>
      <c r="H157" s="397" t="s">
        <v>729</v>
      </c>
      <c r="I157" s="397" t="b">
        <v>0</v>
      </c>
      <c r="J157" s="397" t="s">
        <v>903</v>
      </c>
      <c r="L157" s="397" t="s">
        <v>749</v>
      </c>
      <c r="M157" s="397" t="s">
        <v>904</v>
      </c>
      <c r="N157" s="397">
        <v>0</v>
      </c>
      <c r="O157" s="397">
        <v>31793.01</v>
      </c>
      <c r="P157" s="397" t="s">
        <v>905</v>
      </c>
      <c r="Q157" s="397">
        <v>0</v>
      </c>
      <c r="R157" s="397">
        <v>31793.01</v>
      </c>
      <c r="S157" s="397">
        <v>-31793.01</v>
      </c>
      <c r="T157" s="397" t="s">
        <v>905</v>
      </c>
      <c r="U157" s="397" t="s">
        <v>1047</v>
      </c>
      <c r="W157" s="397"/>
      <c r="X157" s="397" t="s">
        <v>805</v>
      </c>
      <c r="Y157" s="397"/>
      <c r="AA157" s="397" t="s">
        <v>907</v>
      </c>
      <c r="AB157" s="397"/>
      <c r="AH157" s="397" t="s">
        <v>908</v>
      </c>
      <c r="AK157" s="397" t="s">
        <v>849</v>
      </c>
      <c r="AL157" s="397" t="s">
        <v>81</v>
      </c>
      <c r="AM157" s="397" t="s">
        <v>913</v>
      </c>
      <c r="AN157" s="397"/>
      <c r="AQ157" s="397" t="s">
        <v>910</v>
      </c>
      <c r="AR157" s="397" t="s">
        <v>911</v>
      </c>
      <c r="AS157" s="406">
        <v>45719.64355483796</v>
      </c>
    </row>
    <row r="158" spans="1:45" x14ac:dyDescent="0.2">
      <c r="A158" s="404" t="s">
        <v>1055</v>
      </c>
      <c r="B158" s="397" t="s">
        <v>1056</v>
      </c>
      <c r="C158" s="397" t="s">
        <v>863</v>
      </c>
      <c r="D158" s="397" t="s">
        <v>901</v>
      </c>
      <c r="E158" s="397" t="s">
        <v>902</v>
      </c>
      <c r="F158" s="397" t="s">
        <v>725</v>
      </c>
      <c r="G158" s="405">
        <v>45712</v>
      </c>
      <c r="H158" s="397" t="s">
        <v>729</v>
      </c>
      <c r="I158" s="397" t="b">
        <v>0</v>
      </c>
      <c r="J158" s="397" t="s">
        <v>903</v>
      </c>
      <c r="L158" s="397" t="s">
        <v>749</v>
      </c>
      <c r="M158" s="397" t="s">
        <v>904</v>
      </c>
      <c r="N158" s="397">
        <v>0</v>
      </c>
      <c r="O158" s="397">
        <v>891.48</v>
      </c>
      <c r="P158" s="397" t="s">
        <v>905</v>
      </c>
      <c r="Q158" s="397">
        <v>0</v>
      </c>
      <c r="R158" s="397">
        <v>891.48</v>
      </c>
      <c r="S158" s="397">
        <v>-891.48</v>
      </c>
      <c r="T158" s="397" t="s">
        <v>905</v>
      </c>
      <c r="U158" s="397" t="s">
        <v>1048</v>
      </c>
      <c r="W158" s="397"/>
      <c r="X158" s="397" t="s">
        <v>805</v>
      </c>
      <c r="Y158" s="397"/>
      <c r="AA158" s="397" t="s">
        <v>907</v>
      </c>
      <c r="AB158" s="397"/>
      <c r="AH158" s="397" t="s">
        <v>908</v>
      </c>
      <c r="AK158" s="397" t="s">
        <v>849</v>
      </c>
      <c r="AL158" s="397" t="s">
        <v>81</v>
      </c>
      <c r="AM158" s="397" t="s">
        <v>913</v>
      </c>
      <c r="AN158" s="397"/>
      <c r="AQ158" s="397" t="s">
        <v>910</v>
      </c>
      <c r="AR158" s="397" t="s">
        <v>911</v>
      </c>
      <c r="AS158" s="406">
        <v>45719.64355483796</v>
      </c>
    </row>
    <row r="159" spans="1:45" x14ac:dyDescent="0.2">
      <c r="A159" s="404" t="s">
        <v>1057</v>
      </c>
      <c r="B159" s="397" t="s">
        <v>1058</v>
      </c>
      <c r="C159" s="397" t="s">
        <v>863</v>
      </c>
      <c r="D159" s="397" t="s">
        <v>901</v>
      </c>
      <c r="E159" s="397" t="s">
        <v>902</v>
      </c>
      <c r="F159" s="397" t="s">
        <v>725</v>
      </c>
      <c r="G159" s="405">
        <v>45716</v>
      </c>
      <c r="H159" s="397" t="s">
        <v>729</v>
      </c>
      <c r="I159" s="397" t="b">
        <v>1</v>
      </c>
      <c r="J159" s="397" t="s">
        <v>903</v>
      </c>
      <c r="L159" s="397" t="s">
        <v>749</v>
      </c>
      <c r="M159" s="397" t="s">
        <v>904</v>
      </c>
      <c r="N159" s="397">
        <v>0</v>
      </c>
      <c r="O159" s="397">
        <v>89549.34</v>
      </c>
      <c r="P159" s="397" t="s">
        <v>905</v>
      </c>
      <c r="Q159" s="397">
        <v>0</v>
      </c>
      <c r="R159" s="397">
        <v>89549.34</v>
      </c>
      <c r="S159" s="397">
        <v>-89549.34</v>
      </c>
      <c r="T159" s="397" t="s">
        <v>905</v>
      </c>
      <c r="U159" s="397" t="s">
        <v>1038</v>
      </c>
      <c r="W159" s="397"/>
      <c r="X159" s="397" t="s">
        <v>805</v>
      </c>
      <c r="Y159" s="397"/>
      <c r="AA159" s="397" t="s">
        <v>907</v>
      </c>
      <c r="AB159" s="397"/>
      <c r="AH159" s="397" t="s">
        <v>918</v>
      </c>
      <c r="AK159" s="397" t="s">
        <v>849</v>
      </c>
      <c r="AL159" s="397" t="s">
        <v>81</v>
      </c>
      <c r="AM159" s="397" t="s">
        <v>913</v>
      </c>
      <c r="AN159" s="397"/>
      <c r="AQ159" s="397" t="s">
        <v>910</v>
      </c>
      <c r="AR159" s="397" t="s">
        <v>911</v>
      </c>
      <c r="AS159" s="406">
        <v>45721.665537326386</v>
      </c>
    </row>
    <row r="160" spans="1:45" x14ac:dyDescent="0.2">
      <c r="A160" s="404" t="s">
        <v>1057</v>
      </c>
      <c r="B160" s="397" t="s">
        <v>1058</v>
      </c>
      <c r="C160" s="397" t="s">
        <v>863</v>
      </c>
      <c r="D160" s="397" t="s">
        <v>901</v>
      </c>
      <c r="E160" s="397" t="s">
        <v>902</v>
      </c>
      <c r="F160" s="397" t="s">
        <v>725</v>
      </c>
      <c r="G160" s="405">
        <v>45716</v>
      </c>
      <c r="H160" s="397" t="s">
        <v>729</v>
      </c>
      <c r="I160" s="397" t="b">
        <v>1</v>
      </c>
      <c r="J160" s="397" t="s">
        <v>903</v>
      </c>
      <c r="L160" s="397" t="s">
        <v>749</v>
      </c>
      <c r="M160" s="397" t="s">
        <v>904</v>
      </c>
      <c r="N160" s="397">
        <v>0</v>
      </c>
      <c r="O160" s="397">
        <v>112126.36</v>
      </c>
      <c r="P160" s="397" t="s">
        <v>905</v>
      </c>
      <c r="Q160" s="397">
        <v>0</v>
      </c>
      <c r="R160" s="397">
        <v>112126.36</v>
      </c>
      <c r="S160" s="397">
        <v>-112126.36</v>
      </c>
      <c r="T160" s="397" t="s">
        <v>905</v>
      </c>
      <c r="U160" s="397" t="s">
        <v>917</v>
      </c>
      <c r="W160" s="397"/>
      <c r="X160" s="397" t="s">
        <v>805</v>
      </c>
      <c r="Y160" s="397"/>
      <c r="AA160" s="397" t="s">
        <v>907</v>
      </c>
      <c r="AB160" s="397"/>
      <c r="AH160" s="397" t="s">
        <v>918</v>
      </c>
      <c r="AK160" s="397" t="s">
        <v>849</v>
      </c>
      <c r="AL160" s="397" t="s">
        <v>81</v>
      </c>
      <c r="AM160" s="397" t="s">
        <v>913</v>
      </c>
      <c r="AN160" s="397"/>
      <c r="AQ160" s="397" t="s">
        <v>910</v>
      </c>
      <c r="AR160" s="397" t="s">
        <v>911</v>
      </c>
      <c r="AS160" s="406">
        <v>45721.665537326386</v>
      </c>
    </row>
    <row r="161" spans="1:45" x14ac:dyDescent="0.2">
      <c r="A161" s="404" t="s">
        <v>1057</v>
      </c>
      <c r="B161" s="397" t="s">
        <v>1058</v>
      </c>
      <c r="C161" s="397" t="s">
        <v>863</v>
      </c>
      <c r="D161" s="397" t="s">
        <v>901</v>
      </c>
      <c r="E161" s="397" t="s">
        <v>902</v>
      </c>
      <c r="F161" s="397" t="s">
        <v>725</v>
      </c>
      <c r="G161" s="405">
        <v>45716</v>
      </c>
      <c r="H161" s="397" t="s">
        <v>729</v>
      </c>
      <c r="I161" s="397" t="b">
        <v>1</v>
      </c>
      <c r="J161" s="397" t="s">
        <v>903</v>
      </c>
      <c r="L161" s="397" t="s">
        <v>749</v>
      </c>
      <c r="M161" s="397" t="s">
        <v>904</v>
      </c>
      <c r="N161" s="397">
        <v>0</v>
      </c>
      <c r="O161" s="397">
        <v>52732.79</v>
      </c>
      <c r="P161" s="397" t="s">
        <v>905</v>
      </c>
      <c r="Q161" s="397">
        <v>0</v>
      </c>
      <c r="R161" s="397">
        <v>52732.79</v>
      </c>
      <c r="S161" s="397">
        <v>-52732.79</v>
      </c>
      <c r="T161" s="397" t="s">
        <v>905</v>
      </c>
      <c r="U161" s="397" t="s">
        <v>919</v>
      </c>
      <c r="W161" s="397"/>
      <c r="X161" s="397" t="s">
        <v>805</v>
      </c>
      <c r="Y161" s="397"/>
      <c r="AA161" s="397" t="s">
        <v>907</v>
      </c>
      <c r="AB161" s="397"/>
      <c r="AH161" s="397" t="s">
        <v>920</v>
      </c>
      <c r="AK161" s="397" t="s">
        <v>849</v>
      </c>
      <c r="AL161" s="397" t="s">
        <v>81</v>
      </c>
      <c r="AM161" s="397" t="s">
        <v>913</v>
      </c>
      <c r="AN161" s="397"/>
      <c r="AQ161" s="397" t="s">
        <v>910</v>
      </c>
      <c r="AR161" s="397" t="s">
        <v>911</v>
      </c>
      <c r="AS161" s="406">
        <v>45721.665537326386</v>
      </c>
    </row>
    <row r="162" spans="1:45" x14ac:dyDescent="0.2">
      <c r="A162" s="404" t="s">
        <v>1059</v>
      </c>
      <c r="B162" s="397" t="s">
        <v>1060</v>
      </c>
      <c r="C162" s="397" t="s">
        <v>863</v>
      </c>
      <c r="D162" s="397" t="s">
        <v>901</v>
      </c>
      <c r="E162" s="397" t="s">
        <v>902</v>
      </c>
      <c r="F162" s="397" t="s">
        <v>726</v>
      </c>
      <c r="G162" s="405">
        <v>45717</v>
      </c>
      <c r="H162" s="397" t="s">
        <v>729</v>
      </c>
      <c r="I162" s="397" t="b">
        <v>0</v>
      </c>
      <c r="J162" s="397" t="s">
        <v>903</v>
      </c>
      <c r="L162" s="397" t="s">
        <v>749</v>
      </c>
      <c r="M162" s="397" t="s">
        <v>904</v>
      </c>
      <c r="N162" s="397">
        <v>89549.34</v>
      </c>
      <c r="O162" s="397">
        <v>0</v>
      </c>
      <c r="P162" s="397" t="s">
        <v>905</v>
      </c>
      <c r="Q162" s="397">
        <v>89549.34</v>
      </c>
      <c r="R162" s="397">
        <v>0</v>
      </c>
      <c r="S162" s="397">
        <v>89549.34</v>
      </c>
      <c r="T162" s="397" t="s">
        <v>905</v>
      </c>
      <c r="U162" s="397" t="s">
        <v>1038</v>
      </c>
      <c r="W162" s="397"/>
      <c r="X162" s="397" t="s">
        <v>805</v>
      </c>
      <c r="Y162" s="397"/>
      <c r="AA162" s="397" t="s">
        <v>907</v>
      </c>
      <c r="AB162" s="397"/>
      <c r="AH162" s="397" t="s">
        <v>918</v>
      </c>
      <c r="AK162" s="397" t="s">
        <v>849</v>
      </c>
      <c r="AL162" s="397" t="s">
        <v>81</v>
      </c>
      <c r="AM162" s="397" t="s">
        <v>913</v>
      </c>
      <c r="AN162" s="397"/>
      <c r="AQ162" s="397" t="s">
        <v>910</v>
      </c>
      <c r="AR162" s="397" t="s">
        <v>911</v>
      </c>
      <c r="AS162" s="406">
        <v>45721.665766979168</v>
      </c>
    </row>
    <row r="163" spans="1:45" x14ac:dyDescent="0.2">
      <c r="A163" s="404" t="s">
        <v>1059</v>
      </c>
      <c r="B163" s="397" t="s">
        <v>1060</v>
      </c>
      <c r="C163" s="397" t="s">
        <v>863</v>
      </c>
      <c r="D163" s="397" t="s">
        <v>901</v>
      </c>
      <c r="E163" s="397" t="s">
        <v>902</v>
      </c>
      <c r="F163" s="397" t="s">
        <v>726</v>
      </c>
      <c r="G163" s="405">
        <v>45717</v>
      </c>
      <c r="H163" s="397" t="s">
        <v>729</v>
      </c>
      <c r="I163" s="397" t="b">
        <v>0</v>
      </c>
      <c r="J163" s="397" t="s">
        <v>903</v>
      </c>
      <c r="L163" s="397" t="s">
        <v>749</v>
      </c>
      <c r="M163" s="397" t="s">
        <v>904</v>
      </c>
      <c r="N163" s="397">
        <v>112126.36</v>
      </c>
      <c r="O163" s="397">
        <v>0</v>
      </c>
      <c r="P163" s="397" t="s">
        <v>905</v>
      </c>
      <c r="Q163" s="397">
        <v>112126.36</v>
      </c>
      <c r="R163" s="397">
        <v>0</v>
      </c>
      <c r="S163" s="397">
        <v>112126.36</v>
      </c>
      <c r="T163" s="397" t="s">
        <v>905</v>
      </c>
      <c r="U163" s="397" t="s">
        <v>917</v>
      </c>
      <c r="W163" s="397"/>
      <c r="X163" s="397" t="s">
        <v>805</v>
      </c>
      <c r="Y163" s="397"/>
      <c r="AA163" s="397" t="s">
        <v>907</v>
      </c>
      <c r="AB163" s="397"/>
      <c r="AH163" s="397" t="s">
        <v>918</v>
      </c>
      <c r="AK163" s="397" t="s">
        <v>849</v>
      </c>
      <c r="AL163" s="397" t="s">
        <v>81</v>
      </c>
      <c r="AM163" s="397" t="s">
        <v>913</v>
      </c>
      <c r="AN163" s="397"/>
      <c r="AQ163" s="397" t="s">
        <v>910</v>
      </c>
      <c r="AR163" s="397" t="s">
        <v>911</v>
      </c>
      <c r="AS163" s="406">
        <v>45721.665766979168</v>
      </c>
    </row>
    <row r="164" spans="1:45" x14ac:dyDescent="0.2">
      <c r="A164" s="404" t="s">
        <v>1059</v>
      </c>
      <c r="B164" s="397" t="s">
        <v>1060</v>
      </c>
      <c r="C164" s="397" t="s">
        <v>863</v>
      </c>
      <c r="D164" s="397" t="s">
        <v>901</v>
      </c>
      <c r="E164" s="397" t="s">
        <v>902</v>
      </c>
      <c r="F164" s="397" t="s">
        <v>726</v>
      </c>
      <c r="G164" s="405">
        <v>45717</v>
      </c>
      <c r="H164" s="397" t="s">
        <v>729</v>
      </c>
      <c r="I164" s="397" t="b">
        <v>0</v>
      </c>
      <c r="J164" s="397" t="s">
        <v>903</v>
      </c>
      <c r="L164" s="397" t="s">
        <v>749</v>
      </c>
      <c r="M164" s="397" t="s">
        <v>904</v>
      </c>
      <c r="N164" s="397">
        <v>52732.79</v>
      </c>
      <c r="O164" s="397">
        <v>0</v>
      </c>
      <c r="P164" s="397" t="s">
        <v>905</v>
      </c>
      <c r="Q164" s="397">
        <v>52732.79</v>
      </c>
      <c r="R164" s="397">
        <v>0</v>
      </c>
      <c r="S164" s="397">
        <v>52732.79</v>
      </c>
      <c r="T164" s="397" t="s">
        <v>905</v>
      </c>
      <c r="U164" s="397" t="s">
        <v>919</v>
      </c>
      <c r="W164" s="397"/>
      <c r="X164" s="397" t="s">
        <v>805</v>
      </c>
      <c r="Y164" s="397"/>
      <c r="AA164" s="397" t="s">
        <v>907</v>
      </c>
      <c r="AB164" s="397"/>
      <c r="AH164" s="397" t="s">
        <v>920</v>
      </c>
      <c r="AK164" s="397" t="s">
        <v>849</v>
      </c>
      <c r="AL164" s="397" t="s">
        <v>81</v>
      </c>
      <c r="AM164" s="397" t="s">
        <v>913</v>
      </c>
      <c r="AN164" s="397"/>
      <c r="AQ164" s="397" t="s">
        <v>910</v>
      </c>
      <c r="AR164" s="397" t="s">
        <v>911</v>
      </c>
      <c r="AS164" s="406">
        <v>45721.665766979168</v>
      </c>
    </row>
    <row r="165" spans="1:45" x14ac:dyDescent="0.2">
      <c r="A165" s="404" t="s">
        <v>1061</v>
      </c>
      <c r="B165" s="397" t="s">
        <v>1062</v>
      </c>
      <c r="C165" s="397" t="s">
        <v>863</v>
      </c>
      <c r="D165" s="397" t="s">
        <v>901</v>
      </c>
      <c r="E165" s="397" t="s">
        <v>902</v>
      </c>
      <c r="F165" s="397" t="s">
        <v>725</v>
      </c>
      <c r="G165" s="405">
        <v>45716</v>
      </c>
      <c r="H165" s="397" t="s">
        <v>729</v>
      </c>
      <c r="I165" s="397" t="b">
        <v>1</v>
      </c>
      <c r="J165" s="397" t="s">
        <v>903</v>
      </c>
      <c r="L165" s="397" t="s">
        <v>749</v>
      </c>
      <c r="M165" s="397" t="s">
        <v>904</v>
      </c>
      <c r="N165" s="397">
        <v>0</v>
      </c>
      <c r="O165" s="397">
        <v>30909.27</v>
      </c>
      <c r="P165" s="397" t="s">
        <v>905</v>
      </c>
      <c r="Q165" s="397">
        <v>0</v>
      </c>
      <c r="R165" s="397">
        <v>30909.27</v>
      </c>
      <c r="S165" s="397">
        <v>-30909.27</v>
      </c>
      <c r="T165" s="397" t="s">
        <v>905</v>
      </c>
      <c r="U165" s="397" t="s">
        <v>1063</v>
      </c>
      <c r="W165" s="397"/>
      <c r="X165" s="397" t="s">
        <v>805</v>
      </c>
      <c r="Y165" s="397"/>
      <c r="AA165" s="397" t="s">
        <v>907</v>
      </c>
      <c r="AB165" s="397"/>
      <c r="AH165" s="397" t="s">
        <v>908</v>
      </c>
      <c r="AK165" s="397" t="s">
        <v>849</v>
      </c>
      <c r="AL165" s="397" t="s">
        <v>81</v>
      </c>
      <c r="AM165" s="397" t="s">
        <v>913</v>
      </c>
      <c r="AN165" s="397"/>
      <c r="AQ165" s="397" t="s">
        <v>910</v>
      </c>
      <c r="AR165" s="397" t="s">
        <v>911</v>
      </c>
      <c r="AS165" s="406">
        <v>45721.671468622684</v>
      </c>
    </row>
    <row r="166" spans="1:45" x14ac:dyDescent="0.2">
      <c r="A166" s="404" t="s">
        <v>1061</v>
      </c>
      <c r="B166" s="397" t="s">
        <v>1062</v>
      </c>
      <c r="C166" s="397" t="s">
        <v>863</v>
      </c>
      <c r="D166" s="397" t="s">
        <v>901</v>
      </c>
      <c r="E166" s="397" t="s">
        <v>902</v>
      </c>
      <c r="F166" s="397" t="s">
        <v>725</v>
      </c>
      <c r="G166" s="405">
        <v>45716</v>
      </c>
      <c r="H166" s="397" t="s">
        <v>729</v>
      </c>
      <c r="I166" s="397" t="b">
        <v>1</v>
      </c>
      <c r="J166" s="397" t="s">
        <v>903</v>
      </c>
      <c r="L166" s="397" t="s">
        <v>749</v>
      </c>
      <c r="M166" s="397" t="s">
        <v>904</v>
      </c>
      <c r="N166" s="397">
        <v>0</v>
      </c>
      <c r="O166" s="397">
        <v>5961.22</v>
      </c>
      <c r="P166" s="397" t="s">
        <v>905</v>
      </c>
      <c r="Q166" s="397">
        <v>0</v>
      </c>
      <c r="R166" s="397">
        <v>5961.22</v>
      </c>
      <c r="S166" s="397">
        <v>-5961.22</v>
      </c>
      <c r="T166" s="397" t="s">
        <v>905</v>
      </c>
      <c r="U166" s="397" t="s">
        <v>1064</v>
      </c>
      <c r="W166" s="397"/>
      <c r="X166" s="397" t="s">
        <v>805</v>
      </c>
      <c r="Y166" s="397"/>
      <c r="AA166" s="397" t="s">
        <v>907</v>
      </c>
      <c r="AB166" s="397"/>
      <c r="AH166" s="397" t="s">
        <v>990</v>
      </c>
      <c r="AK166" s="397" t="s">
        <v>849</v>
      </c>
      <c r="AL166" s="397" t="s">
        <v>81</v>
      </c>
      <c r="AM166" s="397" t="s">
        <v>913</v>
      </c>
      <c r="AN166" s="397"/>
      <c r="AQ166" s="397" t="s">
        <v>910</v>
      </c>
      <c r="AR166" s="397" t="s">
        <v>911</v>
      </c>
      <c r="AS166" s="406">
        <v>45721.671468622684</v>
      </c>
    </row>
    <row r="167" spans="1:45" x14ac:dyDescent="0.2">
      <c r="A167" s="404" t="s">
        <v>1061</v>
      </c>
      <c r="B167" s="397" t="s">
        <v>1062</v>
      </c>
      <c r="C167" s="397" t="s">
        <v>863</v>
      </c>
      <c r="D167" s="397" t="s">
        <v>901</v>
      </c>
      <c r="E167" s="397" t="s">
        <v>902</v>
      </c>
      <c r="F167" s="397" t="s">
        <v>725</v>
      </c>
      <c r="G167" s="405">
        <v>45716</v>
      </c>
      <c r="H167" s="397" t="s">
        <v>729</v>
      </c>
      <c r="I167" s="397" t="b">
        <v>1</v>
      </c>
      <c r="J167" s="397" t="s">
        <v>903</v>
      </c>
      <c r="L167" s="397" t="s">
        <v>749</v>
      </c>
      <c r="M167" s="397" t="s">
        <v>904</v>
      </c>
      <c r="N167" s="397">
        <v>0</v>
      </c>
      <c r="O167" s="397">
        <v>550.62</v>
      </c>
      <c r="P167" s="397" t="s">
        <v>905</v>
      </c>
      <c r="Q167" s="397">
        <v>0</v>
      </c>
      <c r="R167" s="397">
        <v>550.62</v>
      </c>
      <c r="S167" s="397">
        <v>-550.62</v>
      </c>
      <c r="T167" s="397" t="s">
        <v>905</v>
      </c>
      <c r="U167" s="397" t="s">
        <v>1065</v>
      </c>
      <c r="W167" s="397"/>
      <c r="X167" s="397" t="s">
        <v>805</v>
      </c>
      <c r="Y167" s="397"/>
      <c r="AA167" s="397" t="s">
        <v>907</v>
      </c>
      <c r="AB167" s="397"/>
      <c r="AH167" s="397" t="s">
        <v>908</v>
      </c>
      <c r="AK167" s="397" t="s">
        <v>849</v>
      </c>
      <c r="AL167" s="397" t="s">
        <v>81</v>
      </c>
      <c r="AM167" s="397" t="s">
        <v>913</v>
      </c>
      <c r="AN167" s="397"/>
      <c r="AQ167" s="397" t="s">
        <v>910</v>
      </c>
      <c r="AR167" s="397" t="s">
        <v>911</v>
      </c>
      <c r="AS167" s="406">
        <v>45721.671468622684</v>
      </c>
    </row>
    <row r="168" spans="1:45" x14ac:dyDescent="0.2">
      <c r="A168" s="404" t="s">
        <v>1061</v>
      </c>
      <c r="B168" s="397" t="s">
        <v>1062</v>
      </c>
      <c r="C168" s="397" t="s">
        <v>863</v>
      </c>
      <c r="D168" s="397" t="s">
        <v>901</v>
      </c>
      <c r="E168" s="397" t="s">
        <v>902</v>
      </c>
      <c r="F168" s="397" t="s">
        <v>725</v>
      </c>
      <c r="G168" s="405">
        <v>45716</v>
      </c>
      <c r="H168" s="397" t="s">
        <v>729</v>
      </c>
      <c r="I168" s="397" t="b">
        <v>1</v>
      </c>
      <c r="J168" s="397" t="s">
        <v>903</v>
      </c>
      <c r="L168" s="397" t="s">
        <v>749</v>
      </c>
      <c r="M168" s="397" t="s">
        <v>904</v>
      </c>
      <c r="N168" s="397">
        <v>0</v>
      </c>
      <c r="O168" s="397">
        <v>994.83</v>
      </c>
      <c r="P168" s="397" t="s">
        <v>905</v>
      </c>
      <c r="Q168" s="397">
        <v>0</v>
      </c>
      <c r="R168" s="397">
        <v>994.83</v>
      </c>
      <c r="S168" s="397">
        <v>-994.83</v>
      </c>
      <c r="T168" s="397" t="s">
        <v>905</v>
      </c>
      <c r="U168" s="397" t="s">
        <v>1066</v>
      </c>
      <c r="W168" s="397"/>
      <c r="X168" s="397" t="s">
        <v>805</v>
      </c>
      <c r="Y168" s="397"/>
      <c r="AA168" s="397" t="s">
        <v>907</v>
      </c>
      <c r="AB168" s="397"/>
      <c r="AH168" s="397" t="s">
        <v>908</v>
      </c>
      <c r="AK168" s="397" t="s">
        <v>747</v>
      </c>
      <c r="AL168" s="397" t="s">
        <v>86</v>
      </c>
      <c r="AM168" s="397" t="s">
        <v>909</v>
      </c>
      <c r="AN168" s="397"/>
      <c r="AQ168" s="397" t="s">
        <v>910</v>
      </c>
      <c r="AR168" s="397" t="s">
        <v>911</v>
      </c>
      <c r="AS168" s="406">
        <v>45721.671468622684</v>
      </c>
    </row>
    <row r="169" spans="1:45" x14ac:dyDescent="0.2">
      <c r="A169" s="404" t="s">
        <v>1067</v>
      </c>
      <c r="B169" s="397" t="s">
        <v>1068</v>
      </c>
      <c r="C169" s="397" t="s">
        <v>863</v>
      </c>
      <c r="D169" s="397" t="s">
        <v>901</v>
      </c>
      <c r="E169" s="397" t="s">
        <v>902</v>
      </c>
      <c r="F169" s="397" t="s">
        <v>726</v>
      </c>
      <c r="G169" s="405">
        <v>45717</v>
      </c>
      <c r="H169" s="397" t="s">
        <v>729</v>
      </c>
      <c r="I169" s="397" t="b">
        <v>0</v>
      </c>
      <c r="J169" s="397" t="s">
        <v>903</v>
      </c>
      <c r="L169" s="397" t="s">
        <v>749</v>
      </c>
      <c r="M169" s="397" t="s">
        <v>904</v>
      </c>
      <c r="N169" s="397">
        <v>994.83</v>
      </c>
      <c r="O169" s="397">
        <v>0</v>
      </c>
      <c r="P169" s="397" t="s">
        <v>905</v>
      </c>
      <c r="Q169" s="397">
        <v>994.83</v>
      </c>
      <c r="R169" s="397">
        <v>0</v>
      </c>
      <c r="S169" s="397">
        <v>994.83</v>
      </c>
      <c r="T169" s="397" t="s">
        <v>905</v>
      </c>
      <c r="U169" s="397" t="s">
        <v>1066</v>
      </c>
      <c r="W169" s="397"/>
      <c r="X169" s="397" t="s">
        <v>805</v>
      </c>
      <c r="Y169" s="397"/>
      <c r="AA169" s="397" t="s">
        <v>907</v>
      </c>
      <c r="AB169" s="397"/>
      <c r="AH169" s="397" t="s">
        <v>908</v>
      </c>
      <c r="AK169" s="397" t="s">
        <v>747</v>
      </c>
      <c r="AL169" s="397" t="s">
        <v>86</v>
      </c>
      <c r="AM169" s="397" t="s">
        <v>909</v>
      </c>
      <c r="AN169" s="397"/>
      <c r="AQ169" s="397" t="s">
        <v>910</v>
      </c>
      <c r="AR169" s="397" t="s">
        <v>911</v>
      </c>
      <c r="AS169" s="406">
        <v>45721.671786018516</v>
      </c>
    </row>
    <row r="170" spans="1:45" x14ac:dyDescent="0.2">
      <c r="A170" s="404" t="s">
        <v>1067</v>
      </c>
      <c r="B170" s="397" t="s">
        <v>1068</v>
      </c>
      <c r="C170" s="397" t="s">
        <v>863</v>
      </c>
      <c r="D170" s="397" t="s">
        <v>901</v>
      </c>
      <c r="E170" s="397" t="s">
        <v>902</v>
      </c>
      <c r="F170" s="397" t="s">
        <v>726</v>
      </c>
      <c r="G170" s="405">
        <v>45717</v>
      </c>
      <c r="H170" s="397" t="s">
        <v>729</v>
      </c>
      <c r="I170" s="397" t="b">
        <v>0</v>
      </c>
      <c r="J170" s="397" t="s">
        <v>903</v>
      </c>
      <c r="L170" s="397" t="s">
        <v>749</v>
      </c>
      <c r="M170" s="397" t="s">
        <v>904</v>
      </c>
      <c r="N170" s="397">
        <v>30909.27</v>
      </c>
      <c r="O170" s="397">
        <v>0</v>
      </c>
      <c r="P170" s="397" t="s">
        <v>905</v>
      </c>
      <c r="Q170" s="397">
        <v>30909.27</v>
      </c>
      <c r="R170" s="397">
        <v>0</v>
      </c>
      <c r="S170" s="397">
        <v>30909.27</v>
      </c>
      <c r="T170" s="397" t="s">
        <v>905</v>
      </c>
      <c r="U170" s="397" t="s">
        <v>1063</v>
      </c>
      <c r="W170" s="397"/>
      <c r="X170" s="397" t="s">
        <v>805</v>
      </c>
      <c r="Y170" s="397"/>
      <c r="AA170" s="397" t="s">
        <v>907</v>
      </c>
      <c r="AB170" s="397"/>
      <c r="AH170" s="397" t="s">
        <v>908</v>
      </c>
      <c r="AK170" s="397" t="s">
        <v>849</v>
      </c>
      <c r="AL170" s="397" t="s">
        <v>81</v>
      </c>
      <c r="AM170" s="397" t="s">
        <v>913</v>
      </c>
      <c r="AN170" s="397"/>
      <c r="AQ170" s="397" t="s">
        <v>910</v>
      </c>
      <c r="AR170" s="397" t="s">
        <v>911</v>
      </c>
      <c r="AS170" s="406">
        <v>45721.671786006948</v>
      </c>
    </row>
    <row r="171" spans="1:45" x14ac:dyDescent="0.2">
      <c r="A171" s="404" t="s">
        <v>1067</v>
      </c>
      <c r="B171" s="397" t="s">
        <v>1068</v>
      </c>
      <c r="C171" s="397" t="s">
        <v>863</v>
      </c>
      <c r="D171" s="397" t="s">
        <v>901</v>
      </c>
      <c r="E171" s="397" t="s">
        <v>902</v>
      </c>
      <c r="F171" s="397" t="s">
        <v>726</v>
      </c>
      <c r="G171" s="405">
        <v>45717</v>
      </c>
      <c r="H171" s="397" t="s">
        <v>729</v>
      </c>
      <c r="I171" s="397" t="b">
        <v>0</v>
      </c>
      <c r="J171" s="397" t="s">
        <v>903</v>
      </c>
      <c r="L171" s="397" t="s">
        <v>749</v>
      </c>
      <c r="M171" s="397" t="s">
        <v>904</v>
      </c>
      <c r="N171" s="397">
        <v>5961.22</v>
      </c>
      <c r="O171" s="397">
        <v>0</v>
      </c>
      <c r="P171" s="397" t="s">
        <v>905</v>
      </c>
      <c r="Q171" s="397">
        <v>5961.22</v>
      </c>
      <c r="R171" s="397">
        <v>0</v>
      </c>
      <c r="S171" s="397">
        <v>5961.22</v>
      </c>
      <c r="T171" s="397" t="s">
        <v>905</v>
      </c>
      <c r="U171" s="397" t="s">
        <v>1064</v>
      </c>
      <c r="W171" s="397"/>
      <c r="X171" s="397" t="s">
        <v>805</v>
      </c>
      <c r="Y171" s="397"/>
      <c r="AA171" s="397" t="s">
        <v>907</v>
      </c>
      <c r="AB171" s="397"/>
      <c r="AH171" s="397" t="s">
        <v>990</v>
      </c>
      <c r="AK171" s="397" t="s">
        <v>849</v>
      </c>
      <c r="AL171" s="397" t="s">
        <v>81</v>
      </c>
      <c r="AM171" s="397" t="s">
        <v>913</v>
      </c>
      <c r="AN171" s="397"/>
      <c r="AQ171" s="397" t="s">
        <v>910</v>
      </c>
      <c r="AR171" s="397" t="s">
        <v>911</v>
      </c>
      <c r="AS171" s="406">
        <v>45721.671786006948</v>
      </c>
    </row>
    <row r="172" spans="1:45" x14ac:dyDescent="0.2">
      <c r="A172" s="404" t="s">
        <v>1067</v>
      </c>
      <c r="B172" s="397" t="s">
        <v>1068</v>
      </c>
      <c r="C172" s="397" t="s">
        <v>863</v>
      </c>
      <c r="D172" s="397" t="s">
        <v>901</v>
      </c>
      <c r="E172" s="397" t="s">
        <v>902</v>
      </c>
      <c r="F172" s="397" t="s">
        <v>726</v>
      </c>
      <c r="G172" s="405">
        <v>45717</v>
      </c>
      <c r="H172" s="397" t="s">
        <v>729</v>
      </c>
      <c r="I172" s="397" t="b">
        <v>0</v>
      </c>
      <c r="J172" s="397" t="s">
        <v>903</v>
      </c>
      <c r="L172" s="397" t="s">
        <v>749</v>
      </c>
      <c r="M172" s="397" t="s">
        <v>904</v>
      </c>
      <c r="N172" s="397">
        <v>550.62</v>
      </c>
      <c r="O172" s="397">
        <v>0</v>
      </c>
      <c r="P172" s="397" t="s">
        <v>905</v>
      </c>
      <c r="Q172" s="397">
        <v>550.62</v>
      </c>
      <c r="R172" s="397">
        <v>0</v>
      </c>
      <c r="S172" s="397">
        <v>550.62</v>
      </c>
      <c r="T172" s="397" t="s">
        <v>905</v>
      </c>
      <c r="U172" s="397" t="s">
        <v>1065</v>
      </c>
      <c r="W172" s="397"/>
      <c r="X172" s="397" t="s">
        <v>805</v>
      </c>
      <c r="Y172" s="397"/>
      <c r="AA172" s="397" t="s">
        <v>907</v>
      </c>
      <c r="AB172" s="397"/>
      <c r="AH172" s="397" t="s">
        <v>908</v>
      </c>
      <c r="AK172" s="397" t="s">
        <v>849</v>
      </c>
      <c r="AL172" s="397" t="s">
        <v>81</v>
      </c>
      <c r="AM172" s="397" t="s">
        <v>913</v>
      </c>
      <c r="AN172" s="397"/>
      <c r="AQ172" s="397" t="s">
        <v>910</v>
      </c>
      <c r="AR172" s="397" t="s">
        <v>911</v>
      </c>
      <c r="AS172" s="406">
        <v>45721.671786006948</v>
      </c>
    </row>
    <row r="173" spans="1:45" x14ac:dyDescent="0.2">
      <c r="A173" s="404" t="s">
        <v>1069</v>
      </c>
      <c r="B173" s="397" t="s">
        <v>1070</v>
      </c>
      <c r="C173" s="397" t="s">
        <v>863</v>
      </c>
      <c r="D173" s="397" t="s">
        <v>923</v>
      </c>
      <c r="E173" s="397" t="s">
        <v>902</v>
      </c>
      <c r="F173" s="397" t="s">
        <v>726</v>
      </c>
      <c r="G173" s="405">
        <v>45740</v>
      </c>
      <c r="H173" s="397" t="s">
        <v>729</v>
      </c>
      <c r="I173" s="397" t="b">
        <v>0</v>
      </c>
      <c r="J173" s="397" t="s">
        <v>903</v>
      </c>
      <c r="L173" s="397" t="s">
        <v>749</v>
      </c>
      <c r="M173" s="397" t="s">
        <v>904</v>
      </c>
      <c r="N173" s="397">
        <v>0</v>
      </c>
      <c r="O173" s="397">
        <v>89549.34</v>
      </c>
      <c r="P173" s="397" t="s">
        <v>905</v>
      </c>
      <c r="Q173" s="397">
        <v>0</v>
      </c>
      <c r="R173" s="397">
        <v>89549.34</v>
      </c>
      <c r="S173" s="397">
        <v>-89549.34</v>
      </c>
      <c r="T173" s="397" t="s">
        <v>905</v>
      </c>
      <c r="U173" s="397" t="s">
        <v>1038</v>
      </c>
      <c r="W173" s="397"/>
      <c r="X173" s="397" t="s">
        <v>805</v>
      </c>
      <c r="Y173" s="397"/>
      <c r="AA173" s="397" t="s">
        <v>907</v>
      </c>
      <c r="AB173" s="397"/>
      <c r="AH173" s="397" t="s">
        <v>918</v>
      </c>
      <c r="AK173" s="397" t="s">
        <v>849</v>
      </c>
      <c r="AL173" s="397" t="s">
        <v>81</v>
      </c>
      <c r="AM173" s="397" t="s">
        <v>913</v>
      </c>
      <c r="AN173" s="397"/>
      <c r="AQ173" s="397" t="s">
        <v>910</v>
      </c>
      <c r="AR173" s="397" t="s">
        <v>911</v>
      </c>
      <c r="AS173" s="406">
        <v>45748.488345231483</v>
      </c>
    </row>
    <row r="174" spans="1:45" x14ac:dyDescent="0.2">
      <c r="A174" s="404" t="s">
        <v>1069</v>
      </c>
      <c r="B174" s="397" t="s">
        <v>1070</v>
      </c>
      <c r="C174" s="397" t="s">
        <v>863</v>
      </c>
      <c r="D174" s="397" t="s">
        <v>923</v>
      </c>
      <c r="E174" s="397" t="s">
        <v>902</v>
      </c>
      <c r="F174" s="397" t="s">
        <v>726</v>
      </c>
      <c r="G174" s="405">
        <v>45740</v>
      </c>
      <c r="H174" s="397" t="s">
        <v>729</v>
      </c>
      <c r="I174" s="397" t="b">
        <v>0</v>
      </c>
      <c r="J174" s="397" t="s">
        <v>903</v>
      </c>
      <c r="L174" s="397" t="s">
        <v>749</v>
      </c>
      <c r="M174" s="397" t="s">
        <v>904</v>
      </c>
      <c r="N174" s="397">
        <v>0</v>
      </c>
      <c r="O174" s="397">
        <v>126.73</v>
      </c>
      <c r="P174" s="397" t="s">
        <v>905</v>
      </c>
      <c r="Q174" s="397">
        <v>0</v>
      </c>
      <c r="R174" s="397">
        <v>126.73</v>
      </c>
      <c r="S174" s="397">
        <v>-126.73</v>
      </c>
      <c r="T174" s="397" t="s">
        <v>905</v>
      </c>
      <c r="U174" s="397" t="s">
        <v>924</v>
      </c>
      <c r="W174" s="397"/>
      <c r="X174" s="397" t="s">
        <v>805</v>
      </c>
      <c r="Y174" s="397"/>
      <c r="AA174" s="397" t="s">
        <v>907</v>
      </c>
      <c r="AB174" s="397"/>
      <c r="AH174" s="397" t="s">
        <v>925</v>
      </c>
      <c r="AK174" s="397" t="s">
        <v>849</v>
      </c>
      <c r="AL174" s="397" t="s">
        <v>81</v>
      </c>
      <c r="AM174" s="397" t="s">
        <v>913</v>
      </c>
      <c r="AN174" s="397"/>
      <c r="AQ174" s="397" t="s">
        <v>910</v>
      </c>
      <c r="AR174" s="397" t="s">
        <v>911</v>
      </c>
      <c r="AS174" s="406">
        <v>45748.488345231483</v>
      </c>
    </row>
    <row r="175" spans="1:45" x14ac:dyDescent="0.2">
      <c r="A175" s="404" t="s">
        <v>1069</v>
      </c>
      <c r="B175" s="397" t="s">
        <v>1070</v>
      </c>
      <c r="C175" s="397" t="s">
        <v>863</v>
      </c>
      <c r="D175" s="397" t="s">
        <v>923</v>
      </c>
      <c r="E175" s="397" t="s">
        <v>902</v>
      </c>
      <c r="F175" s="397" t="s">
        <v>726</v>
      </c>
      <c r="G175" s="405">
        <v>45740</v>
      </c>
      <c r="H175" s="397" t="s">
        <v>729</v>
      </c>
      <c r="I175" s="397" t="b">
        <v>0</v>
      </c>
      <c r="J175" s="397" t="s">
        <v>903</v>
      </c>
      <c r="L175" s="397" t="s">
        <v>749</v>
      </c>
      <c r="M175" s="397" t="s">
        <v>904</v>
      </c>
      <c r="N175" s="397">
        <v>0</v>
      </c>
      <c r="O175" s="397">
        <v>80609.02</v>
      </c>
      <c r="P175" s="397" t="s">
        <v>905</v>
      </c>
      <c r="Q175" s="397">
        <v>0</v>
      </c>
      <c r="R175" s="397">
        <v>80609.02</v>
      </c>
      <c r="S175" s="397">
        <v>-80609.02</v>
      </c>
      <c r="T175" s="397" t="s">
        <v>905</v>
      </c>
      <c r="U175" s="397" t="s">
        <v>919</v>
      </c>
      <c r="W175" s="397"/>
      <c r="X175" s="397" t="s">
        <v>805</v>
      </c>
      <c r="Y175" s="397"/>
      <c r="AA175" s="397" t="s">
        <v>907</v>
      </c>
      <c r="AB175" s="397"/>
      <c r="AH175" s="397" t="s">
        <v>920</v>
      </c>
      <c r="AK175" s="397" t="s">
        <v>849</v>
      </c>
      <c r="AL175" s="397" t="s">
        <v>81</v>
      </c>
      <c r="AM175" s="397" t="s">
        <v>913</v>
      </c>
      <c r="AN175" s="397"/>
      <c r="AQ175" s="397" t="s">
        <v>910</v>
      </c>
      <c r="AR175" s="397" t="s">
        <v>911</v>
      </c>
      <c r="AS175" s="406">
        <v>45748.488345231483</v>
      </c>
    </row>
    <row r="176" spans="1:45" x14ac:dyDescent="0.2">
      <c r="A176" s="404" t="s">
        <v>1069</v>
      </c>
      <c r="B176" s="397" t="s">
        <v>1070</v>
      </c>
      <c r="C176" s="397" t="s">
        <v>863</v>
      </c>
      <c r="D176" s="397" t="s">
        <v>923</v>
      </c>
      <c r="E176" s="397" t="s">
        <v>902</v>
      </c>
      <c r="F176" s="397" t="s">
        <v>726</v>
      </c>
      <c r="G176" s="405">
        <v>45740</v>
      </c>
      <c r="H176" s="397" t="s">
        <v>729</v>
      </c>
      <c r="I176" s="397" t="b">
        <v>0</v>
      </c>
      <c r="J176" s="397" t="s">
        <v>903</v>
      </c>
      <c r="L176" s="397" t="s">
        <v>749</v>
      </c>
      <c r="M176" s="397" t="s">
        <v>904</v>
      </c>
      <c r="N176" s="397">
        <v>0</v>
      </c>
      <c r="O176" s="397">
        <v>84293.67</v>
      </c>
      <c r="P176" s="397" t="s">
        <v>905</v>
      </c>
      <c r="Q176" s="397">
        <v>0</v>
      </c>
      <c r="R176" s="397">
        <v>84293.67</v>
      </c>
      <c r="S176" s="397">
        <v>-84293.67</v>
      </c>
      <c r="T176" s="397" t="s">
        <v>905</v>
      </c>
      <c r="U176" s="397" t="s">
        <v>917</v>
      </c>
      <c r="W176" s="397"/>
      <c r="X176" s="397" t="s">
        <v>805</v>
      </c>
      <c r="Y176" s="397"/>
      <c r="AA176" s="397" t="s">
        <v>907</v>
      </c>
      <c r="AB176" s="397"/>
      <c r="AH176" s="397" t="s">
        <v>918</v>
      </c>
      <c r="AK176" s="397" t="s">
        <v>849</v>
      </c>
      <c r="AL176" s="397" t="s">
        <v>81</v>
      </c>
      <c r="AM176" s="397" t="s">
        <v>913</v>
      </c>
      <c r="AN176" s="397"/>
      <c r="AQ176" s="397" t="s">
        <v>910</v>
      </c>
      <c r="AR176" s="397" t="s">
        <v>911</v>
      </c>
      <c r="AS176" s="406">
        <v>45748.488345243059</v>
      </c>
    </row>
    <row r="177" spans="1:45" x14ac:dyDescent="0.2">
      <c r="A177" s="404" t="s">
        <v>1071</v>
      </c>
      <c r="B177" s="397" t="s">
        <v>1072</v>
      </c>
      <c r="C177" s="397" t="s">
        <v>863</v>
      </c>
      <c r="D177" s="397" t="s">
        <v>901</v>
      </c>
      <c r="E177" s="397" t="s">
        <v>902</v>
      </c>
      <c r="F177" s="397" t="s">
        <v>726</v>
      </c>
      <c r="G177" s="405">
        <v>45740</v>
      </c>
      <c r="H177" s="397" t="s">
        <v>729</v>
      </c>
      <c r="I177" s="397" t="b">
        <v>0</v>
      </c>
      <c r="J177" s="397" t="s">
        <v>903</v>
      </c>
      <c r="L177" s="397" t="s">
        <v>749</v>
      </c>
      <c r="M177" s="397" t="s">
        <v>904</v>
      </c>
      <c r="N177" s="397">
        <v>0</v>
      </c>
      <c r="O177" s="397">
        <v>994.83</v>
      </c>
      <c r="P177" s="397" t="s">
        <v>905</v>
      </c>
      <c r="Q177" s="397">
        <v>0</v>
      </c>
      <c r="R177" s="397">
        <v>994.83</v>
      </c>
      <c r="S177" s="397">
        <v>-994.83</v>
      </c>
      <c r="T177" s="397" t="s">
        <v>905</v>
      </c>
      <c r="U177" s="397" t="s">
        <v>1066</v>
      </c>
      <c r="W177" s="397"/>
      <c r="X177" s="397" t="s">
        <v>805</v>
      </c>
      <c r="Y177" s="397"/>
      <c r="AA177" s="397" t="s">
        <v>907</v>
      </c>
      <c r="AB177" s="397"/>
      <c r="AH177" s="397" t="s">
        <v>908</v>
      </c>
      <c r="AK177" s="397" t="s">
        <v>747</v>
      </c>
      <c r="AL177" s="397" t="s">
        <v>86</v>
      </c>
      <c r="AM177" s="397" t="s">
        <v>909</v>
      </c>
      <c r="AN177" s="397"/>
      <c r="AQ177" s="397" t="s">
        <v>910</v>
      </c>
      <c r="AR177" s="397" t="s">
        <v>911</v>
      </c>
      <c r="AS177" s="406">
        <v>45748.790518935188</v>
      </c>
    </row>
    <row r="178" spans="1:45" x14ac:dyDescent="0.2">
      <c r="A178" s="404" t="s">
        <v>1071</v>
      </c>
      <c r="B178" s="397" t="s">
        <v>1072</v>
      </c>
      <c r="C178" s="397" t="s">
        <v>863</v>
      </c>
      <c r="D178" s="397" t="s">
        <v>901</v>
      </c>
      <c r="E178" s="397" t="s">
        <v>902</v>
      </c>
      <c r="F178" s="397" t="s">
        <v>726</v>
      </c>
      <c r="G178" s="405">
        <v>45740</v>
      </c>
      <c r="H178" s="397" t="s">
        <v>729</v>
      </c>
      <c r="I178" s="397" t="b">
        <v>0</v>
      </c>
      <c r="J178" s="397" t="s">
        <v>903</v>
      </c>
      <c r="L178" s="397" t="s">
        <v>749</v>
      </c>
      <c r="M178" s="397" t="s">
        <v>904</v>
      </c>
      <c r="N178" s="397">
        <v>0</v>
      </c>
      <c r="O178" s="397">
        <v>729.79</v>
      </c>
      <c r="P178" s="397" t="s">
        <v>905</v>
      </c>
      <c r="Q178" s="397">
        <v>0</v>
      </c>
      <c r="R178" s="397">
        <v>729.79</v>
      </c>
      <c r="S178" s="397">
        <v>-729.79</v>
      </c>
      <c r="T178" s="397" t="s">
        <v>905</v>
      </c>
      <c r="U178" s="397" t="s">
        <v>1065</v>
      </c>
      <c r="W178" s="397"/>
      <c r="X178" s="397" t="s">
        <v>805</v>
      </c>
      <c r="Y178" s="397"/>
      <c r="AA178" s="397" t="s">
        <v>907</v>
      </c>
      <c r="AB178" s="397"/>
      <c r="AH178" s="397" t="s">
        <v>908</v>
      </c>
      <c r="AK178" s="397" t="s">
        <v>849</v>
      </c>
      <c r="AL178" s="397" t="s">
        <v>81</v>
      </c>
      <c r="AM178" s="397" t="s">
        <v>913</v>
      </c>
      <c r="AN178" s="397"/>
      <c r="AQ178" s="397" t="s">
        <v>910</v>
      </c>
      <c r="AR178" s="397" t="s">
        <v>911</v>
      </c>
      <c r="AS178" s="406">
        <v>45748.790518935188</v>
      </c>
    </row>
    <row r="179" spans="1:45" x14ac:dyDescent="0.2">
      <c r="A179" s="404" t="s">
        <v>1071</v>
      </c>
      <c r="B179" s="397" t="s">
        <v>1072</v>
      </c>
      <c r="C179" s="397" t="s">
        <v>863</v>
      </c>
      <c r="D179" s="397" t="s">
        <v>901</v>
      </c>
      <c r="E179" s="397" t="s">
        <v>902</v>
      </c>
      <c r="F179" s="397" t="s">
        <v>726</v>
      </c>
      <c r="G179" s="405">
        <v>45740</v>
      </c>
      <c r="H179" s="397" t="s">
        <v>729</v>
      </c>
      <c r="I179" s="397" t="b">
        <v>0</v>
      </c>
      <c r="J179" s="397" t="s">
        <v>903</v>
      </c>
      <c r="L179" s="397" t="s">
        <v>749</v>
      </c>
      <c r="M179" s="397" t="s">
        <v>904</v>
      </c>
      <c r="N179" s="397">
        <v>0</v>
      </c>
      <c r="O179" s="397">
        <v>30909.27</v>
      </c>
      <c r="P179" s="397" t="s">
        <v>905</v>
      </c>
      <c r="Q179" s="397">
        <v>0</v>
      </c>
      <c r="R179" s="397">
        <v>30909.27</v>
      </c>
      <c r="S179" s="397">
        <v>-30909.27</v>
      </c>
      <c r="T179" s="397" t="s">
        <v>905</v>
      </c>
      <c r="U179" s="397" t="s">
        <v>1063</v>
      </c>
      <c r="W179" s="397"/>
      <c r="X179" s="397" t="s">
        <v>805</v>
      </c>
      <c r="Y179" s="397"/>
      <c r="AA179" s="397" t="s">
        <v>907</v>
      </c>
      <c r="AB179" s="397"/>
      <c r="AH179" s="397" t="s">
        <v>908</v>
      </c>
      <c r="AK179" s="397" t="s">
        <v>849</v>
      </c>
      <c r="AL179" s="397" t="s">
        <v>81</v>
      </c>
      <c r="AM179" s="397" t="s">
        <v>913</v>
      </c>
      <c r="AN179" s="397"/>
      <c r="AQ179" s="397" t="s">
        <v>910</v>
      </c>
      <c r="AR179" s="397" t="s">
        <v>911</v>
      </c>
      <c r="AS179" s="406">
        <v>45748.790518935188</v>
      </c>
    </row>
    <row r="180" spans="1:45" x14ac:dyDescent="0.2">
      <c r="A180" s="404" t="s">
        <v>1071</v>
      </c>
      <c r="B180" s="397" t="s">
        <v>1072</v>
      </c>
      <c r="C180" s="397" t="s">
        <v>863</v>
      </c>
      <c r="D180" s="397" t="s">
        <v>901</v>
      </c>
      <c r="E180" s="397" t="s">
        <v>902</v>
      </c>
      <c r="F180" s="397" t="s">
        <v>726</v>
      </c>
      <c r="G180" s="405">
        <v>45740</v>
      </c>
      <c r="H180" s="397" t="s">
        <v>729</v>
      </c>
      <c r="I180" s="397" t="b">
        <v>0</v>
      </c>
      <c r="J180" s="397" t="s">
        <v>903</v>
      </c>
      <c r="L180" s="397" t="s">
        <v>749</v>
      </c>
      <c r="M180" s="397" t="s">
        <v>904</v>
      </c>
      <c r="N180" s="397">
        <v>0</v>
      </c>
      <c r="O180" s="397">
        <v>5606.62</v>
      </c>
      <c r="P180" s="397" t="s">
        <v>905</v>
      </c>
      <c r="Q180" s="397">
        <v>0</v>
      </c>
      <c r="R180" s="397">
        <v>5606.62</v>
      </c>
      <c r="S180" s="397">
        <v>-5606.62</v>
      </c>
      <c r="T180" s="397" t="s">
        <v>905</v>
      </c>
      <c r="U180" s="397" t="s">
        <v>1064</v>
      </c>
      <c r="W180" s="397"/>
      <c r="X180" s="397" t="s">
        <v>805</v>
      </c>
      <c r="Y180" s="397"/>
      <c r="AA180" s="397" t="s">
        <v>907</v>
      </c>
      <c r="AB180" s="397"/>
      <c r="AH180" s="397" t="s">
        <v>990</v>
      </c>
      <c r="AK180" s="397" t="s">
        <v>849</v>
      </c>
      <c r="AL180" s="397" t="s">
        <v>81</v>
      </c>
      <c r="AM180" s="397" t="s">
        <v>913</v>
      </c>
      <c r="AN180" s="397"/>
      <c r="AQ180" s="397" t="s">
        <v>910</v>
      </c>
      <c r="AR180" s="397" t="s">
        <v>911</v>
      </c>
      <c r="AS180" s="406">
        <v>45748.790518935188</v>
      </c>
    </row>
    <row r="181" spans="1:45" x14ac:dyDescent="0.2">
      <c r="A181" s="404" t="s">
        <v>1073</v>
      </c>
      <c r="B181" s="397" t="s">
        <v>1074</v>
      </c>
      <c r="C181" s="397" t="s">
        <v>863</v>
      </c>
      <c r="D181" s="397" t="s">
        <v>901</v>
      </c>
      <c r="E181" s="397" t="s">
        <v>902</v>
      </c>
      <c r="F181" s="397" t="s">
        <v>726</v>
      </c>
      <c r="G181" s="405">
        <v>45747</v>
      </c>
      <c r="H181" s="397" t="s">
        <v>729</v>
      </c>
      <c r="I181" s="397" t="b">
        <v>1</v>
      </c>
      <c r="J181" s="397" t="s">
        <v>903</v>
      </c>
      <c r="L181" s="397" t="s">
        <v>749</v>
      </c>
      <c r="M181" s="397" t="s">
        <v>904</v>
      </c>
      <c r="N181" s="397">
        <v>0</v>
      </c>
      <c r="O181" s="397">
        <v>102442.22</v>
      </c>
      <c r="P181" s="397" t="s">
        <v>905</v>
      </c>
      <c r="Q181" s="397">
        <v>0</v>
      </c>
      <c r="R181" s="397">
        <v>102442.22</v>
      </c>
      <c r="S181" s="397">
        <v>-102442.22</v>
      </c>
      <c r="T181" s="397" t="s">
        <v>905</v>
      </c>
      <c r="U181" s="397" t="s">
        <v>1038</v>
      </c>
      <c r="W181" s="397"/>
      <c r="X181" s="397" t="s">
        <v>805</v>
      </c>
      <c r="Y181" s="397"/>
      <c r="AA181" s="397" t="s">
        <v>907</v>
      </c>
      <c r="AB181" s="397"/>
      <c r="AH181" s="397" t="s">
        <v>918</v>
      </c>
      <c r="AK181" s="397" t="s">
        <v>849</v>
      </c>
      <c r="AL181" s="397" t="s">
        <v>81</v>
      </c>
      <c r="AM181" s="397" t="s">
        <v>913</v>
      </c>
      <c r="AN181" s="397"/>
      <c r="AQ181" s="397" t="s">
        <v>910</v>
      </c>
      <c r="AR181" s="397" t="s">
        <v>911</v>
      </c>
      <c r="AS181" s="406">
        <v>45750.710058946759</v>
      </c>
    </row>
    <row r="182" spans="1:45" x14ac:dyDescent="0.2">
      <c r="A182" s="404" t="s">
        <v>1073</v>
      </c>
      <c r="B182" s="397" t="s">
        <v>1074</v>
      </c>
      <c r="C182" s="397" t="s">
        <v>863</v>
      </c>
      <c r="D182" s="397" t="s">
        <v>901</v>
      </c>
      <c r="E182" s="397" t="s">
        <v>902</v>
      </c>
      <c r="F182" s="397" t="s">
        <v>726</v>
      </c>
      <c r="G182" s="405">
        <v>45747</v>
      </c>
      <c r="H182" s="397" t="s">
        <v>729</v>
      </c>
      <c r="I182" s="397" t="b">
        <v>1</v>
      </c>
      <c r="J182" s="397" t="s">
        <v>903</v>
      </c>
      <c r="L182" s="397" t="s">
        <v>749</v>
      </c>
      <c r="M182" s="397" t="s">
        <v>904</v>
      </c>
      <c r="N182" s="397">
        <v>0</v>
      </c>
      <c r="O182" s="397">
        <v>52295.79</v>
      </c>
      <c r="P182" s="397" t="s">
        <v>905</v>
      </c>
      <c r="Q182" s="397">
        <v>0</v>
      </c>
      <c r="R182" s="397">
        <v>52295.79</v>
      </c>
      <c r="S182" s="397">
        <v>-52295.79</v>
      </c>
      <c r="T182" s="397" t="s">
        <v>905</v>
      </c>
      <c r="U182" s="397" t="s">
        <v>919</v>
      </c>
      <c r="W182" s="397"/>
      <c r="X182" s="397" t="s">
        <v>805</v>
      </c>
      <c r="Y182" s="397"/>
      <c r="AA182" s="397" t="s">
        <v>907</v>
      </c>
      <c r="AB182" s="397"/>
      <c r="AH182" s="397" t="s">
        <v>920</v>
      </c>
      <c r="AK182" s="397" t="s">
        <v>849</v>
      </c>
      <c r="AL182" s="397" t="s">
        <v>81</v>
      </c>
      <c r="AM182" s="397" t="s">
        <v>913</v>
      </c>
      <c r="AN182" s="397"/>
      <c r="AQ182" s="397" t="s">
        <v>910</v>
      </c>
      <c r="AR182" s="397" t="s">
        <v>911</v>
      </c>
      <c r="AS182" s="406">
        <v>45750.710058946759</v>
      </c>
    </row>
    <row r="183" spans="1:45" x14ac:dyDescent="0.2">
      <c r="A183" s="404" t="s">
        <v>1073</v>
      </c>
      <c r="B183" s="397" t="s">
        <v>1074</v>
      </c>
      <c r="C183" s="397" t="s">
        <v>863</v>
      </c>
      <c r="D183" s="397" t="s">
        <v>901</v>
      </c>
      <c r="E183" s="397" t="s">
        <v>902</v>
      </c>
      <c r="F183" s="397" t="s">
        <v>726</v>
      </c>
      <c r="G183" s="405">
        <v>45747</v>
      </c>
      <c r="H183" s="397" t="s">
        <v>729</v>
      </c>
      <c r="I183" s="397" t="b">
        <v>1</v>
      </c>
      <c r="J183" s="397" t="s">
        <v>903</v>
      </c>
      <c r="L183" s="397" t="s">
        <v>749</v>
      </c>
      <c r="M183" s="397" t="s">
        <v>904</v>
      </c>
      <c r="N183" s="397">
        <v>0</v>
      </c>
      <c r="O183" s="397">
        <v>132435.87</v>
      </c>
      <c r="P183" s="397" t="s">
        <v>905</v>
      </c>
      <c r="Q183" s="397">
        <v>0</v>
      </c>
      <c r="R183" s="397">
        <v>132435.87</v>
      </c>
      <c r="S183" s="397">
        <v>-132435.87</v>
      </c>
      <c r="T183" s="397" t="s">
        <v>905</v>
      </c>
      <c r="U183" s="397" t="s">
        <v>917</v>
      </c>
      <c r="W183" s="397"/>
      <c r="X183" s="397" t="s">
        <v>805</v>
      </c>
      <c r="Y183" s="397"/>
      <c r="AA183" s="397" t="s">
        <v>907</v>
      </c>
      <c r="AB183" s="397"/>
      <c r="AH183" s="397" t="s">
        <v>918</v>
      </c>
      <c r="AK183" s="397" t="s">
        <v>849</v>
      </c>
      <c r="AL183" s="397" t="s">
        <v>81</v>
      </c>
      <c r="AM183" s="397" t="s">
        <v>913</v>
      </c>
      <c r="AN183" s="397"/>
      <c r="AQ183" s="397" t="s">
        <v>910</v>
      </c>
      <c r="AR183" s="397" t="s">
        <v>911</v>
      </c>
      <c r="AS183" s="406">
        <v>45750.710058935183</v>
      </c>
    </row>
    <row r="184" spans="1:45" x14ac:dyDescent="0.2">
      <c r="A184" s="404" t="s">
        <v>1075</v>
      </c>
      <c r="B184" s="397" t="s">
        <v>1076</v>
      </c>
      <c r="C184" s="397" t="s">
        <v>863</v>
      </c>
      <c r="D184" s="397" t="s">
        <v>901</v>
      </c>
      <c r="E184" s="397" t="s">
        <v>902</v>
      </c>
      <c r="F184" s="397" t="s">
        <v>727</v>
      </c>
      <c r="G184" s="405">
        <v>45748</v>
      </c>
      <c r="H184" s="397" t="s">
        <v>729</v>
      </c>
      <c r="I184" s="397" t="b">
        <v>0</v>
      </c>
      <c r="J184" s="397" t="s">
        <v>903</v>
      </c>
      <c r="L184" s="397" t="s">
        <v>749</v>
      </c>
      <c r="M184" s="397" t="s">
        <v>904</v>
      </c>
      <c r="N184" s="397">
        <v>102442.22</v>
      </c>
      <c r="O184" s="397">
        <v>0</v>
      </c>
      <c r="P184" s="397" t="s">
        <v>905</v>
      </c>
      <c r="Q184" s="397">
        <v>102442.22</v>
      </c>
      <c r="R184" s="397">
        <v>0</v>
      </c>
      <c r="S184" s="397">
        <v>102442.22</v>
      </c>
      <c r="T184" s="397" t="s">
        <v>905</v>
      </c>
      <c r="U184" s="397" t="s">
        <v>1038</v>
      </c>
      <c r="W184" s="397"/>
      <c r="X184" s="397" t="s">
        <v>805</v>
      </c>
      <c r="Y184" s="397"/>
      <c r="AA184" s="397" t="s">
        <v>907</v>
      </c>
      <c r="AB184" s="397"/>
      <c r="AH184" s="397" t="s">
        <v>918</v>
      </c>
      <c r="AK184" s="397" t="s">
        <v>849</v>
      </c>
      <c r="AL184" s="397" t="s">
        <v>81</v>
      </c>
      <c r="AM184" s="397" t="s">
        <v>913</v>
      </c>
      <c r="AN184" s="397"/>
      <c r="AQ184" s="397" t="s">
        <v>910</v>
      </c>
      <c r="AR184" s="397" t="s">
        <v>911</v>
      </c>
      <c r="AS184" s="406">
        <v>45750.710269386575</v>
      </c>
    </row>
    <row r="185" spans="1:45" x14ac:dyDescent="0.2">
      <c r="A185" s="404" t="s">
        <v>1075</v>
      </c>
      <c r="B185" s="397" t="s">
        <v>1076</v>
      </c>
      <c r="C185" s="397" t="s">
        <v>863</v>
      </c>
      <c r="D185" s="397" t="s">
        <v>901</v>
      </c>
      <c r="E185" s="397" t="s">
        <v>902</v>
      </c>
      <c r="F185" s="397" t="s">
        <v>727</v>
      </c>
      <c r="G185" s="405">
        <v>45748</v>
      </c>
      <c r="H185" s="397" t="s">
        <v>729</v>
      </c>
      <c r="I185" s="397" t="b">
        <v>0</v>
      </c>
      <c r="J185" s="397" t="s">
        <v>903</v>
      </c>
      <c r="L185" s="397" t="s">
        <v>749</v>
      </c>
      <c r="M185" s="397" t="s">
        <v>904</v>
      </c>
      <c r="N185" s="397">
        <v>52295.79</v>
      </c>
      <c r="O185" s="397">
        <v>0</v>
      </c>
      <c r="P185" s="397" t="s">
        <v>905</v>
      </c>
      <c r="Q185" s="397">
        <v>52295.79</v>
      </c>
      <c r="R185" s="397">
        <v>0</v>
      </c>
      <c r="S185" s="397">
        <v>52295.79</v>
      </c>
      <c r="T185" s="397" t="s">
        <v>905</v>
      </c>
      <c r="U185" s="397" t="s">
        <v>919</v>
      </c>
      <c r="W185" s="397"/>
      <c r="X185" s="397" t="s">
        <v>805</v>
      </c>
      <c r="Y185" s="397"/>
      <c r="AA185" s="397" t="s">
        <v>907</v>
      </c>
      <c r="AB185" s="397"/>
      <c r="AH185" s="397" t="s">
        <v>920</v>
      </c>
      <c r="AK185" s="397" t="s">
        <v>849</v>
      </c>
      <c r="AL185" s="397" t="s">
        <v>81</v>
      </c>
      <c r="AM185" s="397" t="s">
        <v>913</v>
      </c>
      <c r="AN185" s="397"/>
      <c r="AQ185" s="397" t="s">
        <v>910</v>
      </c>
      <c r="AR185" s="397" t="s">
        <v>911</v>
      </c>
      <c r="AS185" s="406">
        <v>45750.710269386575</v>
      </c>
    </row>
    <row r="186" spans="1:45" x14ac:dyDescent="0.2">
      <c r="A186" s="404" t="s">
        <v>1075</v>
      </c>
      <c r="B186" s="397" t="s">
        <v>1076</v>
      </c>
      <c r="C186" s="397" t="s">
        <v>863</v>
      </c>
      <c r="D186" s="397" t="s">
        <v>901</v>
      </c>
      <c r="E186" s="397" t="s">
        <v>902</v>
      </c>
      <c r="F186" s="397" t="s">
        <v>727</v>
      </c>
      <c r="G186" s="405">
        <v>45748</v>
      </c>
      <c r="H186" s="397" t="s">
        <v>729</v>
      </c>
      <c r="I186" s="397" t="b">
        <v>0</v>
      </c>
      <c r="J186" s="397" t="s">
        <v>903</v>
      </c>
      <c r="L186" s="397" t="s">
        <v>749</v>
      </c>
      <c r="M186" s="397" t="s">
        <v>904</v>
      </c>
      <c r="N186" s="397">
        <v>132435.87</v>
      </c>
      <c r="O186" s="397">
        <v>0</v>
      </c>
      <c r="P186" s="397" t="s">
        <v>905</v>
      </c>
      <c r="Q186" s="397">
        <v>132435.87</v>
      </c>
      <c r="R186" s="397">
        <v>0</v>
      </c>
      <c r="S186" s="397">
        <v>132435.87</v>
      </c>
      <c r="T186" s="397" t="s">
        <v>905</v>
      </c>
      <c r="U186" s="397" t="s">
        <v>917</v>
      </c>
      <c r="W186" s="397"/>
      <c r="X186" s="397" t="s">
        <v>805</v>
      </c>
      <c r="Y186" s="397"/>
      <c r="AA186" s="397" t="s">
        <v>907</v>
      </c>
      <c r="AB186" s="397"/>
      <c r="AH186" s="397" t="s">
        <v>918</v>
      </c>
      <c r="AK186" s="397" t="s">
        <v>849</v>
      </c>
      <c r="AL186" s="397" t="s">
        <v>81</v>
      </c>
      <c r="AM186" s="397" t="s">
        <v>913</v>
      </c>
      <c r="AN186" s="397"/>
      <c r="AQ186" s="397" t="s">
        <v>910</v>
      </c>
      <c r="AR186" s="397" t="s">
        <v>911</v>
      </c>
      <c r="AS186" s="406">
        <v>45750.710269386575</v>
      </c>
    </row>
    <row r="187" spans="1:45" x14ac:dyDescent="0.2">
      <c r="A187" s="404" t="s">
        <v>1077</v>
      </c>
      <c r="B187" s="397" t="s">
        <v>1078</v>
      </c>
      <c r="C187" s="397" t="s">
        <v>863</v>
      </c>
      <c r="D187" s="397" t="s">
        <v>901</v>
      </c>
      <c r="E187" s="397" t="s">
        <v>902</v>
      </c>
      <c r="F187" s="397" t="s">
        <v>726</v>
      </c>
      <c r="G187" s="405">
        <v>45747</v>
      </c>
      <c r="H187" s="397" t="s">
        <v>729</v>
      </c>
      <c r="I187" s="397" t="b">
        <v>1</v>
      </c>
      <c r="J187" s="397" t="s">
        <v>903</v>
      </c>
      <c r="L187" s="397" t="s">
        <v>749</v>
      </c>
      <c r="M187" s="397" t="s">
        <v>904</v>
      </c>
      <c r="N187" s="397">
        <v>0</v>
      </c>
      <c r="O187" s="397">
        <v>6059.72</v>
      </c>
      <c r="P187" s="397" t="s">
        <v>905</v>
      </c>
      <c r="Q187" s="397">
        <v>0</v>
      </c>
      <c r="R187" s="397">
        <v>6059.72</v>
      </c>
      <c r="S187" s="397">
        <v>-6059.72</v>
      </c>
      <c r="T187" s="397" t="s">
        <v>905</v>
      </c>
      <c r="U187" s="397" t="s">
        <v>1079</v>
      </c>
      <c r="W187" s="397"/>
      <c r="X187" s="397" t="s">
        <v>805</v>
      </c>
      <c r="Y187" s="397"/>
      <c r="AA187" s="397" t="s">
        <v>907</v>
      </c>
      <c r="AB187" s="397"/>
      <c r="AH187" s="397" t="s">
        <v>990</v>
      </c>
      <c r="AK187" s="397" t="s">
        <v>849</v>
      </c>
      <c r="AL187" s="397" t="s">
        <v>81</v>
      </c>
      <c r="AM187" s="397" t="s">
        <v>913</v>
      </c>
      <c r="AN187" s="397"/>
      <c r="AQ187" s="397" t="s">
        <v>910</v>
      </c>
      <c r="AR187" s="397" t="s">
        <v>911</v>
      </c>
      <c r="AS187" s="406">
        <v>45750.729188981481</v>
      </c>
    </row>
    <row r="188" spans="1:45" x14ac:dyDescent="0.2">
      <c r="A188" s="404" t="s">
        <v>1077</v>
      </c>
      <c r="B188" s="397" t="s">
        <v>1078</v>
      </c>
      <c r="C188" s="397" t="s">
        <v>863</v>
      </c>
      <c r="D188" s="397" t="s">
        <v>901</v>
      </c>
      <c r="E188" s="397" t="s">
        <v>902</v>
      </c>
      <c r="F188" s="397" t="s">
        <v>726</v>
      </c>
      <c r="G188" s="405">
        <v>45747</v>
      </c>
      <c r="H188" s="397" t="s">
        <v>729</v>
      </c>
      <c r="I188" s="397" t="b">
        <v>1</v>
      </c>
      <c r="J188" s="397" t="s">
        <v>903</v>
      </c>
      <c r="L188" s="397" t="s">
        <v>749</v>
      </c>
      <c r="M188" s="397" t="s">
        <v>904</v>
      </c>
      <c r="N188" s="397">
        <v>0</v>
      </c>
      <c r="O188" s="397">
        <v>990.54</v>
      </c>
      <c r="P188" s="397" t="s">
        <v>905</v>
      </c>
      <c r="Q188" s="397">
        <v>0</v>
      </c>
      <c r="R188" s="397">
        <v>990.54</v>
      </c>
      <c r="S188" s="397">
        <v>-990.54</v>
      </c>
      <c r="T188" s="397" t="s">
        <v>905</v>
      </c>
      <c r="U188" s="397" t="s">
        <v>1080</v>
      </c>
      <c r="W188" s="397"/>
      <c r="X188" s="397" t="s">
        <v>805</v>
      </c>
      <c r="Y188" s="397"/>
      <c r="AA188" s="397" t="s">
        <v>907</v>
      </c>
      <c r="AB188" s="397"/>
      <c r="AH188" s="397" t="s">
        <v>908</v>
      </c>
      <c r="AK188" s="397" t="s">
        <v>747</v>
      </c>
      <c r="AL188" s="397" t="s">
        <v>86</v>
      </c>
      <c r="AM188" s="397" t="s">
        <v>909</v>
      </c>
      <c r="AN188" s="397"/>
      <c r="AQ188" s="397" t="s">
        <v>910</v>
      </c>
      <c r="AR188" s="397" t="s">
        <v>911</v>
      </c>
      <c r="AS188" s="406">
        <v>45750.729188981481</v>
      </c>
    </row>
    <row r="189" spans="1:45" x14ac:dyDescent="0.2">
      <c r="A189" s="404" t="s">
        <v>1077</v>
      </c>
      <c r="B189" s="397" t="s">
        <v>1078</v>
      </c>
      <c r="C189" s="397" t="s">
        <v>863</v>
      </c>
      <c r="D189" s="397" t="s">
        <v>901</v>
      </c>
      <c r="E189" s="397" t="s">
        <v>902</v>
      </c>
      <c r="F189" s="397" t="s">
        <v>726</v>
      </c>
      <c r="G189" s="405">
        <v>45747</v>
      </c>
      <c r="H189" s="397" t="s">
        <v>729</v>
      </c>
      <c r="I189" s="397" t="b">
        <v>1</v>
      </c>
      <c r="J189" s="397" t="s">
        <v>903</v>
      </c>
      <c r="L189" s="397" t="s">
        <v>749</v>
      </c>
      <c r="M189" s="397" t="s">
        <v>904</v>
      </c>
      <c r="N189" s="397">
        <v>0</v>
      </c>
      <c r="O189" s="397">
        <v>585.58000000000004</v>
      </c>
      <c r="P189" s="397" t="s">
        <v>905</v>
      </c>
      <c r="Q189" s="397">
        <v>0</v>
      </c>
      <c r="R189" s="397">
        <v>585.58000000000004</v>
      </c>
      <c r="S189" s="397">
        <v>-585.58000000000004</v>
      </c>
      <c r="T189" s="397" t="s">
        <v>905</v>
      </c>
      <c r="U189" s="397" t="s">
        <v>1081</v>
      </c>
      <c r="W189" s="397"/>
      <c r="X189" s="397" t="s">
        <v>805</v>
      </c>
      <c r="Y189" s="397"/>
      <c r="AA189" s="397" t="s">
        <v>907</v>
      </c>
      <c r="AB189" s="397"/>
      <c r="AH189" s="397" t="s">
        <v>908</v>
      </c>
      <c r="AK189" s="397" t="s">
        <v>849</v>
      </c>
      <c r="AL189" s="397" t="s">
        <v>81</v>
      </c>
      <c r="AM189" s="397" t="s">
        <v>913</v>
      </c>
      <c r="AN189" s="397"/>
      <c r="AQ189" s="397" t="s">
        <v>910</v>
      </c>
      <c r="AR189" s="397" t="s">
        <v>911</v>
      </c>
      <c r="AS189" s="406">
        <v>45750.729188981481</v>
      </c>
    </row>
    <row r="190" spans="1:45" x14ac:dyDescent="0.2">
      <c r="A190" s="404" t="s">
        <v>1077</v>
      </c>
      <c r="B190" s="397" t="s">
        <v>1078</v>
      </c>
      <c r="C190" s="397" t="s">
        <v>863</v>
      </c>
      <c r="D190" s="397" t="s">
        <v>901</v>
      </c>
      <c r="E190" s="397" t="s">
        <v>902</v>
      </c>
      <c r="F190" s="397" t="s">
        <v>726</v>
      </c>
      <c r="G190" s="405">
        <v>45747</v>
      </c>
      <c r="H190" s="397" t="s">
        <v>729</v>
      </c>
      <c r="I190" s="397" t="b">
        <v>1</v>
      </c>
      <c r="J190" s="397" t="s">
        <v>903</v>
      </c>
      <c r="L190" s="397" t="s">
        <v>749</v>
      </c>
      <c r="M190" s="397" t="s">
        <v>904</v>
      </c>
      <c r="N190" s="397">
        <v>0</v>
      </c>
      <c r="O190" s="397">
        <v>40071.120000000003</v>
      </c>
      <c r="P190" s="397" t="s">
        <v>905</v>
      </c>
      <c r="Q190" s="397">
        <v>0</v>
      </c>
      <c r="R190" s="397">
        <v>40071.120000000003</v>
      </c>
      <c r="S190" s="397">
        <v>-40071.120000000003</v>
      </c>
      <c r="T190" s="397" t="s">
        <v>905</v>
      </c>
      <c r="U190" s="397" t="s">
        <v>1082</v>
      </c>
      <c r="W190" s="397"/>
      <c r="X190" s="397" t="s">
        <v>805</v>
      </c>
      <c r="Y190" s="397"/>
      <c r="AA190" s="397" t="s">
        <v>907</v>
      </c>
      <c r="AB190" s="397"/>
      <c r="AH190" s="397" t="s">
        <v>908</v>
      </c>
      <c r="AK190" s="397" t="s">
        <v>849</v>
      </c>
      <c r="AL190" s="397" t="s">
        <v>81</v>
      </c>
      <c r="AM190" s="397" t="s">
        <v>913</v>
      </c>
      <c r="AN190" s="397"/>
      <c r="AQ190" s="397" t="s">
        <v>910</v>
      </c>
      <c r="AR190" s="397" t="s">
        <v>911</v>
      </c>
      <c r="AS190" s="406">
        <v>45750.729188981481</v>
      </c>
    </row>
    <row r="191" spans="1:45" x14ac:dyDescent="0.2">
      <c r="A191" s="404" t="s">
        <v>1077</v>
      </c>
      <c r="B191" s="397" t="s">
        <v>1078</v>
      </c>
      <c r="C191" s="397" t="s">
        <v>863</v>
      </c>
      <c r="D191" s="397" t="s">
        <v>901</v>
      </c>
      <c r="E191" s="397" t="s">
        <v>902</v>
      </c>
      <c r="F191" s="397" t="s">
        <v>726</v>
      </c>
      <c r="G191" s="405">
        <v>45747</v>
      </c>
      <c r="H191" s="397" t="s">
        <v>729</v>
      </c>
      <c r="I191" s="397" t="b">
        <v>1</v>
      </c>
      <c r="J191" s="397" t="s">
        <v>903</v>
      </c>
      <c r="L191" s="397" t="s">
        <v>749</v>
      </c>
      <c r="M191" s="397" t="s">
        <v>904</v>
      </c>
      <c r="N191" s="397">
        <v>525.41</v>
      </c>
      <c r="O191" s="397">
        <v>0</v>
      </c>
      <c r="P191" s="397" t="s">
        <v>905</v>
      </c>
      <c r="Q191" s="397">
        <v>525.41</v>
      </c>
      <c r="R191" s="397">
        <v>0</v>
      </c>
      <c r="S191" s="397">
        <v>525.41</v>
      </c>
      <c r="T191" s="397" t="s">
        <v>905</v>
      </c>
      <c r="U191" s="397" t="s">
        <v>1080</v>
      </c>
      <c r="W191" s="397"/>
      <c r="X191" s="397" t="s">
        <v>805</v>
      </c>
      <c r="Y191" s="397"/>
      <c r="AA191" s="397" t="s">
        <v>907</v>
      </c>
      <c r="AB191" s="397"/>
      <c r="AH191" s="397" t="s">
        <v>908</v>
      </c>
      <c r="AK191" s="397" t="s">
        <v>747</v>
      </c>
      <c r="AL191" s="397" t="s">
        <v>86</v>
      </c>
      <c r="AM191" s="397" t="s">
        <v>909</v>
      </c>
      <c r="AN191" s="397"/>
      <c r="AQ191" s="397" t="s">
        <v>910</v>
      </c>
      <c r="AR191" s="397" t="s">
        <v>911</v>
      </c>
      <c r="AS191" s="406">
        <v>45750.729188981481</v>
      </c>
    </row>
    <row r="192" spans="1:45" x14ac:dyDescent="0.2">
      <c r="A192" s="404" t="s">
        <v>1083</v>
      </c>
      <c r="B192" s="397" t="s">
        <v>1084</v>
      </c>
      <c r="C192" s="397" t="s">
        <v>863</v>
      </c>
      <c r="D192" s="397" t="s">
        <v>901</v>
      </c>
      <c r="E192" s="397" t="s">
        <v>902</v>
      </c>
      <c r="F192" s="397" t="s">
        <v>727</v>
      </c>
      <c r="G192" s="405">
        <v>45748</v>
      </c>
      <c r="H192" s="397" t="s">
        <v>729</v>
      </c>
      <c r="I192" s="397" t="b">
        <v>0</v>
      </c>
      <c r="J192" s="397" t="s">
        <v>903</v>
      </c>
      <c r="L192" s="397" t="s">
        <v>749</v>
      </c>
      <c r="M192" s="397" t="s">
        <v>904</v>
      </c>
      <c r="N192" s="397">
        <v>990.54</v>
      </c>
      <c r="O192" s="397">
        <v>0</v>
      </c>
      <c r="P192" s="397" t="s">
        <v>905</v>
      </c>
      <c r="Q192" s="397">
        <v>990.54</v>
      </c>
      <c r="R192" s="397">
        <v>0</v>
      </c>
      <c r="S192" s="397">
        <v>990.54</v>
      </c>
      <c r="T192" s="397" t="s">
        <v>905</v>
      </c>
      <c r="U192" s="397" t="s">
        <v>1080</v>
      </c>
      <c r="W192" s="397"/>
      <c r="X192" s="397" t="s">
        <v>805</v>
      </c>
      <c r="Y192" s="397"/>
      <c r="AA192" s="397" t="s">
        <v>907</v>
      </c>
      <c r="AB192" s="397"/>
      <c r="AH192" s="397" t="s">
        <v>908</v>
      </c>
      <c r="AK192" s="397" t="s">
        <v>747</v>
      </c>
      <c r="AL192" s="397" t="s">
        <v>86</v>
      </c>
      <c r="AM192" s="397" t="s">
        <v>909</v>
      </c>
      <c r="AN192" s="397"/>
      <c r="AQ192" s="397" t="s">
        <v>910</v>
      </c>
      <c r="AR192" s="397" t="s">
        <v>911</v>
      </c>
      <c r="AS192" s="406">
        <v>45750.729520393521</v>
      </c>
    </row>
    <row r="193" spans="1:45" x14ac:dyDescent="0.2">
      <c r="A193" s="404" t="s">
        <v>1083</v>
      </c>
      <c r="B193" s="397" t="s">
        <v>1084</v>
      </c>
      <c r="C193" s="397" t="s">
        <v>863</v>
      </c>
      <c r="D193" s="397" t="s">
        <v>901</v>
      </c>
      <c r="E193" s="397" t="s">
        <v>902</v>
      </c>
      <c r="F193" s="397" t="s">
        <v>727</v>
      </c>
      <c r="G193" s="405">
        <v>45748</v>
      </c>
      <c r="H193" s="397" t="s">
        <v>729</v>
      </c>
      <c r="I193" s="397" t="b">
        <v>0</v>
      </c>
      <c r="J193" s="397" t="s">
        <v>903</v>
      </c>
      <c r="L193" s="397" t="s">
        <v>749</v>
      </c>
      <c r="M193" s="397" t="s">
        <v>904</v>
      </c>
      <c r="N193" s="397">
        <v>585.58000000000004</v>
      </c>
      <c r="O193" s="397">
        <v>0</v>
      </c>
      <c r="P193" s="397" t="s">
        <v>905</v>
      </c>
      <c r="Q193" s="397">
        <v>585.58000000000004</v>
      </c>
      <c r="R193" s="397">
        <v>0</v>
      </c>
      <c r="S193" s="397">
        <v>585.58000000000004</v>
      </c>
      <c r="T193" s="397" t="s">
        <v>905</v>
      </c>
      <c r="U193" s="397" t="s">
        <v>1081</v>
      </c>
      <c r="W193" s="397"/>
      <c r="X193" s="397" t="s">
        <v>805</v>
      </c>
      <c r="Y193" s="397"/>
      <c r="AA193" s="397" t="s">
        <v>907</v>
      </c>
      <c r="AB193" s="397"/>
      <c r="AH193" s="397" t="s">
        <v>908</v>
      </c>
      <c r="AK193" s="397" t="s">
        <v>849</v>
      </c>
      <c r="AL193" s="397" t="s">
        <v>81</v>
      </c>
      <c r="AM193" s="397" t="s">
        <v>913</v>
      </c>
      <c r="AN193" s="397"/>
      <c r="AQ193" s="397" t="s">
        <v>910</v>
      </c>
      <c r="AR193" s="397" t="s">
        <v>911</v>
      </c>
      <c r="AS193" s="406">
        <v>45750.729520393521</v>
      </c>
    </row>
    <row r="194" spans="1:45" x14ac:dyDescent="0.2">
      <c r="A194" s="404" t="s">
        <v>1083</v>
      </c>
      <c r="B194" s="397" t="s">
        <v>1084</v>
      </c>
      <c r="C194" s="397" t="s">
        <v>863</v>
      </c>
      <c r="D194" s="397" t="s">
        <v>901</v>
      </c>
      <c r="E194" s="397" t="s">
        <v>902</v>
      </c>
      <c r="F194" s="397" t="s">
        <v>727</v>
      </c>
      <c r="G194" s="405">
        <v>45748</v>
      </c>
      <c r="H194" s="397" t="s">
        <v>729</v>
      </c>
      <c r="I194" s="397" t="b">
        <v>0</v>
      </c>
      <c r="J194" s="397" t="s">
        <v>903</v>
      </c>
      <c r="L194" s="397" t="s">
        <v>749</v>
      </c>
      <c r="M194" s="397" t="s">
        <v>904</v>
      </c>
      <c r="N194" s="397">
        <v>40071.120000000003</v>
      </c>
      <c r="O194" s="397">
        <v>0</v>
      </c>
      <c r="P194" s="397" t="s">
        <v>905</v>
      </c>
      <c r="Q194" s="397">
        <v>40071.120000000003</v>
      </c>
      <c r="R194" s="397">
        <v>0</v>
      </c>
      <c r="S194" s="397">
        <v>40071.120000000003</v>
      </c>
      <c r="T194" s="397" t="s">
        <v>905</v>
      </c>
      <c r="U194" s="397" t="s">
        <v>1082</v>
      </c>
      <c r="W194" s="397"/>
      <c r="X194" s="397" t="s">
        <v>805</v>
      </c>
      <c r="Y194" s="397"/>
      <c r="AA194" s="397" t="s">
        <v>907</v>
      </c>
      <c r="AB194" s="397"/>
      <c r="AH194" s="397" t="s">
        <v>908</v>
      </c>
      <c r="AK194" s="397" t="s">
        <v>849</v>
      </c>
      <c r="AL194" s="397" t="s">
        <v>81</v>
      </c>
      <c r="AM194" s="397" t="s">
        <v>913</v>
      </c>
      <c r="AN194" s="397"/>
      <c r="AQ194" s="397" t="s">
        <v>910</v>
      </c>
      <c r="AR194" s="397" t="s">
        <v>911</v>
      </c>
      <c r="AS194" s="406">
        <v>45750.729520393521</v>
      </c>
    </row>
    <row r="195" spans="1:45" x14ac:dyDescent="0.2">
      <c r="A195" s="404" t="s">
        <v>1083</v>
      </c>
      <c r="B195" s="397" t="s">
        <v>1084</v>
      </c>
      <c r="C195" s="397" t="s">
        <v>863</v>
      </c>
      <c r="D195" s="397" t="s">
        <v>901</v>
      </c>
      <c r="E195" s="397" t="s">
        <v>902</v>
      </c>
      <c r="F195" s="397" t="s">
        <v>727</v>
      </c>
      <c r="G195" s="405">
        <v>45748</v>
      </c>
      <c r="H195" s="397" t="s">
        <v>729</v>
      </c>
      <c r="I195" s="397" t="b">
        <v>0</v>
      </c>
      <c r="J195" s="397" t="s">
        <v>903</v>
      </c>
      <c r="L195" s="397" t="s">
        <v>749</v>
      </c>
      <c r="M195" s="397" t="s">
        <v>904</v>
      </c>
      <c r="N195" s="397">
        <v>0</v>
      </c>
      <c r="O195" s="397">
        <v>525.41</v>
      </c>
      <c r="P195" s="397" t="s">
        <v>905</v>
      </c>
      <c r="Q195" s="397">
        <v>0</v>
      </c>
      <c r="R195" s="397">
        <v>525.41</v>
      </c>
      <c r="S195" s="397">
        <v>-525.41</v>
      </c>
      <c r="T195" s="397" t="s">
        <v>905</v>
      </c>
      <c r="U195" s="397" t="s">
        <v>1080</v>
      </c>
      <c r="W195" s="397"/>
      <c r="X195" s="397" t="s">
        <v>805</v>
      </c>
      <c r="Y195" s="397"/>
      <c r="AA195" s="397" t="s">
        <v>907</v>
      </c>
      <c r="AB195" s="397"/>
      <c r="AH195" s="397" t="s">
        <v>908</v>
      </c>
      <c r="AK195" s="397" t="s">
        <v>747</v>
      </c>
      <c r="AL195" s="397" t="s">
        <v>86</v>
      </c>
      <c r="AM195" s="397" t="s">
        <v>909</v>
      </c>
      <c r="AN195" s="397"/>
      <c r="AQ195" s="397" t="s">
        <v>910</v>
      </c>
      <c r="AR195" s="397" t="s">
        <v>911</v>
      </c>
      <c r="AS195" s="406">
        <v>45750.729520393521</v>
      </c>
    </row>
    <row r="196" spans="1:45" x14ac:dyDescent="0.2">
      <c r="A196" s="404" t="s">
        <v>1083</v>
      </c>
      <c r="B196" s="397" t="s">
        <v>1084</v>
      </c>
      <c r="C196" s="397" t="s">
        <v>863</v>
      </c>
      <c r="D196" s="397" t="s">
        <v>901</v>
      </c>
      <c r="E196" s="397" t="s">
        <v>902</v>
      </c>
      <c r="F196" s="397" t="s">
        <v>727</v>
      </c>
      <c r="G196" s="405">
        <v>45748</v>
      </c>
      <c r="H196" s="397" t="s">
        <v>729</v>
      </c>
      <c r="I196" s="397" t="b">
        <v>0</v>
      </c>
      <c r="J196" s="397" t="s">
        <v>903</v>
      </c>
      <c r="L196" s="397" t="s">
        <v>749</v>
      </c>
      <c r="M196" s="397" t="s">
        <v>904</v>
      </c>
      <c r="N196" s="397">
        <v>6059.72</v>
      </c>
      <c r="O196" s="397">
        <v>0</v>
      </c>
      <c r="P196" s="397" t="s">
        <v>905</v>
      </c>
      <c r="Q196" s="397">
        <v>6059.72</v>
      </c>
      <c r="R196" s="397">
        <v>0</v>
      </c>
      <c r="S196" s="397">
        <v>6059.72</v>
      </c>
      <c r="T196" s="397" t="s">
        <v>905</v>
      </c>
      <c r="U196" s="397" t="s">
        <v>1079</v>
      </c>
      <c r="W196" s="397"/>
      <c r="X196" s="397" t="s">
        <v>805</v>
      </c>
      <c r="Y196" s="397"/>
      <c r="AA196" s="397" t="s">
        <v>907</v>
      </c>
      <c r="AB196" s="397"/>
      <c r="AH196" s="397" t="s">
        <v>990</v>
      </c>
      <c r="AK196" s="397" t="s">
        <v>849</v>
      </c>
      <c r="AL196" s="397" t="s">
        <v>81</v>
      </c>
      <c r="AM196" s="397" t="s">
        <v>913</v>
      </c>
      <c r="AN196" s="397"/>
      <c r="AQ196" s="397" t="s">
        <v>910</v>
      </c>
      <c r="AR196" s="397" t="s">
        <v>911</v>
      </c>
      <c r="AS196" s="406">
        <v>45750.729520393521</v>
      </c>
    </row>
    <row r="197" spans="1:45" x14ac:dyDescent="0.2">
      <c r="A197" s="404" t="s">
        <v>1085</v>
      </c>
      <c r="B197" s="397" t="s">
        <v>1086</v>
      </c>
      <c r="C197" s="397" t="s">
        <v>863</v>
      </c>
      <c r="D197" s="397" t="s">
        <v>923</v>
      </c>
      <c r="E197" s="397" t="s">
        <v>902</v>
      </c>
      <c r="F197" s="397" t="s">
        <v>727</v>
      </c>
      <c r="G197" s="405">
        <v>45775</v>
      </c>
      <c r="H197" s="397" t="s">
        <v>729</v>
      </c>
      <c r="I197" s="397" t="b">
        <v>0</v>
      </c>
      <c r="J197" s="397" t="s">
        <v>903</v>
      </c>
      <c r="L197" s="397" t="s">
        <v>749</v>
      </c>
      <c r="M197" s="397" t="s">
        <v>904</v>
      </c>
      <c r="N197" s="397">
        <v>0</v>
      </c>
      <c r="O197" s="397">
        <v>152.94999999999999</v>
      </c>
      <c r="P197" s="397" t="s">
        <v>905</v>
      </c>
      <c r="Q197" s="397">
        <v>0</v>
      </c>
      <c r="R197" s="397">
        <v>152.94999999999999</v>
      </c>
      <c r="S197" s="397">
        <v>-152.94999999999999</v>
      </c>
      <c r="T197" s="397" t="s">
        <v>905</v>
      </c>
      <c r="U197" s="397" t="s">
        <v>924</v>
      </c>
      <c r="W197" s="397"/>
      <c r="X197" s="397" t="s">
        <v>805</v>
      </c>
      <c r="Y197" s="397"/>
      <c r="AA197" s="397" t="s">
        <v>907</v>
      </c>
      <c r="AB197" s="397"/>
      <c r="AH197" s="397" t="s">
        <v>925</v>
      </c>
      <c r="AK197" s="397" t="s">
        <v>849</v>
      </c>
      <c r="AL197" s="397" t="s">
        <v>81</v>
      </c>
      <c r="AM197" s="397" t="s">
        <v>913</v>
      </c>
      <c r="AN197" s="397"/>
      <c r="AQ197" s="397" t="s">
        <v>910</v>
      </c>
      <c r="AR197" s="397" t="s">
        <v>911</v>
      </c>
      <c r="AS197" s="406">
        <v>45775.434865856485</v>
      </c>
    </row>
    <row r="198" spans="1:45" x14ac:dyDescent="0.2">
      <c r="A198" s="404" t="s">
        <v>1085</v>
      </c>
      <c r="B198" s="397" t="s">
        <v>1086</v>
      </c>
      <c r="C198" s="397" t="s">
        <v>863</v>
      </c>
      <c r="D198" s="397" t="s">
        <v>923</v>
      </c>
      <c r="E198" s="397" t="s">
        <v>902</v>
      </c>
      <c r="F198" s="397" t="s">
        <v>727</v>
      </c>
      <c r="G198" s="405">
        <v>45775</v>
      </c>
      <c r="H198" s="397" t="s">
        <v>729</v>
      </c>
      <c r="I198" s="397" t="b">
        <v>0</v>
      </c>
      <c r="J198" s="397" t="s">
        <v>903</v>
      </c>
      <c r="L198" s="397" t="s">
        <v>749</v>
      </c>
      <c r="M198" s="397" t="s">
        <v>904</v>
      </c>
      <c r="N198" s="397">
        <v>0</v>
      </c>
      <c r="O198" s="397">
        <v>92534.75</v>
      </c>
      <c r="P198" s="397" t="s">
        <v>905</v>
      </c>
      <c r="Q198" s="397">
        <v>0</v>
      </c>
      <c r="R198" s="397">
        <v>92534.75</v>
      </c>
      <c r="S198" s="397">
        <v>-92534.75</v>
      </c>
      <c r="T198" s="397" t="s">
        <v>905</v>
      </c>
      <c r="U198" s="397" t="s">
        <v>919</v>
      </c>
      <c r="W198" s="397"/>
      <c r="X198" s="397" t="s">
        <v>805</v>
      </c>
      <c r="Y198" s="397"/>
      <c r="AA198" s="397" t="s">
        <v>907</v>
      </c>
      <c r="AB198" s="397"/>
      <c r="AH198" s="397" t="s">
        <v>920</v>
      </c>
      <c r="AK198" s="397" t="s">
        <v>849</v>
      </c>
      <c r="AL198" s="397" t="s">
        <v>81</v>
      </c>
      <c r="AM198" s="397" t="s">
        <v>913</v>
      </c>
      <c r="AN198" s="397"/>
      <c r="AQ198" s="397" t="s">
        <v>910</v>
      </c>
      <c r="AR198" s="397" t="s">
        <v>911</v>
      </c>
      <c r="AS198" s="406">
        <v>45775.434865856485</v>
      </c>
    </row>
    <row r="199" spans="1:45" x14ac:dyDescent="0.2">
      <c r="A199" s="404" t="s">
        <v>1085</v>
      </c>
      <c r="B199" s="397" t="s">
        <v>1086</v>
      </c>
      <c r="C199" s="397" t="s">
        <v>863</v>
      </c>
      <c r="D199" s="397" t="s">
        <v>923</v>
      </c>
      <c r="E199" s="397" t="s">
        <v>902</v>
      </c>
      <c r="F199" s="397" t="s">
        <v>727</v>
      </c>
      <c r="G199" s="405">
        <v>45775</v>
      </c>
      <c r="H199" s="397" t="s">
        <v>729</v>
      </c>
      <c r="I199" s="397" t="b">
        <v>0</v>
      </c>
      <c r="J199" s="397" t="s">
        <v>903</v>
      </c>
      <c r="L199" s="397" t="s">
        <v>749</v>
      </c>
      <c r="M199" s="397" t="s">
        <v>904</v>
      </c>
      <c r="N199" s="397">
        <v>0</v>
      </c>
      <c r="O199" s="397">
        <v>91379.7</v>
      </c>
      <c r="P199" s="397" t="s">
        <v>905</v>
      </c>
      <c r="Q199" s="397">
        <v>0</v>
      </c>
      <c r="R199" s="397">
        <v>91379.7</v>
      </c>
      <c r="S199" s="397">
        <v>-91379.7</v>
      </c>
      <c r="T199" s="397" t="s">
        <v>905</v>
      </c>
      <c r="U199" s="397" t="s">
        <v>917</v>
      </c>
      <c r="W199" s="397"/>
      <c r="X199" s="397" t="s">
        <v>805</v>
      </c>
      <c r="Y199" s="397"/>
      <c r="AA199" s="397" t="s">
        <v>907</v>
      </c>
      <c r="AB199" s="397"/>
      <c r="AH199" s="397" t="s">
        <v>918</v>
      </c>
      <c r="AK199" s="397" t="s">
        <v>849</v>
      </c>
      <c r="AL199" s="397" t="s">
        <v>81</v>
      </c>
      <c r="AM199" s="397" t="s">
        <v>913</v>
      </c>
      <c r="AN199" s="397"/>
      <c r="AQ199" s="397" t="s">
        <v>910</v>
      </c>
      <c r="AR199" s="397" t="s">
        <v>911</v>
      </c>
      <c r="AS199" s="406">
        <v>45775.434865856485</v>
      </c>
    </row>
    <row r="200" spans="1:45" x14ac:dyDescent="0.2">
      <c r="A200" s="404" t="s">
        <v>1085</v>
      </c>
      <c r="B200" s="397" t="s">
        <v>1086</v>
      </c>
      <c r="C200" s="397" t="s">
        <v>863</v>
      </c>
      <c r="D200" s="397" t="s">
        <v>923</v>
      </c>
      <c r="E200" s="397" t="s">
        <v>902</v>
      </c>
      <c r="F200" s="397" t="s">
        <v>727</v>
      </c>
      <c r="G200" s="405">
        <v>45775</v>
      </c>
      <c r="H200" s="397" t="s">
        <v>729</v>
      </c>
      <c r="I200" s="397" t="b">
        <v>0</v>
      </c>
      <c r="J200" s="397" t="s">
        <v>903</v>
      </c>
      <c r="L200" s="397" t="s">
        <v>749</v>
      </c>
      <c r="M200" s="397" t="s">
        <v>904</v>
      </c>
      <c r="N200" s="397">
        <v>0</v>
      </c>
      <c r="O200" s="397">
        <v>102442.22</v>
      </c>
      <c r="P200" s="397" t="s">
        <v>905</v>
      </c>
      <c r="Q200" s="397">
        <v>0</v>
      </c>
      <c r="R200" s="397">
        <v>102442.22</v>
      </c>
      <c r="S200" s="397">
        <v>-102442.22</v>
      </c>
      <c r="T200" s="397" t="s">
        <v>905</v>
      </c>
      <c r="U200" s="397" t="s">
        <v>1038</v>
      </c>
      <c r="W200" s="397"/>
      <c r="X200" s="397" t="s">
        <v>805</v>
      </c>
      <c r="Y200" s="397"/>
      <c r="AA200" s="397" t="s">
        <v>907</v>
      </c>
      <c r="AB200" s="397"/>
      <c r="AH200" s="397" t="s">
        <v>918</v>
      </c>
      <c r="AK200" s="397" t="s">
        <v>849</v>
      </c>
      <c r="AL200" s="397" t="s">
        <v>81</v>
      </c>
      <c r="AM200" s="397" t="s">
        <v>913</v>
      </c>
      <c r="AN200" s="397"/>
      <c r="AQ200" s="397" t="s">
        <v>910</v>
      </c>
      <c r="AR200" s="397" t="s">
        <v>911</v>
      </c>
      <c r="AS200" s="406">
        <v>45775.434865856485</v>
      </c>
    </row>
    <row r="201" spans="1:45" x14ac:dyDescent="0.2">
      <c r="A201" s="404" t="s">
        <v>1087</v>
      </c>
      <c r="B201" s="397" t="s">
        <v>1088</v>
      </c>
      <c r="C201" s="397" t="s">
        <v>863</v>
      </c>
      <c r="D201" s="397" t="s">
        <v>901</v>
      </c>
      <c r="E201" s="397" t="s">
        <v>902</v>
      </c>
      <c r="F201" s="397" t="s">
        <v>727</v>
      </c>
      <c r="G201" s="405">
        <v>45775</v>
      </c>
      <c r="H201" s="397" t="s">
        <v>729</v>
      </c>
      <c r="I201" s="397" t="b">
        <v>0</v>
      </c>
      <c r="J201" s="397" t="s">
        <v>903</v>
      </c>
      <c r="L201" s="397" t="s">
        <v>749</v>
      </c>
      <c r="M201" s="397" t="s">
        <v>904</v>
      </c>
      <c r="N201" s="397">
        <v>0</v>
      </c>
      <c r="O201" s="397">
        <v>990.54</v>
      </c>
      <c r="P201" s="397" t="s">
        <v>905</v>
      </c>
      <c r="Q201" s="397">
        <v>0</v>
      </c>
      <c r="R201" s="397">
        <v>990.54</v>
      </c>
      <c r="S201" s="397">
        <v>-990.54</v>
      </c>
      <c r="T201" s="397" t="s">
        <v>905</v>
      </c>
      <c r="U201" s="397" t="s">
        <v>1080</v>
      </c>
      <c r="W201" s="397"/>
      <c r="X201" s="397" t="s">
        <v>805</v>
      </c>
      <c r="Y201" s="397"/>
      <c r="AA201" s="397" t="s">
        <v>907</v>
      </c>
      <c r="AB201" s="397"/>
      <c r="AH201" s="397" t="s">
        <v>908</v>
      </c>
      <c r="AK201" s="397" t="s">
        <v>747</v>
      </c>
      <c r="AL201" s="397" t="s">
        <v>86</v>
      </c>
      <c r="AM201" s="397" t="s">
        <v>909</v>
      </c>
      <c r="AN201" s="397"/>
      <c r="AQ201" s="397" t="s">
        <v>910</v>
      </c>
      <c r="AR201" s="397" t="s">
        <v>911</v>
      </c>
      <c r="AS201" s="406">
        <v>45778.386611099537</v>
      </c>
    </row>
    <row r="202" spans="1:45" x14ac:dyDescent="0.2">
      <c r="A202" s="404" t="s">
        <v>1087</v>
      </c>
      <c r="B202" s="397" t="s">
        <v>1088</v>
      </c>
      <c r="C202" s="397" t="s">
        <v>863</v>
      </c>
      <c r="D202" s="397" t="s">
        <v>901</v>
      </c>
      <c r="E202" s="397" t="s">
        <v>902</v>
      </c>
      <c r="F202" s="397" t="s">
        <v>727</v>
      </c>
      <c r="G202" s="405">
        <v>45775</v>
      </c>
      <c r="H202" s="397" t="s">
        <v>729</v>
      </c>
      <c r="I202" s="397" t="b">
        <v>0</v>
      </c>
      <c r="J202" s="397" t="s">
        <v>903</v>
      </c>
      <c r="L202" s="397" t="s">
        <v>749</v>
      </c>
      <c r="M202" s="397" t="s">
        <v>904</v>
      </c>
      <c r="N202" s="397">
        <v>0</v>
      </c>
      <c r="O202" s="397">
        <v>860.89</v>
      </c>
      <c r="P202" s="397" t="s">
        <v>905</v>
      </c>
      <c r="Q202" s="397">
        <v>0</v>
      </c>
      <c r="R202" s="397">
        <v>860.89</v>
      </c>
      <c r="S202" s="397">
        <v>-860.89</v>
      </c>
      <c r="T202" s="397" t="s">
        <v>905</v>
      </c>
      <c r="U202" s="397" t="s">
        <v>1081</v>
      </c>
      <c r="W202" s="397"/>
      <c r="X202" s="397" t="s">
        <v>805</v>
      </c>
      <c r="Y202" s="397"/>
      <c r="AA202" s="397" t="s">
        <v>907</v>
      </c>
      <c r="AB202" s="397"/>
      <c r="AH202" s="397" t="s">
        <v>908</v>
      </c>
      <c r="AK202" s="397" t="s">
        <v>849</v>
      </c>
      <c r="AL202" s="397" t="s">
        <v>81</v>
      </c>
      <c r="AM202" s="397" t="s">
        <v>913</v>
      </c>
      <c r="AN202" s="397"/>
      <c r="AQ202" s="397" t="s">
        <v>910</v>
      </c>
      <c r="AR202" s="397" t="s">
        <v>911</v>
      </c>
      <c r="AS202" s="406">
        <v>45778.386611099537</v>
      </c>
    </row>
    <row r="203" spans="1:45" x14ac:dyDescent="0.2">
      <c r="A203" s="404" t="s">
        <v>1087</v>
      </c>
      <c r="B203" s="397" t="s">
        <v>1088</v>
      </c>
      <c r="C203" s="397" t="s">
        <v>863</v>
      </c>
      <c r="D203" s="397" t="s">
        <v>901</v>
      </c>
      <c r="E203" s="397" t="s">
        <v>902</v>
      </c>
      <c r="F203" s="397" t="s">
        <v>727</v>
      </c>
      <c r="G203" s="405">
        <v>45775</v>
      </c>
      <c r="H203" s="397" t="s">
        <v>729</v>
      </c>
      <c r="I203" s="397" t="b">
        <v>0</v>
      </c>
      <c r="J203" s="397" t="s">
        <v>903</v>
      </c>
      <c r="L203" s="397" t="s">
        <v>749</v>
      </c>
      <c r="M203" s="397" t="s">
        <v>904</v>
      </c>
      <c r="N203" s="397">
        <v>0</v>
      </c>
      <c r="O203" s="397">
        <v>40071.120000000003</v>
      </c>
      <c r="P203" s="397" t="s">
        <v>905</v>
      </c>
      <c r="Q203" s="397">
        <v>0</v>
      </c>
      <c r="R203" s="397">
        <v>40071.120000000003</v>
      </c>
      <c r="S203" s="397">
        <v>-40071.120000000003</v>
      </c>
      <c r="T203" s="397" t="s">
        <v>905</v>
      </c>
      <c r="U203" s="397" t="s">
        <v>1082</v>
      </c>
      <c r="W203" s="397"/>
      <c r="X203" s="397" t="s">
        <v>805</v>
      </c>
      <c r="Y203" s="397"/>
      <c r="AA203" s="397" t="s">
        <v>907</v>
      </c>
      <c r="AB203" s="397"/>
      <c r="AH203" s="397" t="s">
        <v>908</v>
      </c>
      <c r="AK203" s="397" t="s">
        <v>849</v>
      </c>
      <c r="AL203" s="397" t="s">
        <v>81</v>
      </c>
      <c r="AM203" s="397" t="s">
        <v>913</v>
      </c>
      <c r="AN203" s="397"/>
      <c r="AQ203" s="397" t="s">
        <v>910</v>
      </c>
      <c r="AR203" s="397" t="s">
        <v>911</v>
      </c>
      <c r="AS203" s="406">
        <v>45778.386611099537</v>
      </c>
    </row>
    <row r="204" spans="1:45" x14ac:dyDescent="0.2">
      <c r="A204" s="404" t="s">
        <v>1087</v>
      </c>
      <c r="B204" s="397" t="s">
        <v>1088</v>
      </c>
      <c r="C204" s="397" t="s">
        <v>863</v>
      </c>
      <c r="D204" s="397" t="s">
        <v>901</v>
      </c>
      <c r="E204" s="397" t="s">
        <v>902</v>
      </c>
      <c r="F204" s="397" t="s">
        <v>727</v>
      </c>
      <c r="G204" s="405">
        <v>45775</v>
      </c>
      <c r="H204" s="397" t="s">
        <v>729</v>
      </c>
      <c r="I204" s="397" t="b">
        <v>0</v>
      </c>
      <c r="J204" s="397" t="s">
        <v>903</v>
      </c>
      <c r="L204" s="397" t="s">
        <v>749</v>
      </c>
      <c r="M204" s="397" t="s">
        <v>904</v>
      </c>
      <c r="N204" s="397">
        <v>525.41</v>
      </c>
      <c r="O204" s="397">
        <v>0</v>
      </c>
      <c r="P204" s="397" t="s">
        <v>905</v>
      </c>
      <c r="Q204" s="397">
        <v>525.41</v>
      </c>
      <c r="R204" s="397">
        <v>0</v>
      </c>
      <c r="S204" s="397">
        <v>525.41</v>
      </c>
      <c r="T204" s="397" t="s">
        <v>905</v>
      </c>
      <c r="U204" s="397" t="s">
        <v>1080</v>
      </c>
      <c r="W204" s="397"/>
      <c r="X204" s="397" t="s">
        <v>805</v>
      </c>
      <c r="Y204" s="397"/>
      <c r="AA204" s="397" t="s">
        <v>907</v>
      </c>
      <c r="AB204" s="397"/>
      <c r="AH204" s="397" t="s">
        <v>908</v>
      </c>
      <c r="AK204" s="397" t="s">
        <v>747</v>
      </c>
      <c r="AL204" s="397" t="s">
        <v>86</v>
      </c>
      <c r="AM204" s="397" t="s">
        <v>909</v>
      </c>
      <c r="AN204" s="397"/>
      <c r="AQ204" s="397" t="s">
        <v>910</v>
      </c>
      <c r="AR204" s="397" t="s">
        <v>911</v>
      </c>
      <c r="AS204" s="406">
        <v>45778.386611099537</v>
      </c>
    </row>
    <row r="205" spans="1:45" x14ac:dyDescent="0.2">
      <c r="A205" s="404" t="s">
        <v>1087</v>
      </c>
      <c r="B205" s="397" t="s">
        <v>1088</v>
      </c>
      <c r="C205" s="397" t="s">
        <v>863</v>
      </c>
      <c r="D205" s="397" t="s">
        <v>901</v>
      </c>
      <c r="E205" s="397" t="s">
        <v>902</v>
      </c>
      <c r="F205" s="397" t="s">
        <v>727</v>
      </c>
      <c r="G205" s="405">
        <v>45775</v>
      </c>
      <c r="H205" s="397" t="s">
        <v>729</v>
      </c>
      <c r="I205" s="397" t="b">
        <v>0</v>
      </c>
      <c r="J205" s="397" t="s">
        <v>903</v>
      </c>
      <c r="L205" s="397" t="s">
        <v>749</v>
      </c>
      <c r="M205" s="397" t="s">
        <v>904</v>
      </c>
      <c r="N205" s="397">
        <v>0</v>
      </c>
      <c r="O205" s="397">
        <v>6398.56</v>
      </c>
      <c r="P205" s="397" t="s">
        <v>905</v>
      </c>
      <c r="Q205" s="397">
        <v>0</v>
      </c>
      <c r="R205" s="397">
        <v>6398.56</v>
      </c>
      <c r="S205" s="397">
        <v>-6398.56</v>
      </c>
      <c r="T205" s="397" t="s">
        <v>905</v>
      </c>
      <c r="U205" s="397" t="s">
        <v>1079</v>
      </c>
      <c r="W205" s="397"/>
      <c r="X205" s="397" t="s">
        <v>805</v>
      </c>
      <c r="Y205" s="397"/>
      <c r="AA205" s="397" t="s">
        <v>907</v>
      </c>
      <c r="AB205" s="397"/>
      <c r="AH205" s="397" t="s">
        <v>990</v>
      </c>
      <c r="AK205" s="397" t="s">
        <v>849</v>
      </c>
      <c r="AL205" s="397" t="s">
        <v>81</v>
      </c>
      <c r="AM205" s="397" t="s">
        <v>913</v>
      </c>
      <c r="AN205" s="397"/>
      <c r="AQ205" s="397" t="s">
        <v>910</v>
      </c>
      <c r="AR205" s="397" t="s">
        <v>911</v>
      </c>
      <c r="AS205" s="406">
        <v>45778.386611099537</v>
      </c>
    </row>
    <row r="206" spans="1:45" x14ac:dyDescent="0.2">
      <c r="A206" s="404" t="s">
        <v>1089</v>
      </c>
      <c r="B206" s="397" t="s">
        <v>1090</v>
      </c>
      <c r="C206" s="397" t="s">
        <v>863</v>
      </c>
      <c r="D206" s="397" t="s">
        <v>901</v>
      </c>
      <c r="E206" s="397" t="s">
        <v>902</v>
      </c>
      <c r="F206" s="397" t="s">
        <v>727</v>
      </c>
      <c r="G206" s="405">
        <v>45777</v>
      </c>
      <c r="H206" s="397" t="s">
        <v>729</v>
      </c>
      <c r="I206" s="397" t="b">
        <v>1</v>
      </c>
      <c r="J206" s="397" t="s">
        <v>903</v>
      </c>
      <c r="L206" s="397" t="s">
        <v>749</v>
      </c>
      <c r="M206" s="397" t="s">
        <v>904</v>
      </c>
      <c r="N206" s="397">
        <v>0</v>
      </c>
      <c r="O206" s="397">
        <v>62897.41</v>
      </c>
      <c r="P206" s="397" t="s">
        <v>905</v>
      </c>
      <c r="Q206" s="397">
        <v>0</v>
      </c>
      <c r="R206" s="397">
        <v>62897.41</v>
      </c>
      <c r="S206" s="397">
        <v>-62897.41</v>
      </c>
      <c r="T206" s="397" t="s">
        <v>905</v>
      </c>
      <c r="U206" s="397" t="s">
        <v>919</v>
      </c>
      <c r="W206" s="397"/>
      <c r="X206" s="397" t="s">
        <v>805</v>
      </c>
      <c r="Y206" s="397"/>
      <c r="AA206" s="397" t="s">
        <v>907</v>
      </c>
      <c r="AB206" s="397"/>
      <c r="AH206" s="397" t="s">
        <v>920</v>
      </c>
      <c r="AK206" s="397" t="s">
        <v>849</v>
      </c>
      <c r="AL206" s="397" t="s">
        <v>81</v>
      </c>
      <c r="AM206" s="397" t="s">
        <v>913</v>
      </c>
      <c r="AN206" s="397"/>
      <c r="AQ206" s="397" t="s">
        <v>910</v>
      </c>
      <c r="AR206" s="397" t="s">
        <v>911</v>
      </c>
      <c r="AS206" s="406">
        <v>45782.578659305553</v>
      </c>
    </row>
    <row r="207" spans="1:45" x14ac:dyDescent="0.2">
      <c r="A207" s="404" t="s">
        <v>1089</v>
      </c>
      <c r="B207" s="397" t="s">
        <v>1090</v>
      </c>
      <c r="C207" s="397" t="s">
        <v>863</v>
      </c>
      <c r="D207" s="397" t="s">
        <v>901</v>
      </c>
      <c r="E207" s="397" t="s">
        <v>902</v>
      </c>
      <c r="F207" s="397" t="s">
        <v>727</v>
      </c>
      <c r="G207" s="405">
        <v>45777</v>
      </c>
      <c r="H207" s="397" t="s">
        <v>729</v>
      </c>
      <c r="I207" s="397" t="b">
        <v>1</v>
      </c>
      <c r="J207" s="397" t="s">
        <v>903</v>
      </c>
      <c r="L207" s="397" t="s">
        <v>749</v>
      </c>
      <c r="M207" s="397" t="s">
        <v>904</v>
      </c>
      <c r="N207" s="397">
        <v>0</v>
      </c>
      <c r="O207" s="397">
        <v>138691.34</v>
      </c>
      <c r="P207" s="397" t="s">
        <v>905</v>
      </c>
      <c r="Q207" s="397">
        <v>0</v>
      </c>
      <c r="R207" s="397">
        <v>138691.34</v>
      </c>
      <c r="S207" s="397">
        <v>-138691.34</v>
      </c>
      <c r="T207" s="397" t="s">
        <v>905</v>
      </c>
      <c r="U207" s="397" t="s">
        <v>917</v>
      </c>
      <c r="W207" s="397"/>
      <c r="X207" s="397" t="s">
        <v>805</v>
      </c>
      <c r="Y207" s="397"/>
      <c r="AA207" s="397" t="s">
        <v>907</v>
      </c>
      <c r="AB207" s="397"/>
      <c r="AH207" s="397" t="s">
        <v>918</v>
      </c>
      <c r="AK207" s="397" t="s">
        <v>849</v>
      </c>
      <c r="AL207" s="397" t="s">
        <v>81</v>
      </c>
      <c r="AM207" s="397" t="s">
        <v>913</v>
      </c>
      <c r="AN207" s="397"/>
      <c r="AQ207" s="397" t="s">
        <v>910</v>
      </c>
      <c r="AR207" s="397" t="s">
        <v>911</v>
      </c>
      <c r="AS207" s="406">
        <v>45782.578659305553</v>
      </c>
    </row>
    <row r="208" spans="1:45" x14ac:dyDescent="0.2">
      <c r="A208" s="404" t="s">
        <v>1089</v>
      </c>
      <c r="B208" s="397" t="s">
        <v>1090</v>
      </c>
      <c r="C208" s="397" t="s">
        <v>863</v>
      </c>
      <c r="D208" s="397" t="s">
        <v>901</v>
      </c>
      <c r="E208" s="397" t="s">
        <v>902</v>
      </c>
      <c r="F208" s="397" t="s">
        <v>727</v>
      </c>
      <c r="G208" s="405">
        <v>45777</v>
      </c>
      <c r="H208" s="397" t="s">
        <v>729</v>
      </c>
      <c r="I208" s="397" t="b">
        <v>1</v>
      </c>
      <c r="J208" s="397" t="s">
        <v>903</v>
      </c>
      <c r="L208" s="397" t="s">
        <v>749</v>
      </c>
      <c r="M208" s="397" t="s">
        <v>904</v>
      </c>
      <c r="N208" s="397">
        <v>0</v>
      </c>
      <c r="O208" s="397">
        <v>100305.76</v>
      </c>
      <c r="P208" s="397" t="s">
        <v>905</v>
      </c>
      <c r="Q208" s="397">
        <v>0</v>
      </c>
      <c r="R208" s="397">
        <v>100305.76</v>
      </c>
      <c r="S208" s="397">
        <v>-100305.76</v>
      </c>
      <c r="T208" s="397" t="s">
        <v>905</v>
      </c>
      <c r="U208" s="397" t="s">
        <v>1038</v>
      </c>
      <c r="W208" s="397"/>
      <c r="X208" s="397" t="s">
        <v>805</v>
      </c>
      <c r="Y208" s="397"/>
      <c r="AA208" s="397" t="s">
        <v>907</v>
      </c>
      <c r="AB208" s="397"/>
      <c r="AH208" s="397" t="s">
        <v>918</v>
      </c>
      <c r="AK208" s="397" t="s">
        <v>849</v>
      </c>
      <c r="AL208" s="397" t="s">
        <v>81</v>
      </c>
      <c r="AM208" s="397" t="s">
        <v>913</v>
      </c>
      <c r="AN208" s="397"/>
      <c r="AQ208" s="397" t="s">
        <v>910</v>
      </c>
      <c r="AR208" s="397" t="s">
        <v>911</v>
      </c>
      <c r="AS208" s="406">
        <v>45782.578659305553</v>
      </c>
    </row>
    <row r="209" spans="1:45" x14ac:dyDescent="0.2">
      <c r="A209" s="404" t="s">
        <v>1091</v>
      </c>
      <c r="B209" s="397" t="s">
        <v>1092</v>
      </c>
      <c r="C209" s="397" t="s">
        <v>863</v>
      </c>
      <c r="D209" s="397" t="s">
        <v>901</v>
      </c>
      <c r="E209" s="397" t="s">
        <v>902</v>
      </c>
      <c r="F209" s="397" t="s">
        <v>728</v>
      </c>
      <c r="G209" s="405">
        <v>45778</v>
      </c>
      <c r="H209" s="397" t="s">
        <v>729</v>
      </c>
      <c r="I209" s="397" t="b">
        <v>1</v>
      </c>
      <c r="J209" s="397" t="s">
        <v>903</v>
      </c>
      <c r="L209" s="397" t="s">
        <v>749</v>
      </c>
      <c r="M209" s="397" t="s">
        <v>904</v>
      </c>
      <c r="N209" s="397">
        <v>138691.34</v>
      </c>
      <c r="O209" s="397">
        <v>0</v>
      </c>
      <c r="P209" s="397" t="s">
        <v>905</v>
      </c>
      <c r="Q209" s="397">
        <v>138691.34</v>
      </c>
      <c r="R209" s="397">
        <v>0</v>
      </c>
      <c r="S209" s="397">
        <v>138691.34</v>
      </c>
      <c r="T209" s="397" t="s">
        <v>905</v>
      </c>
      <c r="U209" s="397" t="s">
        <v>917</v>
      </c>
      <c r="W209" s="397"/>
      <c r="X209" s="397" t="s">
        <v>805</v>
      </c>
      <c r="Y209" s="397"/>
      <c r="AA209" s="397" t="s">
        <v>907</v>
      </c>
      <c r="AB209" s="397"/>
      <c r="AH209" s="397" t="s">
        <v>918</v>
      </c>
      <c r="AK209" s="397" t="s">
        <v>849</v>
      </c>
      <c r="AL209" s="397" t="s">
        <v>81</v>
      </c>
      <c r="AM209" s="397" t="s">
        <v>913</v>
      </c>
      <c r="AN209" s="397"/>
      <c r="AQ209" s="397" t="s">
        <v>910</v>
      </c>
      <c r="AR209" s="397" t="s">
        <v>911</v>
      </c>
      <c r="AS209" s="406">
        <v>45782.578863460651</v>
      </c>
    </row>
    <row r="210" spans="1:45" x14ac:dyDescent="0.2">
      <c r="A210" s="404" t="s">
        <v>1091</v>
      </c>
      <c r="B210" s="397" t="s">
        <v>1092</v>
      </c>
      <c r="C210" s="397" t="s">
        <v>863</v>
      </c>
      <c r="D210" s="397" t="s">
        <v>901</v>
      </c>
      <c r="E210" s="397" t="s">
        <v>902</v>
      </c>
      <c r="F210" s="397" t="s">
        <v>728</v>
      </c>
      <c r="G210" s="405">
        <v>45778</v>
      </c>
      <c r="H210" s="397" t="s">
        <v>729</v>
      </c>
      <c r="I210" s="397" t="b">
        <v>1</v>
      </c>
      <c r="J210" s="397" t="s">
        <v>903</v>
      </c>
      <c r="L210" s="397" t="s">
        <v>749</v>
      </c>
      <c r="M210" s="397" t="s">
        <v>904</v>
      </c>
      <c r="N210" s="397">
        <v>100305.76</v>
      </c>
      <c r="O210" s="397">
        <v>0</v>
      </c>
      <c r="P210" s="397" t="s">
        <v>905</v>
      </c>
      <c r="Q210" s="397">
        <v>100305.76</v>
      </c>
      <c r="R210" s="397">
        <v>0</v>
      </c>
      <c r="S210" s="397">
        <v>100305.76</v>
      </c>
      <c r="T210" s="397" t="s">
        <v>905</v>
      </c>
      <c r="U210" s="397" t="s">
        <v>1038</v>
      </c>
      <c r="W210" s="397"/>
      <c r="X210" s="397" t="s">
        <v>805</v>
      </c>
      <c r="Y210" s="397"/>
      <c r="AA210" s="397" t="s">
        <v>907</v>
      </c>
      <c r="AB210" s="397"/>
      <c r="AH210" s="397" t="s">
        <v>918</v>
      </c>
      <c r="AK210" s="397" t="s">
        <v>849</v>
      </c>
      <c r="AL210" s="397" t="s">
        <v>81</v>
      </c>
      <c r="AM210" s="397" t="s">
        <v>913</v>
      </c>
      <c r="AN210" s="397"/>
      <c r="AQ210" s="397" t="s">
        <v>910</v>
      </c>
      <c r="AR210" s="397" t="s">
        <v>911</v>
      </c>
      <c r="AS210" s="406">
        <v>45782.578863460651</v>
      </c>
    </row>
    <row r="211" spans="1:45" x14ac:dyDescent="0.2">
      <c r="A211" s="404" t="s">
        <v>1091</v>
      </c>
      <c r="B211" s="397" t="s">
        <v>1092</v>
      </c>
      <c r="C211" s="397" t="s">
        <v>863</v>
      </c>
      <c r="D211" s="397" t="s">
        <v>901</v>
      </c>
      <c r="E211" s="397" t="s">
        <v>902</v>
      </c>
      <c r="F211" s="397" t="s">
        <v>728</v>
      </c>
      <c r="G211" s="405">
        <v>45778</v>
      </c>
      <c r="H211" s="397" t="s">
        <v>729</v>
      </c>
      <c r="I211" s="397" t="b">
        <v>1</v>
      </c>
      <c r="J211" s="397" t="s">
        <v>903</v>
      </c>
      <c r="L211" s="397" t="s">
        <v>749</v>
      </c>
      <c r="M211" s="397" t="s">
        <v>904</v>
      </c>
      <c r="N211" s="397">
        <v>62897.41</v>
      </c>
      <c r="O211" s="397">
        <v>0</v>
      </c>
      <c r="P211" s="397" t="s">
        <v>905</v>
      </c>
      <c r="Q211" s="397">
        <v>62897.41</v>
      </c>
      <c r="R211" s="397">
        <v>0</v>
      </c>
      <c r="S211" s="397">
        <v>62897.41</v>
      </c>
      <c r="T211" s="397" t="s">
        <v>905</v>
      </c>
      <c r="U211" s="397" t="s">
        <v>919</v>
      </c>
      <c r="W211" s="397"/>
      <c r="X211" s="397" t="s">
        <v>805</v>
      </c>
      <c r="Y211" s="397"/>
      <c r="AA211" s="397" t="s">
        <v>907</v>
      </c>
      <c r="AB211" s="397"/>
      <c r="AH211" s="397" t="s">
        <v>920</v>
      </c>
      <c r="AK211" s="397" t="s">
        <v>849</v>
      </c>
      <c r="AL211" s="397" t="s">
        <v>81</v>
      </c>
      <c r="AM211" s="397" t="s">
        <v>913</v>
      </c>
      <c r="AN211" s="397"/>
      <c r="AQ211" s="397" t="s">
        <v>910</v>
      </c>
      <c r="AR211" s="397" t="s">
        <v>911</v>
      </c>
      <c r="AS211" s="406">
        <v>45782.578863460651</v>
      </c>
    </row>
    <row r="212" spans="1:45" x14ac:dyDescent="0.2">
      <c r="A212" s="404" t="s">
        <v>1093</v>
      </c>
      <c r="B212" s="397" t="s">
        <v>1094</v>
      </c>
      <c r="C212" s="397" t="s">
        <v>863</v>
      </c>
      <c r="D212" s="397" t="s">
        <v>901</v>
      </c>
      <c r="E212" s="397" t="s">
        <v>902</v>
      </c>
      <c r="F212" s="397" t="s">
        <v>727</v>
      </c>
      <c r="G212" s="405">
        <v>45777</v>
      </c>
      <c r="H212" s="397" t="s">
        <v>729</v>
      </c>
      <c r="I212" s="397" t="b">
        <v>1</v>
      </c>
      <c r="J212" s="397" t="s">
        <v>903</v>
      </c>
      <c r="L212" s="397" t="s">
        <v>749</v>
      </c>
      <c r="M212" s="397" t="s">
        <v>904</v>
      </c>
      <c r="N212" s="397">
        <v>0</v>
      </c>
      <c r="O212" s="397">
        <v>8321.2800000000007</v>
      </c>
      <c r="P212" s="397" t="s">
        <v>905</v>
      </c>
      <c r="Q212" s="397">
        <v>0</v>
      </c>
      <c r="R212" s="397">
        <v>8321.2800000000007</v>
      </c>
      <c r="S212" s="397">
        <v>-8321.2800000000007</v>
      </c>
      <c r="T212" s="397" t="s">
        <v>905</v>
      </c>
      <c r="U212" s="397" t="s">
        <v>1095</v>
      </c>
      <c r="W212" s="397"/>
      <c r="X212" s="397" t="s">
        <v>805</v>
      </c>
      <c r="Y212" s="397"/>
      <c r="AA212" s="397" t="s">
        <v>907</v>
      </c>
      <c r="AB212" s="397"/>
      <c r="AH212" s="397" t="s">
        <v>990</v>
      </c>
      <c r="AK212" s="397" t="s">
        <v>849</v>
      </c>
      <c r="AL212" s="397" t="s">
        <v>81</v>
      </c>
      <c r="AM212" s="397" t="s">
        <v>913</v>
      </c>
      <c r="AN212" s="397"/>
      <c r="AQ212" s="397" t="s">
        <v>910</v>
      </c>
      <c r="AR212" s="397" t="s">
        <v>911</v>
      </c>
      <c r="AS212" s="406">
        <v>45782.585783483795</v>
      </c>
    </row>
    <row r="213" spans="1:45" x14ac:dyDescent="0.2">
      <c r="A213" s="404" t="s">
        <v>1093</v>
      </c>
      <c r="B213" s="397" t="s">
        <v>1094</v>
      </c>
      <c r="C213" s="397" t="s">
        <v>863</v>
      </c>
      <c r="D213" s="397" t="s">
        <v>901</v>
      </c>
      <c r="E213" s="397" t="s">
        <v>902</v>
      </c>
      <c r="F213" s="397" t="s">
        <v>727</v>
      </c>
      <c r="G213" s="405">
        <v>45777</v>
      </c>
      <c r="H213" s="397" t="s">
        <v>729</v>
      </c>
      <c r="I213" s="397" t="b">
        <v>1</v>
      </c>
      <c r="J213" s="397" t="s">
        <v>903</v>
      </c>
      <c r="L213" s="397" t="s">
        <v>749</v>
      </c>
      <c r="M213" s="397" t="s">
        <v>904</v>
      </c>
      <c r="N213" s="397">
        <v>0</v>
      </c>
      <c r="O213" s="397">
        <v>990.54</v>
      </c>
      <c r="P213" s="397" t="s">
        <v>905</v>
      </c>
      <c r="Q213" s="397">
        <v>0</v>
      </c>
      <c r="R213" s="397">
        <v>990.54</v>
      </c>
      <c r="S213" s="397">
        <v>-990.54</v>
      </c>
      <c r="T213" s="397" t="s">
        <v>905</v>
      </c>
      <c r="U213" s="397" t="s">
        <v>1096</v>
      </c>
      <c r="W213" s="397"/>
      <c r="X213" s="397" t="s">
        <v>805</v>
      </c>
      <c r="Y213" s="397"/>
      <c r="AA213" s="397" t="s">
        <v>907</v>
      </c>
      <c r="AB213" s="397"/>
      <c r="AH213" s="397" t="s">
        <v>908</v>
      </c>
      <c r="AK213" s="397" t="s">
        <v>747</v>
      </c>
      <c r="AL213" s="397" t="s">
        <v>86</v>
      </c>
      <c r="AM213" s="397" t="s">
        <v>909</v>
      </c>
      <c r="AN213" s="397"/>
      <c r="AQ213" s="397" t="s">
        <v>910</v>
      </c>
      <c r="AR213" s="397" t="s">
        <v>911</v>
      </c>
      <c r="AS213" s="406">
        <v>45782.585783483795</v>
      </c>
    </row>
    <row r="214" spans="1:45" x14ac:dyDescent="0.2">
      <c r="A214" s="404" t="s">
        <v>1093</v>
      </c>
      <c r="B214" s="397" t="s">
        <v>1094</v>
      </c>
      <c r="C214" s="397" t="s">
        <v>863</v>
      </c>
      <c r="D214" s="397" t="s">
        <v>901</v>
      </c>
      <c r="E214" s="397" t="s">
        <v>902</v>
      </c>
      <c r="F214" s="397" t="s">
        <v>727</v>
      </c>
      <c r="G214" s="405">
        <v>45777</v>
      </c>
      <c r="H214" s="397" t="s">
        <v>729</v>
      </c>
      <c r="I214" s="397" t="b">
        <v>1</v>
      </c>
      <c r="J214" s="397" t="s">
        <v>903</v>
      </c>
      <c r="L214" s="397" t="s">
        <v>749</v>
      </c>
      <c r="M214" s="397" t="s">
        <v>904</v>
      </c>
      <c r="N214" s="397">
        <v>0</v>
      </c>
      <c r="O214" s="397">
        <v>725.42</v>
      </c>
      <c r="P214" s="397" t="s">
        <v>905</v>
      </c>
      <c r="Q214" s="397">
        <v>0</v>
      </c>
      <c r="R214" s="397">
        <v>725.42</v>
      </c>
      <c r="S214" s="397">
        <v>-725.42</v>
      </c>
      <c r="T214" s="397" t="s">
        <v>905</v>
      </c>
      <c r="U214" s="397" t="s">
        <v>1097</v>
      </c>
      <c r="W214" s="397"/>
      <c r="X214" s="397" t="s">
        <v>805</v>
      </c>
      <c r="Y214" s="397"/>
      <c r="AA214" s="397" t="s">
        <v>907</v>
      </c>
      <c r="AB214" s="397"/>
      <c r="AH214" s="397" t="s">
        <v>908</v>
      </c>
      <c r="AK214" s="397" t="s">
        <v>849</v>
      </c>
      <c r="AL214" s="397" t="s">
        <v>81</v>
      </c>
      <c r="AM214" s="397" t="s">
        <v>913</v>
      </c>
      <c r="AN214" s="397"/>
      <c r="AQ214" s="397" t="s">
        <v>910</v>
      </c>
      <c r="AR214" s="397" t="s">
        <v>911</v>
      </c>
      <c r="AS214" s="406">
        <v>45782.585783483795</v>
      </c>
    </row>
    <row r="215" spans="1:45" x14ac:dyDescent="0.2">
      <c r="A215" s="404" t="s">
        <v>1093</v>
      </c>
      <c r="B215" s="397" t="s">
        <v>1094</v>
      </c>
      <c r="C215" s="397" t="s">
        <v>863</v>
      </c>
      <c r="D215" s="397" t="s">
        <v>901</v>
      </c>
      <c r="E215" s="397" t="s">
        <v>902</v>
      </c>
      <c r="F215" s="397" t="s">
        <v>727</v>
      </c>
      <c r="G215" s="405">
        <v>45777</v>
      </c>
      <c r="H215" s="397" t="s">
        <v>729</v>
      </c>
      <c r="I215" s="397" t="b">
        <v>1</v>
      </c>
      <c r="J215" s="397" t="s">
        <v>903</v>
      </c>
      <c r="L215" s="397" t="s">
        <v>749</v>
      </c>
      <c r="M215" s="397" t="s">
        <v>904</v>
      </c>
      <c r="N215" s="397">
        <v>0</v>
      </c>
      <c r="O215" s="397">
        <v>41523.42</v>
      </c>
      <c r="P215" s="397" t="s">
        <v>905</v>
      </c>
      <c r="Q215" s="397">
        <v>0</v>
      </c>
      <c r="R215" s="397">
        <v>41523.42</v>
      </c>
      <c r="S215" s="397">
        <v>-41523.42</v>
      </c>
      <c r="T215" s="397" t="s">
        <v>905</v>
      </c>
      <c r="U215" s="397" t="s">
        <v>1098</v>
      </c>
      <c r="W215" s="397"/>
      <c r="X215" s="397" t="s">
        <v>805</v>
      </c>
      <c r="Y215" s="397"/>
      <c r="AA215" s="397" t="s">
        <v>907</v>
      </c>
      <c r="AB215" s="397"/>
      <c r="AH215" s="397" t="s">
        <v>908</v>
      </c>
      <c r="AK215" s="397" t="s">
        <v>849</v>
      </c>
      <c r="AL215" s="397" t="s">
        <v>81</v>
      </c>
      <c r="AM215" s="397" t="s">
        <v>913</v>
      </c>
      <c r="AN215" s="397"/>
      <c r="AQ215" s="397" t="s">
        <v>910</v>
      </c>
      <c r="AR215" s="397" t="s">
        <v>911</v>
      </c>
      <c r="AS215" s="406">
        <v>45782.585783483795</v>
      </c>
    </row>
    <row r="216" spans="1:45" x14ac:dyDescent="0.2">
      <c r="A216" s="404" t="s">
        <v>1099</v>
      </c>
      <c r="B216" s="397" t="s">
        <v>1100</v>
      </c>
      <c r="C216" s="397" t="s">
        <v>863</v>
      </c>
      <c r="D216" s="397" t="s">
        <v>901</v>
      </c>
      <c r="E216" s="397" t="s">
        <v>902</v>
      </c>
      <c r="F216" s="397" t="s">
        <v>728</v>
      </c>
      <c r="G216" s="405">
        <v>45778</v>
      </c>
      <c r="H216" s="397" t="s">
        <v>729</v>
      </c>
      <c r="I216" s="397" t="b">
        <v>0</v>
      </c>
      <c r="J216" s="397" t="s">
        <v>903</v>
      </c>
      <c r="L216" s="397" t="s">
        <v>749</v>
      </c>
      <c r="M216" s="397" t="s">
        <v>904</v>
      </c>
      <c r="N216" s="397">
        <v>41523.42</v>
      </c>
      <c r="O216" s="397">
        <v>0</v>
      </c>
      <c r="P216" s="397" t="s">
        <v>905</v>
      </c>
      <c r="Q216" s="397">
        <v>41523.42</v>
      </c>
      <c r="R216" s="397">
        <v>0</v>
      </c>
      <c r="S216" s="397">
        <v>41523.42</v>
      </c>
      <c r="T216" s="397" t="s">
        <v>905</v>
      </c>
      <c r="U216" s="397" t="s">
        <v>1098</v>
      </c>
      <c r="W216" s="397"/>
      <c r="X216" s="397" t="s">
        <v>805</v>
      </c>
      <c r="Y216" s="397"/>
      <c r="AA216" s="397" t="s">
        <v>907</v>
      </c>
      <c r="AB216" s="397"/>
      <c r="AH216" s="397" t="s">
        <v>908</v>
      </c>
      <c r="AK216" s="397" t="s">
        <v>849</v>
      </c>
      <c r="AL216" s="397" t="s">
        <v>81</v>
      </c>
      <c r="AM216" s="397" t="s">
        <v>913</v>
      </c>
      <c r="AN216" s="397"/>
      <c r="AQ216" s="397" t="s">
        <v>910</v>
      </c>
      <c r="AR216" s="397" t="s">
        <v>911</v>
      </c>
      <c r="AS216" s="406">
        <v>45782.586334097221</v>
      </c>
    </row>
    <row r="217" spans="1:45" x14ac:dyDescent="0.2">
      <c r="A217" s="404" t="s">
        <v>1099</v>
      </c>
      <c r="B217" s="397" t="s">
        <v>1100</v>
      </c>
      <c r="C217" s="397" t="s">
        <v>863</v>
      </c>
      <c r="D217" s="397" t="s">
        <v>901</v>
      </c>
      <c r="E217" s="397" t="s">
        <v>902</v>
      </c>
      <c r="F217" s="397" t="s">
        <v>728</v>
      </c>
      <c r="G217" s="405">
        <v>45778</v>
      </c>
      <c r="H217" s="397" t="s">
        <v>729</v>
      </c>
      <c r="I217" s="397" t="b">
        <v>0</v>
      </c>
      <c r="J217" s="397" t="s">
        <v>903</v>
      </c>
      <c r="L217" s="397" t="s">
        <v>749</v>
      </c>
      <c r="M217" s="397" t="s">
        <v>904</v>
      </c>
      <c r="N217" s="397">
        <v>990.54</v>
      </c>
      <c r="O217" s="397">
        <v>0</v>
      </c>
      <c r="P217" s="397" t="s">
        <v>905</v>
      </c>
      <c r="Q217" s="397">
        <v>990.54</v>
      </c>
      <c r="R217" s="397">
        <v>0</v>
      </c>
      <c r="S217" s="397">
        <v>990.54</v>
      </c>
      <c r="T217" s="397" t="s">
        <v>905</v>
      </c>
      <c r="U217" s="397" t="s">
        <v>1096</v>
      </c>
      <c r="W217" s="397"/>
      <c r="X217" s="397" t="s">
        <v>805</v>
      </c>
      <c r="Y217" s="397"/>
      <c r="AA217" s="397" t="s">
        <v>907</v>
      </c>
      <c r="AB217" s="397"/>
      <c r="AH217" s="397" t="s">
        <v>908</v>
      </c>
      <c r="AK217" s="397" t="s">
        <v>747</v>
      </c>
      <c r="AL217" s="397" t="s">
        <v>86</v>
      </c>
      <c r="AM217" s="397" t="s">
        <v>909</v>
      </c>
      <c r="AN217" s="397"/>
      <c r="AQ217" s="397" t="s">
        <v>910</v>
      </c>
      <c r="AR217" s="397" t="s">
        <v>911</v>
      </c>
      <c r="AS217" s="406">
        <v>45782.586334097221</v>
      </c>
    </row>
    <row r="218" spans="1:45" x14ac:dyDescent="0.2">
      <c r="A218" s="404" t="s">
        <v>1099</v>
      </c>
      <c r="B218" s="397" t="s">
        <v>1100</v>
      </c>
      <c r="C218" s="397" t="s">
        <v>863</v>
      </c>
      <c r="D218" s="397" t="s">
        <v>901</v>
      </c>
      <c r="E218" s="397" t="s">
        <v>902</v>
      </c>
      <c r="F218" s="397" t="s">
        <v>728</v>
      </c>
      <c r="G218" s="405">
        <v>45778</v>
      </c>
      <c r="H218" s="397" t="s">
        <v>729</v>
      </c>
      <c r="I218" s="397" t="b">
        <v>0</v>
      </c>
      <c r="J218" s="397" t="s">
        <v>903</v>
      </c>
      <c r="L218" s="397" t="s">
        <v>749</v>
      </c>
      <c r="M218" s="397" t="s">
        <v>904</v>
      </c>
      <c r="N218" s="397">
        <v>725.42</v>
      </c>
      <c r="O218" s="397">
        <v>0</v>
      </c>
      <c r="P218" s="397" t="s">
        <v>905</v>
      </c>
      <c r="Q218" s="397">
        <v>725.42</v>
      </c>
      <c r="R218" s="397">
        <v>0</v>
      </c>
      <c r="S218" s="397">
        <v>725.42</v>
      </c>
      <c r="T218" s="397" t="s">
        <v>905</v>
      </c>
      <c r="U218" s="397" t="s">
        <v>1097</v>
      </c>
      <c r="W218" s="397"/>
      <c r="X218" s="397" t="s">
        <v>805</v>
      </c>
      <c r="Y218" s="397"/>
      <c r="AA218" s="397" t="s">
        <v>907</v>
      </c>
      <c r="AB218" s="397"/>
      <c r="AH218" s="397" t="s">
        <v>908</v>
      </c>
      <c r="AK218" s="397" t="s">
        <v>849</v>
      </c>
      <c r="AL218" s="397" t="s">
        <v>81</v>
      </c>
      <c r="AM218" s="397" t="s">
        <v>913</v>
      </c>
      <c r="AN218" s="397"/>
      <c r="AQ218" s="397" t="s">
        <v>910</v>
      </c>
      <c r="AR218" s="397" t="s">
        <v>911</v>
      </c>
      <c r="AS218" s="406">
        <v>45782.586334097221</v>
      </c>
    </row>
    <row r="219" spans="1:45" x14ac:dyDescent="0.2">
      <c r="A219" s="404" t="s">
        <v>1099</v>
      </c>
      <c r="B219" s="397" t="s">
        <v>1100</v>
      </c>
      <c r="C219" s="397" t="s">
        <v>863</v>
      </c>
      <c r="D219" s="397" t="s">
        <v>901</v>
      </c>
      <c r="E219" s="397" t="s">
        <v>902</v>
      </c>
      <c r="F219" s="397" t="s">
        <v>728</v>
      </c>
      <c r="G219" s="405">
        <v>45778</v>
      </c>
      <c r="H219" s="397" t="s">
        <v>729</v>
      </c>
      <c r="I219" s="397" t="b">
        <v>0</v>
      </c>
      <c r="J219" s="397" t="s">
        <v>903</v>
      </c>
      <c r="L219" s="397" t="s">
        <v>749</v>
      </c>
      <c r="M219" s="397" t="s">
        <v>904</v>
      </c>
      <c r="N219" s="397">
        <v>8321.2800000000007</v>
      </c>
      <c r="O219" s="397">
        <v>0</v>
      </c>
      <c r="P219" s="397" t="s">
        <v>905</v>
      </c>
      <c r="Q219" s="397">
        <v>8321.2800000000007</v>
      </c>
      <c r="R219" s="397">
        <v>0</v>
      </c>
      <c r="S219" s="397">
        <v>8321.2800000000007</v>
      </c>
      <c r="T219" s="397" t="s">
        <v>905</v>
      </c>
      <c r="U219" s="397" t="s">
        <v>1095</v>
      </c>
      <c r="W219" s="397"/>
      <c r="X219" s="397" t="s">
        <v>805</v>
      </c>
      <c r="Y219" s="397"/>
      <c r="AA219" s="397" t="s">
        <v>907</v>
      </c>
      <c r="AB219" s="397"/>
      <c r="AH219" s="397" t="s">
        <v>990</v>
      </c>
      <c r="AK219" s="397" t="s">
        <v>849</v>
      </c>
      <c r="AL219" s="397" t="s">
        <v>81</v>
      </c>
      <c r="AM219" s="397" t="s">
        <v>913</v>
      </c>
      <c r="AN219" s="397"/>
      <c r="AQ219" s="397" t="s">
        <v>910</v>
      </c>
      <c r="AR219" s="397" t="s">
        <v>911</v>
      </c>
      <c r="AS219" s="406">
        <v>45782.586334097221</v>
      </c>
    </row>
    <row r="220" spans="1:45" x14ac:dyDescent="0.2">
      <c r="A220" s="404" t="s">
        <v>1101</v>
      </c>
      <c r="B220" s="397" t="s">
        <v>1102</v>
      </c>
      <c r="C220" s="397" t="s">
        <v>863</v>
      </c>
      <c r="D220" s="397" t="s">
        <v>901</v>
      </c>
      <c r="E220" s="397" t="s">
        <v>902</v>
      </c>
      <c r="F220" s="397" t="s">
        <v>727</v>
      </c>
      <c r="G220" s="405">
        <v>45777</v>
      </c>
      <c r="H220" s="397" t="s">
        <v>729</v>
      </c>
      <c r="I220" s="397" t="b">
        <v>0</v>
      </c>
      <c r="J220" s="397" t="s">
        <v>903</v>
      </c>
      <c r="L220" s="397" t="s">
        <v>749</v>
      </c>
      <c r="M220" s="397" t="s">
        <v>904</v>
      </c>
      <c r="N220" s="397">
        <v>138691.34</v>
      </c>
      <c r="O220" s="397">
        <v>0</v>
      </c>
      <c r="P220" s="397" t="s">
        <v>905</v>
      </c>
      <c r="Q220" s="397">
        <v>138691.34</v>
      </c>
      <c r="R220" s="397">
        <v>0</v>
      </c>
      <c r="S220" s="397">
        <v>138691.34</v>
      </c>
      <c r="T220" s="397" t="s">
        <v>905</v>
      </c>
      <c r="U220" s="397" t="s">
        <v>917</v>
      </c>
      <c r="W220" s="397"/>
      <c r="X220" s="397" t="s">
        <v>805</v>
      </c>
      <c r="Y220" s="397"/>
      <c r="AA220" s="397" t="s">
        <v>907</v>
      </c>
      <c r="AB220" s="397"/>
      <c r="AH220" s="397" t="s">
        <v>918</v>
      </c>
      <c r="AK220" s="397" t="s">
        <v>849</v>
      </c>
      <c r="AL220" s="397" t="s">
        <v>81</v>
      </c>
      <c r="AM220" s="397" t="s">
        <v>913</v>
      </c>
      <c r="AN220" s="397"/>
      <c r="AQ220" s="397" t="s">
        <v>910</v>
      </c>
      <c r="AR220" s="397" t="s">
        <v>911</v>
      </c>
      <c r="AS220" s="406">
        <v>45783.61559898148</v>
      </c>
    </row>
    <row r="221" spans="1:45" x14ac:dyDescent="0.2">
      <c r="A221" s="404" t="s">
        <v>1101</v>
      </c>
      <c r="B221" s="397" t="s">
        <v>1102</v>
      </c>
      <c r="C221" s="397" t="s">
        <v>863</v>
      </c>
      <c r="D221" s="397" t="s">
        <v>901</v>
      </c>
      <c r="E221" s="397" t="s">
        <v>902</v>
      </c>
      <c r="F221" s="397" t="s">
        <v>727</v>
      </c>
      <c r="G221" s="405">
        <v>45777</v>
      </c>
      <c r="H221" s="397" t="s">
        <v>729</v>
      </c>
      <c r="I221" s="397" t="b">
        <v>0</v>
      </c>
      <c r="J221" s="397" t="s">
        <v>903</v>
      </c>
      <c r="L221" s="397" t="s">
        <v>749</v>
      </c>
      <c r="M221" s="397" t="s">
        <v>904</v>
      </c>
      <c r="N221" s="397">
        <v>100305.76</v>
      </c>
      <c r="O221" s="397">
        <v>0</v>
      </c>
      <c r="P221" s="397" t="s">
        <v>905</v>
      </c>
      <c r="Q221" s="397">
        <v>100305.76</v>
      </c>
      <c r="R221" s="397">
        <v>0</v>
      </c>
      <c r="S221" s="397">
        <v>100305.76</v>
      </c>
      <c r="T221" s="397" t="s">
        <v>905</v>
      </c>
      <c r="U221" s="397" t="s">
        <v>1038</v>
      </c>
      <c r="W221" s="397"/>
      <c r="X221" s="397" t="s">
        <v>805</v>
      </c>
      <c r="Y221" s="397"/>
      <c r="AA221" s="397" t="s">
        <v>907</v>
      </c>
      <c r="AB221" s="397"/>
      <c r="AH221" s="397" t="s">
        <v>918</v>
      </c>
      <c r="AK221" s="397" t="s">
        <v>849</v>
      </c>
      <c r="AL221" s="397" t="s">
        <v>81</v>
      </c>
      <c r="AM221" s="397" t="s">
        <v>913</v>
      </c>
      <c r="AN221" s="397"/>
      <c r="AQ221" s="397" t="s">
        <v>910</v>
      </c>
      <c r="AR221" s="397" t="s">
        <v>911</v>
      </c>
      <c r="AS221" s="406">
        <v>45783.61559898148</v>
      </c>
    </row>
    <row r="222" spans="1:45" x14ac:dyDescent="0.2">
      <c r="A222" s="404" t="s">
        <v>1101</v>
      </c>
      <c r="B222" s="397" t="s">
        <v>1102</v>
      </c>
      <c r="C222" s="397" t="s">
        <v>863</v>
      </c>
      <c r="D222" s="397" t="s">
        <v>901</v>
      </c>
      <c r="E222" s="397" t="s">
        <v>902</v>
      </c>
      <c r="F222" s="397" t="s">
        <v>727</v>
      </c>
      <c r="G222" s="405">
        <v>45777</v>
      </c>
      <c r="H222" s="397" t="s">
        <v>729</v>
      </c>
      <c r="I222" s="397" t="b">
        <v>0</v>
      </c>
      <c r="J222" s="397" t="s">
        <v>903</v>
      </c>
      <c r="L222" s="397" t="s">
        <v>749</v>
      </c>
      <c r="M222" s="397" t="s">
        <v>904</v>
      </c>
      <c r="N222" s="397">
        <v>62897.41</v>
      </c>
      <c r="O222" s="397">
        <v>0</v>
      </c>
      <c r="P222" s="397" t="s">
        <v>905</v>
      </c>
      <c r="Q222" s="397">
        <v>62897.41</v>
      </c>
      <c r="R222" s="397">
        <v>0</v>
      </c>
      <c r="S222" s="397">
        <v>62897.41</v>
      </c>
      <c r="T222" s="397" t="s">
        <v>905</v>
      </c>
      <c r="U222" s="397" t="s">
        <v>919</v>
      </c>
      <c r="W222" s="397"/>
      <c r="X222" s="397" t="s">
        <v>805</v>
      </c>
      <c r="Y222" s="397"/>
      <c r="AA222" s="397" t="s">
        <v>907</v>
      </c>
      <c r="AB222" s="397"/>
      <c r="AH222" s="397" t="s">
        <v>920</v>
      </c>
      <c r="AK222" s="397" t="s">
        <v>849</v>
      </c>
      <c r="AL222" s="397" t="s">
        <v>81</v>
      </c>
      <c r="AM222" s="397" t="s">
        <v>913</v>
      </c>
      <c r="AN222" s="397"/>
      <c r="AQ222" s="397" t="s">
        <v>910</v>
      </c>
      <c r="AR222" s="397" t="s">
        <v>911</v>
      </c>
      <c r="AS222" s="406">
        <v>45783.61559898148</v>
      </c>
    </row>
    <row r="223" spans="1:45" x14ac:dyDescent="0.2">
      <c r="A223" s="404" t="s">
        <v>1103</v>
      </c>
      <c r="B223" s="397" t="s">
        <v>1104</v>
      </c>
      <c r="C223" s="397" t="s">
        <v>863</v>
      </c>
      <c r="D223" s="397" t="s">
        <v>901</v>
      </c>
      <c r="E223" s="397" t="s">
        <v>902</v>
      </c>
      <c r="F223" s="397" t="s">
        <v>728</v>
      </c>
      <c r="G223" s="405">
        <v>45778</v>
      </c>
      <c r="H223" s="397" t="s">
        <v>729</v>
      </c>
      <c r="I223" s="397" t="b">
        <v>0</v>
      </c>
      <c r="J223" s="397" t="s">
        <v>903</v>
      </c>
      <c r="L223" s="397" t="s">
        <v>749</v>
      </c>
      <c r="M223" s="397" t="s">
        <v>904</v>
      </c>
      <c r="N223" s="397">
        <v>0</v>
      </c>
      <c r="O223" s="397">
        <v>100305.76</v>
      </c>
      <c r="P223" s="397" t="s">
        <v>905</v>
      </c>
      <c r="Q223" s="397">
        <v>0</v>
      </c>
      <c r="R223" s="397">
        <v>100305.76</v>
      </c>
      <c r="S223" s="397">
        <v>-100305.76</v>
      </c>
      <c r="T223" s="397" t="s">
        <v>905</v>
      </c>
      <c r="U223" s="397" t="s">
        <v>1038</v>
      </c>
      <c r="W223" s="397"/>
      <c r="X223" s="397" t="s">
        <v>805</v>
      </c>
      <c r="Y223" s="397"/>
      <c r="AA223" s="397" t="s">
        <v>907</v>
      </c>
      <c r="AB223" s="397"/>
      <c r="AH223" s="397" t="s">
        <v>918</v>
      </c>
      <c r="AK223" s="397" t="s">
        <v>849</v>
      </c>
      <c r="AL223" s="397" t="s">
        <v>81</v>
      </c>
      <c r="AM223" s="397" t="s">
        <v>913</v>
      </c>
      <c r="AN223" s="397"/>
      <c r="AQ223" s="397" t="s">
        <v>910</v>
      </c>
      <c r="AR223" s="397" t="s">
        <v>911</v>
      </c>
      <c r="AS223" s="406">
        <v>45783.61559898148</v>
      </c>
    </row>
    <row r="224" spans="1:45" x14ac:dyDescent="0.2">
      <c r="A224" s="404" t="s">
        <v>1103</v>
      </c>
      <c r="B224" s="397" t="s">
        <v>1104</v>
      </c>
      <c r="C224" s="397" t="s">
        <v>863</v>
      </c>
      <c r="D224" s="397" t="s">
        <v>901</v>
      </c>
      <c r="E224" s="397" t="s">
        <v>902</v>
      </c>
      <c r="F224" s="397" t="s">
        <v>728</v>
      </c>
      <c r="G224" s="405">
        <v>45778</v>
      </c>
      <c r="H224" s="397" t="s">
        <v>729</v>
      </c>
      <c r="I224" s="397" t="b">
        <v>0</v>
      </c>
      <c r="J224" s="397" t="s">
        <v>903</v>
      </c>
      <c r="L224" s="397" t="s">
        <v>749</v>
      </c>
      <c r="M224" s="397" t="s">
        <v>904</v>
      </c>
      <c r="N224" s="397">
        <v>0</v>
      </c>
      <c r="O224" s="397">
        <v>62897.41</v>
      </c>
      <c r="P224" s="397" t="s">
        <v>905</v>
      </c>
      <c r="Q224" s="397">
        <v>0</v>
      </c>
      <c r="R224" s="397">
        <v>62897.41</v>
      </c>
      <c r="S224" s="397">
        <v>-62897.41</v>
      </c>
      <c r="T224" s="397" t="s">
        <v>905</v>
      </c>
      <c r="U224" s="397" t="s">
        <v>919</v>
      </c>
      <c r="W224" s="397"/>
      <c r="X224" s="397" t="s">
        <v>805</v>
      </c>
      <c r="Y224" s="397"/>
      <c r="AA224" s="397" t="s">
        <v>907</v>
      </c>
      <c r="AB224" s="397"/>
      <c r="AH224" s="397" t="s">
        <v>920</v>
      </c>
      <c r="AK224" s="397" t="s">
        <v>849</v>
      </c>
      <c r="AL224" s="397" t="s">
        <v>81</v>
      </c>
      <c r="AM224" s="397" t="s">
        <v>913</v>
      </c>
      <c r="AN224" s="397"/>
      <c r="AQ224" s="397" t="s">
        <v>910</v>
      </c>
      <c r="AR224" s="397" t="s">
        <v>911</v>
      </c>
      <c r="AS224" s="406">
        <v>45783.61559898148</v>
      </c>
    </row>
    <row r="225" spans="1:45" x14ac:dyDescent="0.2">
      <c r="A225" s="404" t="s">
        <v>1103</v>
      </c>
      <c r="B225" s="397" t="s">
        <v>1104</v>
      </c>
      <c r="C225" s="397" t="s">
        <v>863</v>
      </c>
      <c r="D225" s="397" t="s">
        <v>901</v>
      </c>
      <c r="E225" s="397" t="s">
        <v>902</v>
      </c>
      <c r="F225" s="397" t="s">
        <v>728</v>
      </c>
      <c r="G225" s="405">
        <v>45778</v>
      </c>
      <c r="H225" s="397" t="s">
        <v>729</v>
      </c>
      <c r="I225" s="397" t="b">
        <v>0</v>
      </c>
      <c r="J225" s="397" t="s">
        <v>903</v>
      </c>
      <c r="L225" s="397" t="s">
        <v>749</v>
      </c>
      <c r="M225" s="397" t="s">
        <v>904</v>
      </c>
      <c r="N225" s="397">
        <v>0</v>
      </c>
      <c r="O225" s="397">
        <v>138691.34</v>
      </c>
      <c r="P225" s="397" t="s">
        <v>905</v>
      </c>
      <c r="Q225" s="397">
        <v>0</v>
      </c>
      <c r="R225" s="397">
        <v>138691.34</v>
      </c>
      <c r="S225" s="397">
        <v>-138691.34</v>
      </c>
      <c r="T225" s="397" t="s">
        <v>905</v>
      </c>
      <c r="U225" s="397" t="s">
        <v>917</v>
      </c>
      <c r="W225" s="397"/>
      <c r="X225" s="397" t="s">
        <v>805</v>
      </c>
      <c r="Y225" s="397"/>
      <c r="AA225" s="397" t="s">
        <v>907</v>
      </c>
      <c r="AB225" s="397"/>
      <c r="AH225" s="397" t="s">
        <v>918</v>
      </c>
      <c r="AK225" s="397" t="s">
        <v>849</v>
      </c>
      <c r="AL225" s="397" t="s">
        <v>81</v>
      </c>
      <c r="AM225" s="397" t="s">
        <v>913</v>
      </c>
      <c r="AN225" s="397"/>
      <c r="AQ225" s="397" t="s">
        <v>910</v>
      </c>
      <c r="AR225" s="397" t="s">
        <v>911</v>
      </c>
      <c r="AS225" s="406">
        <v>45783.61559898148</v>
      </c>
    </row>
    <row r="226" spans="1:45" x14ac:dyDescent="0.2">
      <c r="A226" s="404" t="s">
        <v>1105</v>
      </c>
      <c r="B226" s="397" t="s">
        <v>1106</v>
      </c>
      <c r="C226" s="397" t="s">
        <v>863</v>
      </c>
      <c r="D226" s="397" t="s">
        <v>901</v>
      </c>
      <c r="E226" s="397" t="s">
        <v>902</v>
      </c>
      <c r="F226" s="397" t="s">
        <v>727</v>
      </c>
      <c r="G226" s="405">
        <v>45777</v>
      </c>
      <c r="H226" s="397" t="s">
        <v>729</v>
      </c>
      <c r="I226" s="397" t="b">
        <v>1</v>
      </c>
      <c r="J226" s="397" t="s">
        <v>903</v>
      </c>
      <c r="L226" s="397" t="s">
        <v>749</v>
      </c>
      <c r="M226" s="397" t="s">
        <v>904</v>
      </c>
      <c r="N226" s="397">
        <v>0</v>
      </c>
      <c r="O226" s="397">
        <v>138691.34</v>
      </c>
      <c r="P226" s="397" t="s">
        <v>905</v>
      </c>
      <c r="Q226" s="397">
        <v>0</v>
      </c>
      <c r="R226" s="397">
        <v>138691.34</v>
      </c>
      <c r="S226" s="397">
        <v>-138691.34</v>
      </c>
      <c r="T226" s="397" t="s">
        <v>905</v>
      </c>
      <c r="U226" s="397" t="s">
        <v>917</v>
      </c>
      <c r="W226" s="397"/>
      <c r="X226" s="397" t="s">
        <v>805</v>
      </c>
      <c r="Y226" s="397"/>
      <c r="AA226" s="397" t="s">
        <v>907</v>
      </c>
      <c r="AB226" s="397"/>
      <c r="AH226" s="397" t="s">
        <v>918</v>
      </c>
      <c r="AK226" s="397" t="s">
        <v>849</v>
      </c>
      <c r="AL226" s="397" t="s">
        <v>81</v>
      </c>
      <c r="AM226" s="397" t="s">
        <v>913</v>
      </c>
      <c r="AN226" s="397"/>
      <c r="AQ226" s="397" t="s">
        <v>910</v>
      </c>
      <c r="AR226" s="397" t="s">
        <v>911</v>
      </c>
      <c r="AS226" s="406">
        <v>45783.618797858799</v>
      </c>
    </row>
    <row r="227" spans="1:45" x14ac:dyDescent="0.2">
      <c r="A227" s="404" t="s">
        <v>1105</v>
      </c>
      <c r="B227" s="397" t="s">
        <v>1106</v>
      </c>
      <c r="C227" s="397" t="s">
        <v>863</v>
      </c>
      <c r="D227" s="397" t="s">
        <v>901</v>
      </c>
      <c r="E227" s="397" t="s">
        <v>902</v>
      </c>
      <c r="F227" s="397" t="s">
        <v>727</v>
      </c>
      <c r="G227" s="405">
        <v>45777</v>
      </c>
      <c r="H227" s="397" t="s">
        <v>729</v>
      </c>
      <c r="I227" s="397" t="b">
        <v>1</v>
      </c>
      <c r="J227" s="397" t="s">
        <v>903</v>
      </c>
      <c r="L227" s="397" t="s">
        <v>749</v>
      </c>
      <c r="M227" s="397" t="s">
        <v>904</v>
      </c>
      <c r="N227" s="397">
        <v>0</v>
      </c>
      <c r="O227" s="397">
        <v>100305.76</v>
      </c>
      <c r="P227" s="397" t="s">
        <v>905</v>
      </c>
      <c r="Q227" s="397">
        <v>0</v>
      </c>
      <c r="R227" s="397">
        <v>100305.76</v>
      </c>
      <c r="S227" s="397">
        <v>-100305.76</v>
      </c>
      <c r="T227" s="397" t="s">
        <v>905</v>
      </c>
      <c r="U227" s="397" t="s">
        <v>1038</v>
      </c>
      <c r="W227" s="397"/>
      <c r="X227" s="397" t="s">
        <v>805</v>
      </c>
      <c r="Y227" s="397"/>
      <c r="AA227" s="397" t="s">
        <v>907</v>
      </c>
      <c r="AB227" s="397"/>
      <c r="AH227" s="397" t="s">
        <v>918</v>
      </c>
      <c r="AK227" s="397" t="s">
        <v>849</v>
      </c>
      <c r="AL227" s="397" t="s">
        <v>81</v>
      </c>
      <c r="AM227" s="397" t="s">
        <v>913</v>
      </c>
      <c r="AN227" s="397"/>
      <c r="AQ227" s="397" t="s">
        <v>910</v>
      </c>
      <c r="AR227" s="397" t="s">
        <v>911</v>
      </c>
      <c r="AS227" s="406">
        <v>45783.618797858799</v>
      </c>
    </row>
    <row r="228" spans="1:45" x14ac:dyDescent="0.2">
      <c r="A228" s="404" t="s">
        <v>1105</v>
      </c>
      <c r="B228" s="397" t="s">
        <v>1106</v>
      </c>
      <c r="C228" s="397" t="s">
        <v>863</v>
      </c>
      <c r="D228" s="397" t="s">
        <v>901</v>
      </c>
      <c r="E228" s="397" t="s">
        <v>902</v>
      </c>
      <c r="F228" s="397" t="s">
        <v>727</v>
      </c>
      <c r="G228" s="405">
        <v>45777</v>
      </c>
      <c r="H228" s="397" t="s">
        <v>729</v>
      </c>
      <c r="I228" s="397" t="b">
        <v>1</v>
      </c>
      <c r="J228" s="397" t="s">
        <v>903</v>
      </c>
      <c r="L228" s="397" t="s">
        <v>749</v>
      </c>
      <c r="M228" s="397" t="s">
        <v>904</v>
      </c>
      <c r="N228" s="397">
        <v>0</v>
      </c>
      <c r="O228" s="397">
        <v>62897.41</v>
      </c>
      <c r="P228" s="397" t="s">
        <v>905</v>
      </c>
      <c r="Q228" s="397">
        <v>0</v>
      </c>
      <c r="R228" s="397">
        <v>62897.41</v>
      </c>
      <c r="S228" s="397">
        <v>-62897.41</v>
      </c>
      <c r="T228" s="397" t="s">
        <v>905</v>
      </c>
      <c r="U228" s="397" t="s">
        <v>919</v>
      </c>
      <c r="W228" s="397"/>
      <c r="X228" s="397" t="s">
        <v>805</v>
      </c>
      <c r="Y228" s="397"/>
      <c r="AA228" s="397" t="s">
        <v>907</v>
      </c>
      <c r="AB228" s="397"/>
      <c r="AH228" s="397" t="s">
        <v>920</v>
      </c>
      <c r="AK228" s="397" t="s">
        <v>849</v>
      </c>
      <c r="AL228" s="397" t="s">
        <v>81</v>
      </c>
      <c r="AM228" s="397" t="s">
        <v>913</v>
      </c>
      <c r="AN228" s="397"/>
      <c r="AQ228" s="397" t="s">
        <v>910</v>
      </c>
      <c r="AR228" s="397" t="s">
        <v>911</v>
      </c>
      <c r="AS228" s="406">
        <v>45783.618797858799</v>
      </c>
    </row>
    <row r="229" spans="1:45" x14ac:dyDescent="0.2">
      <c r="A229" s="404" t="s">
        <v>1107</v>
      </c>
      <c r="B229" s="397" t="s">
        <v>1108</v>
      </c>
      <c r="C229" s="397" t="s">
        <v>863</v>
      </c>
      <c r="D229" s="397" t="s">
        <v>901</v>
      </c>
      <c r="E229" s="397" t="s">
        <v>902</v>
      </c>
      <c r="F229" s="397" t="s">
        <v>728</v>
      </c>
      <c r="G229" s="405">
        <v>45778</v>
      </c>
      <c r="H229" s="397" t="s">
        <v>729</v>
      </c>
      <c r="I229" s="397" t="b">
        <v>0</v>
      </c>
      <c r="J229" s="397" t="s">
        <v>903</v>
      </c>
      <c r="L229" s="397" t="s">
        <v>749</v>
      </c>
      <c r="M229" s="397" t="s">
        <v>904</v>
      </c>
      <c r="N229" s="397">
        <v>62897.41</v>
      </c>
      <c r="O229" s="397">
        <v>0</v>
      </c>
      <c r="P229" s="397" t="s">
        <v>905</v>
      </c>
      <c r="Q229" s="397">
        <v>62897.41</v>
      </c>
      <c r="R229" s="397">
        <v>0</v>
      </c>
      <c r="S229" s="397">
        <v>62897.41</v>
      </c>
      <c r="T229" s="397" t="s">
        <v>905</v>
      </c>
      <c r="U229" s="397" t="s">
        <v>919</v>
      </c>
      <c r="W229" s="397"/>
      <c r="X229" s="397" t="s">
        <v>805</v>
      </c>
      <c r="Y229" s="397"/>
      <c r="AA229" s="397" t="s">
        <v>907</v>
      </c>
      <c r="AB229" s="397"/>
      <c r="AH229" s="397" t="s">
        <v>920</v>
      </c>
      <c r="AK229" s="397" t="s">
        <v>849</v>
      </c>
      <c r="AL229" s="397" t="s">
        <v>81</v>
      </c>
      <c r="AM229" s="397" t="s">
        <v>913</v>
      </c>
      <c r="AN229" s="397"/>
      <c r="AQ229" s="397" t="s">
        <v>910</v>
      </c>
      <c r="AR229" s="397" t="s">
        <v>911</v>
      </c>
      <c r="AS229" s="406">
        <v>45783.619005752313</v>
      </c>
    </row>
    <row r="230" spans="1:45" x14ac:dyDescent="0.2">
      <c r="A230" s="404" t="s">
        <v>1107</v>
      </c>
      <c r="B230" s="397" t="s">
        <v>1108</v>
      </c>
      <c r="C230" s="397" t="s">
        <v>863</v>
      </c>
      <c r="D230" s="397" t="s">
        <v>901</v>
      </c>
      <c r="E230" s="397" t="s">
        <v>902</v>
      </c>
      <c r="F230" s="397" t="s">
        <v>728</v>
      </c>
      <c r="G230" s="405">
        <v>45778</v>
      </c>
      <c r="H230" s="397" t="s">
        <v>729</v>
      </c>
      <c r="I230" s="397" t="b">
        <v>0</v>
      </c>
      <c r="J230" s="397" t="s">
        <v>903</v>
      </c>
      <c r="L230" s="397" t="s">
        <v>749</v>
      </c>
      <c r="M230" s="397" t="s">
        <v>904</v>
      </c>
      <c r="N230" s="397">
        <v>100305.76</v>
      </c>
      <c r="O230" s="397">
        <v>0</v>
      </c>
      <c r="P230" s="397" t="s">
        <v>905</v>
      </c>
      <c r="Q230" s="397">
        <v>100305.76</v>
      </c>
      <c r="R230" s="397">
        <v>0</v>
      </c>
      <c r="S230" s="397">
        <v>100305.76</v>
      </c>
      <c r="T230" s="397" t="s">
        <v>905</v>
      </c>
      <c r="U230" s="397" t="s">
        <v>1038</v>
      </c>
      <c r="W230" s="397"/>
      <c r="X230" s="397" t="s">
        <v>805</v>
      </c>
      <c r="Y230" s="397"/>
      <c r="AA230" s="397" t="s">
        <v>907</v>
      </c>
      <c r="AB230" s="397"/>
      <c r="AH230" s="397" t="s">
        <v>918</v>
      </c>
      <c r="AK230" s="397" t="s">
        <v>849</v>
      </c>
      <c r="AL230" s="397" t="s">
        <v>81</v>
      </c>
      <c r="AM230" s="397" t="s">
        <v>913</v>
      </c>
      <c r="AN230" s="397"/>
      <c r="AQ230" s="397" t="s">
        <v>910</v>
      </c>
      <c r="AR230" s="397" t="s">
        <v>911</v>
      </c>
      <c r="AS230" s="406">
        <v>45783.619005752313</v>
      </c>
    </row>
    <row r="231" spans="1:45" x14ac:dyDescent="0.2">
      <c r="A231" s="404" t="s">
        <v>1107</v>
      </c>
      <c r="B231" s="397" t="s">
        <v>1108</v>
      </c>
      <c r="C231" s="397" t="s">
        <v>863</v>
      </c>
      <c r="D231" s="397" t="s">
        <v>901</v>
      </c>
      <c r="E231" s="397" t="s">
        <v>902</v>
      </c>
      <c r="F231" s="397" t="s">
        <v>728</v>
      </c>
      <c r="G231" s="405">
        <v>45778</v>
      </c>
      <c r="H231" s="397" t="s">
        <v>729</v>
      </c>
      <c r="I231" s="397" t="b">
        <v>0</v>
      </c>
      <c r="J231" s="397" t="s">
        <v>903</v>
      </c>
      <c r="L231" s="397" t="s">
        <v>749</v>
      </c>
      <c r="M231" s="397" t="s">
        <v>904</v>
      </c>
      <c r="N231" s="397">
        <v>138691.34</v>
      </c>
      <c r="O231" s="397">
        <v>0</v>
      </c>
      <c r="P231" s="397" t="s">
        <v>905</v>
      </c>
      <c r="Q231" s="397">
        <v>138691.34</v>
      </c>
      <c r="R231" s="397">
        <v>0</v>
      </c>
      <c r="S231" s="397">
        <v>138691.34</v>
      </c>
      <c r="T231" s="397" t="s">
        <v>905</v>
      </c>
      <c r="U231" s="397" t="s">
        <v>917</v>
      </c>
      <c r="W231" s="397"/>
      <c r="X231" s="397" t="s">
        <v>805</v>
      </c>
      <c r="Y231" s="397"/>
      <c r="AA231" s="397" t="s">
        <v>907</v>
      </c>
      <c r="AB231" s="397"/>
      <c r="AH231" s="397" t="s">
        <v>918</v>
      </c>
      <c r="AK231" s="397" t="s">
        <v>849</v>
      </c>
      <c r="AL231" s="397" t="s">
        <v>81</v>
      </c>
      <c r="AM231" s="397" t="s">
        <v>913</v>
      </c>
      <c r="AN231" s="397"/>
      <c r="AQ231" s="397" t="s">
        <v>910</v>
      </c>
      <c r="AR231" s="397" t="s">
        <v>911</v>
      </c>
      <c r="AS231" s="406">
        <v>45783.619005752313</v>
      </c>
    </row>
    <row r="232" spans="1:45" x14ac:dyDescent="0.2">
      <c r="A232" s="404" t="s">
        <v>1109</v>
      </c>
      <c r="B232" s="397" t="s">
        <v>1110</v>
      </c>
      <c r="C232" s="397" t="s">
        <v>863</v>
      </c>
      <c r="D232" s="397" t="s">
        <v>923</v>
      </c>
      <c r="E232" s="397" t="s">
        <v>902</v>
      </c>
      <c r="F232" s="397" t="s">
        <v>728</v>
      </c>
      <c r="G232" s="405">
        <v>45803</v>
      </c>
      <c r="H232" s="397" t="s">
        <v>729</v>
      </c>
      <c r="I232" s="397" t="b">
        <v>0</v>
      </c>
      <c r="J232" s="397" t="s">
        <v>903</v>
      </c>
      <c r="L232" s="397" t="s">
        <v>749</v>
      </c>
      <c r="M232" s="397" t="s">
        <v>904</v>
      </c>
      <c r="N232" s="397">
        <v>0</v>
      </c>
      <c r="O232" s="397">
        <v>101398.95</v>
      </c>
      <c r="P232" s="397" t="s">
        <v>905</v>
      </c>
      <c r="Q232" s="397">
        <v>0</v>
      </c>
      <c r="R232" s="397">
        <v>101398.95</v>
      </c>
      <c r="S232" s="397">
        <v>-101398.95</v>
      </c>
      <c r="T232" s="397" t="s">
        <v>905</v>
      </c>
      <c r="U232" s="397" t="s">
        <v>917</v>
      </c>
      <c r="W232" s="397"/>
      <c r="X232" s="397" t="s">
        <v>805</v>
      </c>
      <c r="Y232" s="397"/>
      <c r="AA232" s="397" t="s">
        <v>907</v>
      </c>
      <c r="AB232" s="397"/>
      <c r="AH232" s="397" t="s">
        <v>918</v>
      </c>
      <c r="AK232" s="397" t="s">
        <v>849</v>
      </c>
      <c r="AL232" s="397" t="s">
        <v>81</v>
      </c>
      <c r="AM232" s="397" t="s">
        <v>913</v>
      </c>
      <c r="AN232" s="397"/>
      <c r="AQ232" s="397" t="s">
        <v>910</v>
      </c>
      <c r="AR232" s="397" t="s">
        <v>911</v>
      </c>
      <c r="AS232" s="406">
        <v>45810.431887974541</v>
      </c>
    </row>
    <row r="233" spans="1:45" x14ac:dyDescent="0.2">
      <c r="A233" s="404" t="s">
        <v>1109</v>
      </c>
      <c r="B233" s="397" t="s">
        <v>1110</v>
      </c>
      <c r="C233" s="397" t="s">
        <v>863</v>
      </c>
      <c r="D233" s="397" t="s">
        <v>923</v>
      </c>
      <c r="E233" s="397" t="s">
        <v>902</v>
      </c>
      <c r="F233" s="397" t="s">
        <v>728</v>
      </c>
      <c r="G233" s="405">
        <v>45803</v>
      </c>
      <c r="H233" s="397" t="s">
        <v>729</v>
      </c>
      <c r="I233" s="397" t="b">
        <v>0</v>
      </c>
      <c r="J233" s="397" t="s">
        <v>903</v>
      </c>
      <c r="L233" s="397" t="s">
        <v>749</v>
      </c>
      <c r="M233" s="397" t="s">
        <v>904</v>
      </c>
      <c r="N233" s="397">
        <v>0</v>
      </c>
      <c r="O233" s="397">
        <v>100305.76</v>
      </c>
      <c r="P233" s="397" t="s">
        <v>905</v>
      </c>
      <c r="Q233" s="397">
        <v>0</v>
      </c>
      <c r="R233" s="397">
        <v>100305.76</v>
      </c>
      <c r="S233" s="397">
        <v>-100305.76</v>
      </c>
      <c r="T233" s="397" t="s">
        <v>905</v>
      </c>
      <c r="U233" s="397" t="s">
        <v>1038</v>
      </c>
      <c r="W233" s="397"/>
      <c r="X233" s="397" t="s">
        <v>805</v>
      </c>
      <c r="Y233" s="397"/>
      <c r="AA233" s="397" t="s">
        <v>907</v>
      </c>
      <c r="AB233" s="397"/>
      <c r="AH233" s="397" t="s">
        <v>918</v>
      </c>
      <c r="AK233" s="397" t="s">
        <v>849</v>
      </c>
      <c r="AL233" s="397" t="s">
        <v>81</v>
      </c>
      <c r="AM233" s="397" t="s">
        <v>913</v>
      </c>
      <c r="AN233" s="397"/>
      <c r="AQ233" s="397" t="s">
        <v>910</v>
      </c>
      <c r="AR233" s="397" t="s">
        <v>911</v>
      </c>
      <c r="AS233" s="406">
        <v>45810.431887974541</v>
      </c>
    </row>
    <row r="234" spans="1:45" x14ac:dyDescent="0.2">
      <c r="A234" s="404" t="s">
        <v>1109</v>
      </c>
      <c r="B234" s="397" t="s">
        <v>1110</v>
      </c>
      <c r="C234" s="397" t="s">
        <v>863</v>
      </c>
      <c r="D234" s="397" t="s">
        <v>923</v>
      </c>
      <c r="E234" s="397" t="s">
        <v>902</v>
      </c>
      <c r="F234" s="397" t="s">
        <v>728</v>
      </c>
      <c r="G234" s="405">
        <v>45803</v>
      </c>
      <c r="H234" s="397" t="s">
        <v>729</v>
      </c>
      <c r="I234" s="397" t="b">
        <v>0</v>
      </c>
      <c r="J234" s="397" t="s">
        <v>903</v>
      </c>
      <c r="L234" s="397" t="s">
        <v>749</v>
      </c>
      <c r="M234" s="397" t="s">
        <v>904</v>
      </c>
      <c r="N234" s="397">
        <v>0</v>
      </c>
      <c r="O234" s="397">
        <v>205.39</v>
      </c>
      <c r="P234" s="397" t="s">
        <v>905</v>
      </c>
      <c r="Q234" s="397">
        <v>0</v>
      </c>
      <c r="R234" s="397">
        <v>205.39</v>
      </c>
      <c r="S234" s="397">
        <v>-205.39</v>
      </c>
      <c r="T234" s="397" t="s">
        <v>905</v>
      </c>
      <c r="U234" s="397" t="s">
        <v>924</v>
      </c>
      <c r="W234" s="397"/>
      <c r="X234" s="397" t="s">
        <v>805</v>
      </c>
      <c r="Y234" s="397"/>
      <c r="AA234" s="397" t="s">
        <v>907</v>
      </c>
      <c r="AB234" s="397"/>
      <c r="AH234" s="397" t="s">
        <v>925</v>
      </c>
      <c r="AK234" s="397" t="s">
        <v>849</v>
      </c>
      <c r="AL234" s="397" t="s">
        <v>81</v>
      </c>
      <c r="AM234" s="397" t="s">
        <v>913</v>
      </c>
      <c r="AN234" s="397"/>
      <c r="AQ234" s="397" t="s">
        <v>910</v>
      </c>
      <c r="AR234" s="397" t="s">
        <v>911</v>
      </c>
      <c r="AS234" s="406">
        <v>45810.431887974541</v>
      </c>
    </row>
    <row r="235" spans="1:45" x14ac:dyDescent="0.2">
      <c r="A235" s="404" t="s">
        <v>1109</v>
      </c>
      <c r="B235" s="397" t="s">
        <v>1110</v>
      </c>
      <c r="C235" s="397" t="s">
        <v>863</v>
      </c>
      <c r="D235" s="397" t="s">
        <v>923</v>
      </c>
      <c r="E235" s="397" t="s">
        <v>902</v>
      </c>
      <c r="F235" s="397" t="s">
        <v>728</v>
      </c>
      <c r="G235" s="405">
        <v>45803</v>
      </c>
      <c r="H235" s="397" t="s">
        <v>729</v>
      </c>
      <c r="I235" s="397" t="b">
        <v>0</v>
      </c>
      <c r="J235" s="397" t="s">
        <v>903</v>
      </c>
      <c r="L235" s="397" t="s">
        <v>749</v>
      </c>
      <c r="M235" s="397" t="s">
        <v>904</v>
      </c>
      <c r="N235" s="397">
        <v>0</v>
      </c>
      <c r="O235" s="397">
        <v>98512.91</v>
      </c>
      <c r="P235" s="397" t="s">
        <v>905</v>
      </c>
      <c r="Q235" s="397">
        <v>0</v>
      </c>
      <c r="R235" s="397">
        <v>98512.91</v>
      </c>
      <c r="S235" s="397">
        <v>-98512.91</v>
      </c>
      <c r="T235" s="397" t="s">
        <v>905</v>
      </c>
      <c r="U235" s="397" t="s">
        <v>919</v>
      </c>
      <c r="W235" s="397"/>
      <c r="X235" s="397" t="s">
        <v>805</v>
      </c>
      <c r="Y235" s="397"/>
      <c r="AA235" s="397" t="s">
        <v>907</v>
      </c>
      <c r="AB235" s="397"/>
      <c r="AH235" s="397" t="s">
        <v>920</v>
      </c>
      <c r="AK235" s="397" t="s">
        <v>849</v>
      </c>
      <c r="AL235" s="397" t="s">
        <v>81</v>
      </c>
      <c r="AM235" s="397" t="s">
        <v>913</v>
      </c>
      <c r="AN235" s="397"/>
      <c r="AQ235" s="397" t="s">
        <v>910</v>
      </c>
      <c r="AR235" s="397" t="s">
        <v>911</v>
      </c>
      <c r="AS235" s="406">
        <v>45810.431887974541</v>
      </c>
    </row>
    <row r="236" spans="1:45" x14ac:dyDescent="0.2">
      <c r="A236" s="404" t="s">
        <v>1111</v>
      </c>
      <c r="B236" s="397" t="s">
        <v>1112</v>
      </c>
      <c r="C236" s="397" t="s">
        <v>863</v>
      </c>
      <c r="D236" s="397" t="s">
        <v>901</v>
      </c>
      <c r="E236" s="397" t="s">
        <v>902</v>
      </c>
      <c r="F236" s="397" t="s">
        <v>728</v>
      </c>
      <c r="G236" s="405">
        <v>45803</v>
      </c>
      <c r="H236" s="397" t="s">
        <v>729</v>
      </c>
      <c r="I236" s="397" t="b">
        <v>0</v>
      </c>
      <c r="J236" s="397" t="s">
        <v>903</v>
      </c>
      <c r="L236" s="397" t="s">
        <v>749</v>
      </c>
      <c r="M236" s="397" t="s">
        <v>904</v>
      </c>
      <c r="N236" s="397">
        <v>0</v>
      </c>
      <c r="O236" s="397">
        <v>9195.9599999999991</v>
      </c>
      <c r="P236" s="397" t="s">
        <v>905</v>
      </c>
      <c r="Q236" s="397">
        <v>0</v>
      </c>
      <c r="R236" s="397">
        <v>9195.9599999999991</v>
      </c>
      <c r="S236" s="397">
        <v>-9195.9599999999991</v>
      </c>
      <c r="T236" s="397" t="s">
        <v>905</v>
      </c>
      <c r="U236" s="397" t="s">
        <v>1095</v>
      </c>
      <c r="W236" s="397"/>
      <c r="X236" s="397" t="s">
        <v>805</v>
      </c>
      <c r="Y236" s="397"/>
      <c r="AA236" s="397" t="s">
        <v>907</v>
      </c>
      <c r="AB236" s="397"/>
      <c r="AH236" s="397" t="s">
        <v>990</v>
      </c>
      <c r="AK236" s="397" t="s">
        <v>849</v>
      </c>
      <c r="AL236" s="397" t="s">
        <v>81</v>
      </c>
      <c r="AM236" s="397" t="s">
        <v>913</v>
      </c>
      <c r="AN236" s="397"/>
      <c r="AQ236" s="397" t="s">
        <v>910</v>
      </c>
      <c r="AR236" s="397" t="s">
        <v>911</v>
      </c>
      <c r="AS236" s="406">
        <v>45810.447472210646</v>
      </c>
    </row>
    <row r="237" spans="1:45" x14ac:dyDescent="0.2">
      <c r="A237" s="404" t="s">
        <v>1111</v>
      </c>
      <c r="B237" s="397" t="s">
        <v>1112</v>
      </c>
      <c r="C237" s="397" t="s">
        <v>863</v>
      </c>
      <c r="D237" s="397" t="s">
        <v>901</v>
      </c>
      <c r="E237" s="397" t="s">
        <v>902</v>
      </c>
      <c r="F237" s="397" t="s">
        <v>728</v>
      </c>
      <c r="G237" s="405">
        <v>45803</v>
      </c>
      <c r="H237" s="397" t="s">
        <v>729</v>
      </c>
      <c r="I237" s="397" t="b">
        <v>0</v>
      </c>
      <c r="J237" s="397" t="s">
        <v>903</v>
      </c>
      <c r="L237" s="397" t="s">
        <v>749</v>
      </c>
      <c r="M237" s="397" t="s">
        <v>904</v>
      </c>
      <c r="N237" s="397">
        <v>0</v>
      </c>
      <c r="O237" s="397">
        <v>990.54</v>
      </c>
      <c r="P237" s="397" t="s">
        <v>905</v>
      </c>
      <c r="Q237" s="397">
        <v>0</v>
      </c>
      <c r="R237" s="397">
        <v>990.54</v>
      </c>
      <c r="S237" s="397">
        <v>-990.54</v>
      </c>
      <c r="T237" s="397" t="s">
        <v>905</v>
      </c>
      <c r="U237" s="397" t="s">
        <v>1096</v>
      </c>
      <c r="W237" s="397"/>
      <c r="X237" s="397" t="s">
        <v>805</v>
      </c>
      <c r="Y237" s="397"/>
      <c r="AA237" s="397" t="s">
        <v>907</v>
      </c>
      <c r="AB237" s="397"/>
      <c r="AH237" s="397" t="s">
        <v>908</v>
      </c>
      <c r="AK237" s="397" t="s">
        <v>747</v>
      </c>
      <c r="AL237" s="397" t="s">
        <v>86</v>
      </c>
      <c r="AM237" s="397" t="s">
        <v>909</v>
      </c>
      <c r="AN237" s="397"/>
      <c r="AQ237" s="397" t="s">
        <v>910</v>
      </c>
      <c r="AR237" s="397" t="s">
        <v>911</v>
      </c>
      <c r="AS237" s="406">
        <v>45810.447472210646</v>
      </c>
    </row>
    <row r="238" spans="1:45" x14ac:dyDescent="0.2">
      <c r="A238" s="404" t="s">
        <v>1111</v>
      </c>
      <c r="B238" s="397" t="s">
        <v>1112</v>
      </c>
      <c r="C238" s="397" t="s">
        <v>863</v>
      </c>
      <c r="D238" s="397" t="s">
        <v>901</v>
      </c>
      <c r="E238" s="397" t="s">
        <v>902</v>
      </c>
      <c r="F238" s="397" t="s">
        <v>728</v>
      </c>
      <c r="G238" s="405">
        <v>45803</v>
      </c>
      <c r="H238" s="397" t="s">
        <v>729</v>
      </c>
      <c r="I238" s="397" t="b">
        <v>0</v>
      </c>
      <c r="J238" s="397" t="s">
        <v>903</v>
      </c>
      <c r="L238" s="397" t="s">
        <v>749</v>
      </c>
      <c r="M238" s="397" t="s">
        <v>904</v>
      </c>
      <c r="N238" s="397">
        <v>0</v>
      </c>
      <c r="O238" s="397">
        <v>1227.97</v>
      </c>
      <c r="P238" s="397" t="s">
        <v>905</v>
      </c>
      <c r="Q238" s="397">
        <v>0</v>
      </c>
      <c r="R238" s="397">
        <v>1227.97</v>
      </c>
      <c r="S238" s="397">
        <v>-1227.97</v>
      </c>
      <c r="T238" s="397" t="s">
        <v>905</v>
      </c>
      <c r="U238" s="397" t="s">
        <v>1097</v>
      </c>
      <c r="W238" s="397"/>
      <c r="X238" s="397" t="s">
        <v>805</v>
      </c>
      <c r="Y238" s="397"/>
      <c r="AA238" s="397" t="s">
        <v>907</v>
      </c>
      <c r="AB238" s="397"/>
      <c r="AH238" s="397" t="s">
        <v>908</v>
      </c>
      <c r="AK238" s="397" t="s">
        <v>849</v>
      </c>
      <c r="AL238" s="397" t="s">
        <v>81</v>
      </c>
      <c r="AM238" s="397" t="s">
        <v>913</v>
      </c>
      <c r="AN238" s="397"/>
      <c r="AQ238" s="397" t="s">
        <v>910</v>
      </c>
      <c r="AR238" s="397" t="s">
        <v>911</v>
      </c>
      <c r="AS238" s="406">
        <v>45810.447472210646</v>
      </c>
    </row>
    <row r="239" spans="1:45" x14ac:dyDescent="0.2">
      <c r="A239" s="404" t="s">
        <v>1111</v>
      </c>
      <c r="B239" s="397" t="s">
        <v>1112</v>
      </c>
      <c r="C239" s="397" t="s">
        <v>863</v>
      </c>
      <c r="D239" s="397" t="s">
        <v>901</v>
      </c>
      <c r="E239" s="397" t="s">
        <v>902</v>
      </c>
      <c r="F239" s="397" t="s">
        <v>728</v>
      </c>
      <c r="G239" s="405">
        <v>45803</v>
      </c>
      <c r="H239" s="397" t="s">
        <v>729</v>
      </c>
      <c r="I239" s="397" t="b">
        <v>0</v>
      </c>
      <c r="J239" s="397" t="s">
        <v>903</v>
      </c>
      <c r="L239" s="397" t="s">
        <v>749</v>
      </c>
      <c r="M239" s="397" t="s">
        <v>904</v>
      </c>
      <c r="N239" s="397">
        <v>0</v>
      </c>
      <c r="O239" s="397">
        <v>41523.42</v>
      </c>
      <c r="P239" s="397" t="s">
        <v>905</v>
      </c>
      <c r="Q239" s="397">
        <v>0</v>
      </c>
      <c r="R239" s="397">
        <v>41523.42</v>
      </c>
      <c r="S239" s="397">
        <v>-41523.42</v>
      </c>
      <c r="T239" s="397" t="s">
        <v>905</v>
      </c>
      <c r="U239" s="397" t="s">
        <v>1098</v>
      </c>
      <c r="W239" s="397"/>
      <c r="X239" s="397" t="s">
        <v>805</v>
      </c>
      <c r="Y239" s="397"/>
      <c r="AA239" s="397" t="s">
        <v>907</v>
      </c>
      <c r="AB239" s="397"/>
      <c r="AH239" s="397" t="s">
        <v>908</v>
      </c>
      <c r="AK239" s="397" t="s">
        <v>849</v>
      </c>
      <c r="AL239" s="397" t="s">
        <v>81</v>
      </c>
      <c r="AM239" s="397" t="s">
        <v>913</v>
      </c>
      <c r="AN239" s="397"/>
      <c r="AQ239" s="397" t="s">
        <v>910</v>
      </c>
      <c r="AR239" s="397" t="s">
        <v>911</v>
      </c>
      <c r="AS239" s="406">
        <v>45810.447472210646</v>
      </c>
    </row>
    <row r="240" spans="1:45" x14ac:dyDescent="0.2">
      <c r="A240" s="404" t="s">
        <v>1113</v>
      </c>
      <c r="B240" s="397" t="s">
        <v>1114</v>
      </c>
      <c r="C240" s="397" t="s">
        <v>863</v>
      </c>
      <c r="D240" s="397" t="s">
        <v>901</v>
      </c>
      <c r="E240" s="397" t="s">
        <v>902</v>
      </c>
      <c r="F240" s="397" t="s">
        <v>728</v>
      </c>
      <c r="G240" s="405">
        <v>45808</v>
      </c>
      <c r="H240" s="397" t="s">
        <v>729</v>
      </c>
      <c r="I240" s="397" t="b">
        <v>1</v>
      </c>
      <c r="J240" s="397" t="s">
        <v>903</v>
      </c>
      <c r="L240" s="397" t="s">
        <v>749</v>
      </c>
      <c r="M240" s="397" t="s">
        <v>904</v>
      </c>
      <c r="N240" s="397">
        <v>0</v>
      </c>
      <c r="O240" s="397">
        <v>18163.400000000001</v>
      </c>
      <c r="P240" s="397" t="s">
        <v>905</v>
      </c>
      <c r="Q240" s="397">
        <v>0</v>
      </c>
      <c r="R240" s="397">
        <v>18163.400000000001</v>
      </c>
      <c r="S240" s="397">
        <v>-18163.400000000001</v>
      </c>
      <c r="T240" s="397" t="s">
        <v>905</v>
      </c>
      <c r="U240" s="397" t="s">
        <v>1115</v>
      </c>
      <c r="W240" s="397"/>
      <c r="X240" s="397" t="s">
        <v>805</v>
      </c>
      <c r="Y240" s="397"/>
      <c r="AA240" s="397" t="s">
        <v>907</v>
      </c>
      <c r="AB240" s="397"/>
      <c r="AH240" s="397" t="s">
        <v>990</v>
      </c>
      <c r="AK240" s="397" t="s">
        <v>849</v>
      </c>
      <c r="AL240" s="397" t="s">
        <v>81</v>
      </c>
      <c r="AM240" s="397" t="s">
        <v>913</v>
      </c>
      <c r="AN240" s="397"/>
      <c r="AQ240" s="397" t="s">
        <v>910</v>
      </c>
      <c r="AR240" s="397" t="s">
        <v>911</v>
      </c>
      <c r="AS240" s="406">
        <v>45812.472790995373</v>
      </c>
    </row>
    <row r="241" spans="1:45" x14ac:dyDescent="0.2">
      <c r="A241" s="404" t="s">
        <v>1113</v>
      </c>
      <c r="B241" s="397" t="s">
        <v>1114</v>
      </c>
      <c r="C241" s="397" t="s">
        <v>863</v>
      </c>
      <c r="D241" s="397" t="s">
        <v>901</v>
      </c>
      <c r="E241" s="397" t="s">
        <v>902</v>
      </c>
      <c r="F241" s="397" t="s">
        <v>728</v>
      </c>
      <c r="G241" s="405">
        <v>45808</v>
      </c>
      <c r="H241" s="397" t="s">
        <v>729</v>
      </c>
      <c r="I241" s="397" t="b">
        <v>1</v>
      </c>
      <c r="J241" s="397" t="s">
        <v>903</v>
      </c>
      <c r="L241" s="397" t="s">
        <v>749</v>
      </c>
      <c r="M241" s="397" t="s">
        <v>904</v>
      </c>
      <c r="N241" s="397">
        <v>0</v>
      </c>
      <c r="O241" s="397">
        <v>990.54</v>
      </c>
      <c r="P241" s="397" t="s">
        <v>905</v>
      </c>
      <c r="Q241" s="397">
        <v>0</v>
      </c>
      <c r="R241" s="397">
        <v>990.54</v>
      </c>
      <c r="S241" s="397">
        <v>-990.54</v>
      </c>
      <c r="T241" s="397" t="s">
        <v>905</v>
      </c>
      <c r="U241" s="397" t="s">
        <v>1116</v>
      </c>
      <c r="W241" s="397"/>
      <c r="X241" s="397" t="s">
        <v>805</v>
      </c>
      <c r="Y241" s="397"/>
      <c r="AA241" s="397" t="s">
        <v>907</v>
      </c>
      <c r="AB241" s="397"/>
      <c r="AH241" s="397" t="s">
        <v>908</v>
      </c>
      <c r="AK241" s="397" t="s">
        <v>747</v>
      </c>
      <c r="AL241" s="397" t="s">
        <v>86</v>
      </c>
      <c r="AM241" s="397" t="s">
        <v>909</v>
      </c>
      <c r="AN241" s="397"/>
      <c r="AQ241" s="397" t="s">
        <v>910</v>
      </c>
      <c r="AR241" s="397" t="s">
        <v>911</v>
      </c>
      <c r="AS241" s="406">
        <v>45812.472790995373</v>
      </c>
    </row>
    <row r="242" spans="1:45" x14ac:dyDescent="0.2">
      <c r="A242" s="404" t="s">
        <v>1113</v>
      </c>
      <c r="B242" s="397" t="s">
        <v>1114</v>
      </c>
      <c r="C242" s="397" t="s">
        <v>863</v>
      </c>
      <c r="D242" s="397" t="s">
        <v>901</v>
      </c>
      <c r="E242" s="397" t="s">
        <v>902</v>
      </c>
      <c r="F242" s="397" t="s">
        <v>728</v>
      </c>
      <c r="G242" s="405">
        <v>45808</v>
      </c>
      <c r="H242" s="397" t="s">
        <v>729</v>
      </c>
      <c r="I242" s="397" t="b">
        <v>1</v>
      </c>
      <c r="J242" s="397" t="s">
        <v>903</v>
      </c>
      <c r="L242" s="397" t="s">
        <v>749</v>
      </c>
      <c r="M242" s="397" t="s">
        <v>904</v>
      </c>
      <c r="N242" s="397">
        <v>0</v>
      </c>
      <c r="O242" s="397">
        <v>1398.4</v>
      </c>
      <c r="P242" s="397" t="s">
        <v>905</v>
      </c>
      <c r="Q242" s="397">
        <v>0</v>
      </c>
      <c r="R242" s="397">
        <v>1398.4</v>
      </c>
      <c r="S242" s="397">
        <v>-1398.4</v>
      </c>
      <c r="T242" s="397" t="s">
        <v>905</v>
      </c>
      <c r="U242" s="397" t="s">
        <v>1117</v>
      </c>
      <c r="W242" s="397"/>
      <c r="X242" s="397" t="s">
        <v>805</v>
      </c>
      <c r="Y242" s="397"/>
      <c r="AA242" s="397" t="s">
        <v>907</v>
      </c>
      <c r="AB242" s="397"/>
      <c r="AH242" s="397" t="s">
        <v>908</v>
      </c>
      <c r="AK242" s="397" t="s">
        <v>849</v>
      </c>
      <c r="AL242" s="397" t="s">
        <v>81</v>
      </c>
      <c r="AM242" s="397" t="s">
        <v>913</v>
      </c>
      <c r="AN242" s="397"/>
      <c r="AQ242" s="397" t="s">
        <v>910</v>
      </c>
      <c r="AR242" s="397" t="s">
        <v>911</v>
      </c>
      <c r="AS242" s="406">
        <v>45812.472790995373</v>
      </c>
    </row>
    <row r="243" spans="1:45" x14ac:dyDescent="0.2">
      <c r="A243" s="404" t="s">
        <v>1113</v>
      </c>
      <c r="B243" s="397" t="s">
        <v>1114</v>
      </c>
      <c r="C243" s="397" t="s">
        <v>863</v>
      </c>
      <c r="D243" s="397" t="s">
        <v>901</v>
      </c>
      <c r="E243" s="397" t="s">
        <v>902</v>
      </c>
      <c r="F243" s="397" t="s">
        <v>728</v>
      </c>
      <c r="G243" s="405">
        <v>45808</v>
      </c>
      <c r="H243" s="397" t="s">
        <v>729</v>
      </c>
      <c r="I243" s="397" t="b">
        <v>1</v>
      </c>
      <c r="J243" s="397" t="s">
        <v>903</v>
      </c>
      <c r="L243" s="397" t="s">
        <v>749</v>
      </c>
      <c r="M243" s="397" t="s">
        <v>904</v>
      </c>
      <c r="N243" s="397">
        <v>0</v>
      </c>
      <c r="O243" s="397">
        <v>57767.55</v>
      </c>
      <c r="P243" s="397" t="s">
        <v>905</v>
      </c>
      <c r="Q243" s="397">
        <v>0</v>
      </c>
      <c r="R243" s="397">
        <v>57767.55</v>
      </c>
      <c r="S243" s="397">
        <v>-57767.55</v>
      </c>
      <c r="T243" s="397" t="s">
        <v>905</v>
      </c>
      <c r="U243" s="397" t="s">
        <v>1118</v>
      </c>
      <c r="W243" s="397"/>
      <c r="X243" s="397" t="s">
        <v>805</v>
      </c>
      <c r="Y243" s="397"/>
      <c r="AA243" s="397" t="s">
        <v>907</v>
      </c>
      <c r="AB243" s="397"/>
      <c r="AH243" s="397" t="s">
        <v>908</v>
      </c>
      <c r="AK243" s="397" t="s">
        <v>849</v>
      </c>
      <c r="AL243" s="397" t="s">
        <v>81</v>
      </c>
      <c r="AM243" s="397" t="s">
        <v>913</v>
      </c>
      <c r="AN243" s="397"/>
      <c r="AQ243" s="397" t="s">
        <v>910</v>
      </c>
      <c r="AR243" s="397" t="s">
        <v>911</v>
      </c>
      <c r="AS243" s="406">
        <v>45812.472790995373</v>
      </c>
    </row>
    <row r="244" spans="1:45" x14ac:dyDescent="0.2">
      <c r="A244" s="404" t="s">
        <v>1119</v>
      </c>
      <c r="B244" s="397" t="s">
        <v>1120</v>
      </c>
      <c r="C244" s="397" t="s">
        <v>863</v>
      </c>
      <c r="D244" s="397" t="s">
        <v>901</v>
      </c>
      <c r="E244" s="397" t="s">
        <v>902</v>
      </c>
      <c r="F244" s="397" t="s">
        <v>718</v>
      </c>
      <c r="G244" s="405">
        <v>45809</v>
      </c>
      <c r="H244" s="397" t="s">
        <v>729</v>
      </c>
      <c r="I244" s="397" t="b">
        <v>0</v>
      </c>
      <c r="J244" s="397" t="s">
        <v>903</v>
      </c>
      <c r="L244" s="397" t="s">
        <v>749</v>
      </c>
      <c r="M244" s="397" t="s">
        <v>904</v>
      </c>
      <c r="N244" s="397">
        <v>18163.400000000001</v>
      </c>
      <c r="O244" s="397">
        <v>0</v>
      </c>
      <c r="P244" s="397" t="s">
        <v>905</v>
      </c>
      <c r="Q244" s="397">
        <v>18163.400000000001</v>
      </c>
      <c r="R244" s="397">
        <v>0</v>
      </c>
      <c r="S244" s="397">
        <v>18163.400000000001</v>
      </c>
      <c r="T244" s="397" t="s">
        <v>905</v>
      </c>
      <c r="U244" s="397" t="s">
        <v>1115</v>
      </c>
      <c r="W244" s="397"/>
      <c r="X244" s="397" t="s">
        <v>805</v>
      </c>
      <c r="Y244" s="397"/>
      <c r="AA244" s="397" t="s">
        <v>907</v>
      </c>
      <c r="AB244" s="397"/>
      <c r="AH244" s="397" t="s">
        <v>990</v>
      </c>
      <c r="AK244" s="397" t="s">
        <v>849</v>
      </c>
      <c r="AL244" s="397" t="s">
        <v>81</v>
      </c>
      <c r="AM244" s="397" t="s">
        <v>913</v>
      </c>
      <c r="AN244" s="397"/>
      <c r="AQ244" s="397" t="s">
        <v>910</v>
      </c>
      <c r="AR244" s="397" t="s">
        <v>911</v>
      </c>
      <c r="AS244" s="406">
        <v>45812.472990648152</v>
      </c>
    </row>
    <row r="245" spans="1:45" x14ac:dyDescent="0.2">
      <c r="A245" s="404" t="s">
        <v>1119</v>
      </c>
      <c r="B245" s="397" t="s">
        <v>1120</v>
      </c>
      <c r="C245" s="397" t="s">
        <v>863</v>
      </c>
      <c r="D245" s="397" t="s">
        <v>901</v>
      </c>
      <c r="E245" s="397" t="s">
        <v>902</v>
      </c>
      <c r="F245" s="397" t="s">
        <v>718</v>
      </c>
      <c r="G245" s="405">
        <v>45809</v>
      </c>
      <c r="H245" s="397" t="s">
        <v>729</v>
      </c>
      <c r="I245" s="397" t="b">
        <v>0</v>
      </c>
      <c r="J245" s="397" t="s">
        <v>903</v>
      </c>
      <c r="L245" s="397" t="s">
        <v>749</v>
      </c>
      <c r="M245" s="397" t="s">
        <v>904</v>
      </c>
      <c r="N245" s="397">
        <v>990.54</v>
      </c>
      <c r="O245" s="397">
        <v>0</v>
      </c>
      <c r="P245" s="397" t="s">
        <v>905</v>
      </c>
      <c r="Q245" s="397">
        <v>990.54</v>
      </c>
      <c r="R245" s="397">
        <v>0</v>
      </c>
      <c r="S245" s="397">
        <v>990.54</v>
      </c>
      <c r="T245" s="397" t="s">
        <v>905</v>
      </c>
      <c r="U245" s="397" t="s">
        <v>1116</v>
      </c>
      <c r="W245" s="397"/>
      <c r="X245" s="397" t="s">
        <v>805</v>
      </c>
      <c r="Y245" s="397"/>
      <c r="AA245" s="397" t="s">
        <v>907</v>
      </c>
      <c r="AB245" s="397"/>
      <c r="AH245" s="397" t="s">
        <v>908</v>
      </c>
      <c r="AK245" s="397" t="s">
        <v>747</v>
      </c>
      <c r="AL245" s="397" t="s">
        <v>86</v>
      </c>
      <c r="AM245" s="397" t="s">
        <v>909</v>
      </c>
      <c r="AN245" s="397"/>
      <c r="AQ245" s="397" t="s">
        <v>910</v>
      </c>
      <c r="AR245" s="397" t="s">
        <v>911</v>
      </c>
      <c r="AS245" s="406">
        <v>45812.472990648152</v>
      </c>
    </row>
    <row r="246" spans="1:45" x14ac:dyDescent="0.2">
      <c r="A246" s="404" t="s">
        <v>1119</v>
      </c>
      <c r="B246" s="397" t="s">
        <v>1120</v>
      </c>
      <c r="C246" s="397" t="s">
        <v>863</v>
      </c>
      <c r="D246" s="397" t="s">
        <v>901</v>
      </c>
      <c r="E246" s="397" t="s">
        <v>902</v>
      </c>
      <c r="F246" s="397" t="s">
        <v>718</v>
      </c>
      <c r="G246" s="405">
        <v>45809</v>
      </c>
      <c r="H246" s="397" t="s">
        <v>729</v>
      </c>
      <c r="I246" s="397" t="b">
        <v>0</v>
      </c>
      <c r="J246" s="397" t="s">
        <v>903</v>
      </c>
      <c r="L246" s="397" t="s">
        <v>749</v>
      </c>
      <c r="M246" s="397" t="s">
        <v>904</v>
      </c>
      <c r="N246" s="397">
        <v>1398.4</v>
      </c>
      <c r="O246" s="397">
        <v>0</v>
      </c>
      <c r="P246" s="397" t="s">
        <v>905</v>
      </c>
      <c r="Q246" s="397">
        <v>1398.4</v>
      </c>
      <c r="R246" s="397">
        <v>0</v>
      </c>
      <c r="S246" s="397">
        <v>1398.4</v>
      </c>
      <c r="T246" s="397" t="s">
        <v>905</v>
      </c>
      <c r="U246" s="397" t="s">
        <v>1117</v>
      </c>
      <c r="W246" s="397"/>
      <c r="X246" s="397" t="s">
        <v>805</v>
      </c>
      <c r="Y246" s="397"/>
      <c r="AA246" s="397" t="s">
        <v>907</v>
      </c>
      <c r="AB246" s="397"/>
      <c r="AH246" s="397" t="s">
        <v>908</v>
      </c>
      <c r="AK246" s="397" t="s">
        <v>849</v>
      </c>
      <c r="AL246" s="397" t="s">
        <v>81</v>
      </c>
      <c r="AM246" s="397" t="s">
        <v>913</v>
      </c>
      <c r="AN246" s="397"/>
      <c r="AQ246" s="397" t="s">
        <v>910</v>
      </c>
      <c r="AR246" s="397" t="s">
        <v>911</v>
      </c>
      <c r="AS246" s="406">
        <v>45812.472990648152</v>
      </c>
    </row>
    <row r="247" spans="1:45" x14ac:dyDescent="0.2">
      <c r="A247" s="404" t="s">
        <v>1119</v>
      </c>
      <c r="B247" s="397" t="s">
        <v>1120</v>
      </c>
      <c r="C247" s="397" t="s">
        <v>863</v>
      </c>
      <c r="D247" s="397" t="s">
        <v>901</v>
      </c>
      <c r="E247" s="397" t="s">
        <v>902</v>
      </c>
      <c r="F247" s="397" t="s">
        <v>718</v>
      </c>
      <c r="G247" s="405">
        <v>45809</v>
      </c>
      <c r="H247" s="397" t="s">
        <v>729</v>
      </c>
      <c r="I247" s="397" t="b">
        <v>0</v>
      </c>
      <c r="J247" s="397" t="s">
        <v>903</v>
      </c>
      <c r="L247" s="397" t="s">
        <v>749</v>
      </c>
      <c r="M247" s="397" t="s">
        <v>904</v>
      </c>
      <c r="N247" s="397">
        <v>57767.55</v>
      </c>
      <c r="O247" s="397">
        <v>0</v>
      </c>
      <c r="P247" s="397" t="s">
        <v>905</v>
      </c>
      <c r="Q247" s="397">
        <v>57767.55</v>
      </c>
      <c r="R247" s="397">
        <v>0</v>
      </c>
      <c r="S247" s="397">
        <v>57767.55</v>
      </c>
      <c r="T247" s="397" t="s">
        <v>905</v>
      </c>
      <c r="U247" s="397" t="s">
        <v>1118</v>
      </c>
      <c r="W247" s="397"/>
      <c r="X247" s="397" t="s">
        <v>805</v>
      </c>
      <c r="Y247" s="397"/>
      <c r="AA247" s="397" t="s">
        <v>907</v>
      </c>
      <c r="AB247" s="397"/>
      <c r="AH247" s="397" t="s">
        <v>908</v>
      </c>
      <c r="AK247" s="397" t="s">
        <v>849</v>
      </c>
      <c r="AL247" s="397" t="s">
        <v>81</v>
      </c>
      <c r="AM247" s="397" t="s">
        <v>913</v>
      </c>
      <c r="AN247" s="397"/>
      <c r="AQ247" s="397" t="s">
        <v>910</v>
      </c>
      <c r="AR247" s="397" t="s">
        <v>911</v>
      </c>
      <c r="AS247" s="406">
        <v>45812.472990648152</v>
      </c>
    </row>
    <row r="248" spans="1:45" x14ac:dyDescent="0.2">
      <c r="A248" s="404" t="s">
        <v>1121</v>
      </c>
      <c r="B248" s="397" t="s">
        <v>1122</v>
      </c>
      <c r="C248" s="397" t="s">
        <v>863</v>
      </c>
      <c r="D248" s="397" t="s">
        <v>901</v>
      </c>
      <c r="E248" s="397" t="s">
        <v>902</v>
      </c>
      <c r="F248" s="397" t="s">
        <v>728</v>
      </c>
      <c r="G248" s="405">
        <v>45808</v>
      </c>
      <c r="H248" s="397" t="s">
        <v>729</v>
      </c>
      <c r="I248" s="397" t="b">
        <v>1</v>
      </c>
      <c r="J248" s="397" t="s">
        <v>903</v>
      </c>
      <c r="L248" s="397" t="s">
        <v>749</v>
      </c>
      <c r="M248" s="397" t="s">
        <v>904</v>
      </c>
      <c r="N248" s="397">
        <v>0</v>
      </c>
      <c r="O248" s="397">
        <v>167953.48</v>
      </c>
      <c r="P248" s="397" t="s">
        <v>905</v>
      </c>
      <c r="Q248" s="397">
        <v>0</v>
      </c>
      <c r="R248" s="397">
        <v>167953.48</v>
      </c>
      <c r="S248" s="397">
        <v>-167953.48</v>
      </c>
      <c r="T248" s="397" t="s">
        <v>905</v>
      </c>
      <c r="U248" s="397" t="s">
        <v>917</v>
      </c>
      <c r="W248" s="397"/>
      <c r="X248" s="397" t="s">
        <v>805</v>
      </c>
      <c r="Y248" s="397"/>
      <c r="AA248" s="397" t="s">
        <v>907</v>
      </c>
      <c r="AB248" s="397"/>
      <c r="AH248" s="397" t="s">
        <v>918</v>
      </c>
      <c r="AK248" s="397" t="s">
        <v>849</v>
      </c>
      <c r="AL248" s="397" t="s">
        <v>81</v>
      </c>
      <c r="AM248" s="397" t="s">
        <v>913</v>
      </c>
      <c r="AN248" s="397"/>
      <c r="AQ248" s="397" t="s">
        <v>910</v>
      </c>
      <c r="AR248" s="397" t="s">
        <v>911</v>
      </c>
      <c r="AS248" s="406">
        <v>45812.541468634263</v>
      </c>
    </row>
    <row r="249" spans="1:45" x14ac:dyDescent="0.2">
      <c r="A249" s="404" t="s">
        <v>1121</v>
      </c>
      <c r="B249" s="397" t="s">
        <v>1122</v>
      </c>
      <c r="C249" s="397" t="s">
        <v>863</v>
      </c>
      <c r="D249" s="397" t="s">
        <v>901</v>
      </c>
      <c r="E249" s="397" t="s">
        <v>902</v>
      </c>
      <c r="F249" s="397" t="s">
        <v>728</v>
      </c>
      <c r="G249" s="405">
        <v>45808</v>
      </c>
      <c r="H249" s="397" t="s">
        <v>729</v>
      </c>
      <c r="I249" s="397" t="b">
        <v>1</v>
      </c>
      <c r="J249" s="397" t="s">
        <v>903</v>
      </c>
      <c r="L249" s="397" t="s">
        <v>749</v>
      </c>
      <c r="M249" s="397" t="s">
        <v>904</v>
      </c>
      <c r="N249" s="397">
        <v>0</v>
      </c>
      <c r="O249" s="397">
        <v>129447.5</v>
      </c>
      <c r="P249" s="397" t="s">
        <v>905</v>
      </c>
      <c r="Q249" s="397">
        <v>0</v>
      </c>
      <c r="R249" s="397">
        <v>129447.5</v>
      </c>
      <c r="S249" s="397">
        <v>-129447.5</v>
      </c>
      <c r="T249" s="397" t="s">
        <v>905</v>
      </c>
      <c r="U249" s="397" t="s">
        <v>1038</v>
      </c>
      <c r="W249" s="397"/>
      <c r="X249" s="397" t="s">
        <v>805</v>
      </c>
      <c r="Y249" s="397"/>
      <c r="AA249" s="397" t="s">
        <v>907</v>
      </c>
      <c r="AB249" s="397"/>
      <c r="AH249" s="397" t="s">
        <v>918</v>
      </c>
      <c r="AK249" s="397" t="s">
        <v>849</v>
      </c>
      <c r="AL249" s="397" t="s">
        <v>81</v>
      </c>
      <c r="AM249" s="397" t="s">
        <v>913</v>
      </c>
      <c r="AN249" s="397"/>
      <c r="AQ249" s="397" t="s">
        <v>910</v>
      </c>
      <c r="AR249" s="397" t="s">
        <v>911</v>
      </c>
      <c r="AS249" s="406">
        <v>45812.541468634263</v>
      </c>
    </row>
    <row r="250" spans="1:45" x14ac:dyDescent="0.2">
      <c r="A250" s="404" t="s">
        <v>1121</v>
      </c>
      <c r="B250" s="397" t="s">
        <v>1122</v>
      </c>
      <c r="C250" s="397" t="s">
        <v>863</v>
      </c>
      <c r="D250" s="397" t="s">
        <v>901</v>
      </c>
      <c r="E250" s="397" t="s">
        <v>902</v>
      </c>
      <c r="F250" s="397" t="s">
        <v>728</v>
      </c>
      <c r="G250" s="405">
        <v>45808</v>
      </c>
      <c r="H250" s="397" t="s">
        <v>729</v>
      </c>
      <c r="I250" s="397" t="b">
        <v>1</v>
      </c>
      <c r="J250" s="397" t="s">
        <v>903</v>
      </c>
      <c r="L250" s="397" t="s">
        <v>749</v>
      </c>
      <c r="M250" s="397" t="s">
        <v>904</v>
      </c>
      <c r="N250" s="397">
        <v>0</v>
      </c>
      <c r="O250" s="397">
        <v>113502.01</v>
      </c>
      <c r="P250" s="397" t="s">
        <v>905</v>
      </c>
      <c r="Q250" s="397">
        <v>0</v>
      </c>
      <c r="R250" s="397">
        <v>113502.01</v>
      </c>
      <c r="S250" s="397">
        <v>-113502.01</v>
      </c>
      <c r="T250" s="397" t="s">
        <v>905</v>
      </c>
      <c r="U250" s="397" t="s">
        <v>919</v>
      </c>
      <c r="W250" s="397"/>
      <c r="X250" s="397" t="s">
        <v>805</v>
      </c>
      <c r="Y250" s="397"/>
      <c r="AA250" s="397" t="s">
        <v>907</v>
      </c>
      <c r="AB250" s="397"/>
      <c r="AH250" s="397" t="s">
        <v>920</v>
      </c>
      <c r="AK250" s="397" t="s">
        <v>849</v>
      </c>
      <c r="AL250" s="397" t="s">
        <v>81</v>
      </c>
      <c r="AM250" s="397" t="s">
        <v>913</v>
      </c>
      <c r="AN250" s="397"/>
      <c r="AQ250" s="397" t="s">
        <v>910</v>
      </c>
      <c r="AR250" s="397" t="s">
        <v>911</v>
      </c>
      <c r="AS250" s="406">
        <v>45812.541468634263</v>
      </c>
    </row>
    <row r="251" spans="1:45" x14ac:dyDescent="0.2">
      <c r="A251" s="404" t="s">
        <v>1123</v>
      </c>
      <c r="B251" s="397" t="s">
        <v>1124</v>
      </c>
      <c r="C251" s="397" t="s">
        <v>863</v>
      </c>
      <c r="D251" s="397" t="s">
        <v>901</v>
      </c>
      <c r="E251" s="397" t="s">
        <v>902</v>
      </c>
      <c r="F251" s="397" t="s">
        <v>718</v>
      </c>
      <c r="G251" s="405">
        <v>45809</v>
      </c>
      <c r="H251" s="397" t="s">
        <v>729</v>
      </c>
      <c r="I251" s="397" t="b">
        <v>0</v>
      </c>
      <c r="J251" s="397" t="s">
        <v>903</v>
      </c>
      <c r="L251" s="397" t="s">
        <v>749</v>
      </c>
      <c r="M251" s="397" t="s">
        <v>904</v>
      </c>
      <c r="N251" s="397">
        <v>113502.01</v>
      </c>
      <c r="O251" s="397">
        <v>0</v>
      </c>
      <c r="P251" s="397" t="s">
        <v>905</v>
      </c>
      <c r="Q251" s="397">
        <v>113502.01</v>
      </c>
      <c r="R251" s="397">
        <v>0</v>
      </c>
      <c r="S251" s="397">
        <v>113502.01</v>
      </c>
      <c r="T251" s="397" t="s">
        <v>905</v>
      </c>
      <c r="U251" s="397" t="s">
        <v>919</v>
      </c>
      <c r="W251" s="397"/>
      <c r="X251" s="397" t="s">
        <v>805</v>
      </c>
      <c r="Y251" s="397"/>
      <c r="AA251" s="397" t="s">
        <v>907</v>
      </c>
      <c r="AB251" s="397"/>
      <c r="AH251" s="397" t="s">
        <v>920</v>
      </c>
      <c r="AK251" s="397" t="s">
        <v>849</v>
      </c>
      <c r="AL251" s="397" t="s">
        <v>81</v>
      </c>
      <c r="AM251" s="397" t="s">
        <v>913</v>
      </c>
      <c r="AN251" s="397"/>
      <c r="AQ251" s="397" t="s">
        <v>910</v>
      </c>
      <c r="AR251" s="397" t="s">
        <v>911</v>
      </c>
      <c r="AS251" s="406">
        <v>45812.541614189817</v>
      </c>
    </row>
    <row r="252" spans="1:45" x14ac:dyDescent="0.2">
      <c r="A252" s="404" t="s">
        <v>1123</v>
      </c>
      <c r="B252" s="397" t="s">
        <v>1124</v>
      </c>
      <c r="C252" s="397" t="s">
        <v>863</v>
      </c>
      <c r="D252" s="397" t="s">
        <v>901</v>
      </c>
      <c r="E252" s="397" t="s">
        <v>902</v>
      </c>
      <c r="F252" s="397" t="s">
        <v>718</v>
      </c>
      <c r="G252" s="405">
        <v>45809</v>
      </c>
      <c r="H252" s="397" t="s">
        <v>729</v>
      </c>
      <c r="I252" s="397" t="b">
        <v>0</v>
      </c>
      <c r="J252" s="397" t="s">
        <v>903</v>
      </c>
      <c r="L252" s="397" t="s">
        <v>749</v>
      </c>
      <c r="M252" s="397" t="s">
        <v>904</v>
      </c>
      <c r="N252" s="397">
        <v>167953.48</v>
      </c>
      <c r="O252" s="397">
        <v>0</v>
      </c>
      <c r="P252" s="397" t="s">
        <v>905</v>
      </c>
      <c r="Q252" s="397">
        <v>167953.48</v>
      </c>
      <c r="R252" s="397">
        <v>0</v>
      </c>
      <c r="S252" s="397">
        <v>167953.48</v>
      </c>
      <c r="T252" s="397" t="s">
        <v>905</v>
      </c>
      <c r="U252" s="397" t="s">
        <v>917</v>
      </c>
      <c r="W252" s="397"/>
      <c r="X252" s="397" t="s">
        <v>805</v>
      </c>
      <c r="Y252" s="397"/>
      <c r="AA252" s="397" t="s">
        <v>907</v>
      </c>
      <c r="AB252" s="397"/>
      <c r="AH252" s="397" t="s">
        <v>918</v>
      </c>
      <c r="AK252" s="397" t="s">
        <v>849</v>
      </c>
      <c r="AL252" s="397" t="s">
        <v>81</v>
      </c>
      <c r="AM252" s="397" t="s">
        <v>913</v>
      </c>
      <c r="AN252" s="397"/>
      <c r="AQ252" s="397" t="s">
        <v>910</v>
      </c>
      <c r="AR252" s="397" t="s">
        <v>911</v>
      </c>
      <c r="AS252" s="406">
        <v>45812.541614189817</v>
      </c>
    </row>
    <row r="253" spans="1:45" x14ac:dyDescent="0.2">
      <c r="A253" s="404" t="s">
        <v>1123</v>
      </c>
      <c r="B253" s="397" t="s">
        <v>1124</v>
      </c>
      <c r="C253" s="397" t="s">
        <v>863</v>
      </c>
      <c r="D253" s="397" t="s">
        <v>901</v>
      </c>
      <c r="E253" s="397" t="s">
        <v>902</v>
      </c>
      <c r="F253" s="397" t="s">
        <v>718</v>
      </c>
      <c r="G253" s="405">
        <v>45809</v>
      </c>
      <c r="H253" s="397" t="s">
        <v>729</v>
      </c>
      <c r="I253" s="397" t="b">
        <v>0</v>
      </c>
      <c r="J253" s="397" t="s">
        <v>903</v>
      </c>
      <c r="L253" s="397" t="s">
        <v>749</v>
      </c>
      <c r="M253" s="397" t="s">
        <v>904</v>
      </c>
      <c r="N253" s="397">
        <v>129447.5</v>
      </c>
      <c r="O253" s="397">
        <v>0</v>
      </c>
      <c r="P253" s="397" t="s">
        <v>905</v>
      </c>
      <c r="Q253" s="397">
        <v>129447.5</v>
      </c>
      <c r="R253" s="397">
        <v>0</v>
      </c>
      <c r="S253" s="397">
        <v>129447.5</v>
      </c>
      <c r="T253" s="397" t="s">
        <v>905</v>
      </c>
      <c r="U253" s="397" t="s">
        <v>1038</v>
      </c>
      <c r="W253" s="397"/>
      <c r="X253" s="397" t="s">
        <v>805</v>
      </c>
      <c r="Y253" s="397"/>
      <c r="AA253" s="397" t="s">
        <v>907</v>
      </c>
      <c r="AB253" s="397"/>
      <c r="AH253" s="397" t="s">
        <v>918</v>
      </c>
      <c r="AK253" s="397" t="s">
        <v>849</v>
      </c>
      <c r="AL253" s="397" t="s">
        <v>81</v>
      </c>
      <c r="AM253" s="397" t="s">
        <v>913</v>
      </c>
      <c r="AN253" s="397"/>
      <c r="AQ253" s="397" t="s">
        <v>910</v>
      </c>
      <c r="AR253" s="397" t="s">
        <v>911</v>
      </c>
      <c r="AS253" s="406">
        <v>45812.541614189817</v>
      </c>
    </row>
    <row r="254" spans="1:45" x14ac:dyDescent="0.2">
      <c r="A254" s="404" t="s">
        <v>1125</v>
      </c>
      <c r="B254" s="397" t="s">
        <v>1126</v>
      </c>
      <c r="C254" s="397" t="s">
        <v>863</v>
      </c>
      <c r="D254" s="397" t="s">
        <v>923</v>
      </c>
      <c r="E254" s="397" t="s">
        <v>902</v>
      </c>
      <c r="F254" s="397" t="s">
        <v>718</v>
      </c>
      <c r="G254" s="405">
        <v>45831</v>
      </c>
      <c r="H254" s="397" t="s">
        <v>729</v>
      </c>
      <c r="I254" s="397" t="b">
        <v>0</v>
      </c>
      <c r="J254" s="397" t="s">
        <v>903</v>
      </c>
      <c r="L254" s="397" t="s">
        <v>749</v>
      </c>
      <c r="M254" s="397" t="s">
        <v>904</v>
      </c>
      <c r="N254" s="397">
        <v>0</v>
      </c>
      <c r="O254" s="397">
        <v>145816.72</v>
      </c>
      <c r="P254" s="397" t="s">
        <v>905</v>
      </c>
      <c r="Q254" s="397">
        <v>0</v>
      </c>
      <c r="R254" s="397">
        <v>145816.72</v>
      </c>
      <c r="S254" s="397">
        <v>-145816.72</v>
      </c>
      <c r="T254" s="397" t="s">
        <v>905</v>
      </c>
      <c r="U254" s="397" t="s">
        <v>917</v>
      </c>
      <c r="W254" s="397"/>
      <c r="X254" s="397" t="s">
        <v>805</v>
      </c>
      <c r="Y254" s="397"/>
      <c r="AA254" s="397" t="s">
        <v>907</v>
      </c>
      <c r="AB254" s="397"/>
      <c r="AH254" s="397" t="s">
        <v>918</v>
      </c>
      <c r="AK254" s="397" t="s">
        <v>849</v>
      </c>
      <c r="AL254" s="397" t="s">
        <v>81</v>
      </c>
      <c r="AM254" s="397" t="s">
        <v>913</v>
      </c>
      <c r="AN254" s="397"/>
      <c r="AQ254" s="397" t="s">
        <v>910</v>
      </c>
      <c r="AR254" s="397" t="s">
        <v>911</v>
      </c>
      <c r="AS254" s="406">
        <v>45839.797488379627</v>
      </c>
    </row>
    <row r="255" spans="1:45" x14ac:dyDescent="0.2">
      <c r="A255" s="404" t="s">
        <v>1125</v>
      </c>
      <c r="B255" s="397" t="s">
        <v>1126</v>
      </c>
      <c r="C255" s="397" t="s">
        <v>863</v>
      </c>
      <c r="D255" s="397" t="s">
        <v>923</v>
      </c>
      <c r="E255" s="397" t="s">
        <v>902</v>
      </c>
      <c r="F255" s="397" t="s">
        <v>718</v>
      </c>
      <c r="G255" s="405">
        <v>45831</v>
      </c>
      <c r="H255" s="397" t="s">
        <v>729</v>
      </c>
      <c r="I255" s="397" t="b">
        <v>0</v>
      </c>
      <c r="J255" s="397" t="s">
        <v>903</v>
      </c>
      <c r="L255" s="397" t="s">
        <v>749</v>
      </c>
      <c r="M255" s="397" t="s">
        <v>904</v>
      </c>
      <c r="N255" s="397">
        <v>0</v>
      </c>
      <c r="O255" s="397">
        <v>129447.5</v>
      </c>
      <c r="P255" s="397" t="s">
        <v>905</v>
      </c>
      <c r="Q255" s="397">
        <v>0</v>
      </c>
      <c r="R255" s="397">
        <v>129447.5</v>
      </c>
      <c r="S255" s="397">
        <v>-129447.5</v>
      </c>
      <c r="T255" s="397" t="s">
        <v>905</v>
      </c>
      <c r="U255" s="397" t="s">
        <v>1038</v>
      </c>
      <c r="W255" s="397"/>
      <c r="X255" s="397" t="s">
        <v>805</v>
      </c>
      <c r="Y255" s="397"/>
      <c r="AA255" s="397" t="s">
        <v>907</v>
      </c>
      <c r="AB255" s="397"/>
      <c r="AH255" s="397" t="s">
        <v>918</v>
      </c>
      <c r="AK255" s="397" t="s">
        <v>849</v>
      </c>
      <c r="AL255" s="397" t="s">
        <v>81</v>
      </c>
      <c r="AM255" s="397" t="s">
        <v>913</v>
      </c>
      <c r="AN255" s="397"/>
      <c r="AQ255" s="397" t="s">
        <v>910</v>
      </c>
      <c r="AR255" s="397" t="s">
        <v>911</v>
      </c>
      <c r="AS255" s="406">
        <v>45839.797488379627</v>
      </c>
    </row>
    <row r="256" spans="1:45" x14ac:dyDescent="0.2">
      <c r="A256" s="404" t="s">
        <v>1125</v>
      </c>
      <c r="B256" s="397" t="s">
        <v>1126</v>
      </c>
      <c r="C256" s="397" t="s">
        <v>863</v>
      </c>
      <c r="D256" s="397" t="s">
        <v>923</v>
      </c>
      <c r="E256" s="397" t="s">
        <v>902</v>
      </c>
      <c r="F256" s="397" t="s">
        <v>718</v>
      </c>
      <c r="G256" s="405">
        <v>45831</v>
      </c>
      <c r="H256" s="397" t="s">
        <v>729</v>
      </c>
      <c r="I256" s="397" t="b">
        <v>0</v>
      </c>
      <c r="J256" s="397" t="s">
        <v>903</v>
      </c>
      <c r="L256" s="397" t="s">
        <v>749</v>
      </c>
      <c r="M256" s="397" t="s">
        <v>904</v>
      </c>
      <c r="N256" s="397">
        <v>0</v>
      </c>
      <c r="O256" s="397">
        <v>367.08</v>
      </c>
      <c r="P256" s="397" t="s">
        <v>905</v>
      </c>
      <c r="Q256" s="397">
        <v>0</v>
      </c>
      <c r="R256" s="397">
        <v>367.08</v>
      </c>
      <c r="S256" s="397">
        <v>-367.08</v>
      </c>
      <c r="T256" s="397" t="s">
        <v>905</v>
      </c>
      <c r="U256" s="397" t="s">
        <v>924</v>
      </c>
      <c r="W256" s="397"/>
      <c r="X256" s="397" t="s">
        <v>805</v>
      </c>
      <c r="Y256" s="397"/>
      <c r="AA256" s="397" t="s">
        <v>907</v>
      </c>
      <c r="AB256" s="397"/>
      <c r="AH256" s="397" t="s">
        <v>925</v>
      </c>
      <c r="AK256" s="397" t="s">
        <v>849</v>
      </c>
      <c r="AL256" s="397" t="s">
        <v>81</v>
      </c>
      <c r="AM256" s="397" t="s">
        <v>913</v>
      </c>
      <c r="AN256" s="397"/>
      <c r="AQ256" s="397" t="s">
        <v>910</v>
      </c>
      <c r="AR256" s="397" t="s">
        <v>911</v>
      </c>
      <c r="AS256" s="406">
        <v>45839.797488379627</v>
      </c>
    </row>
    <row r="257" spans="1:45" x14ac:dyDescent="0.2">
      <c r="A257" s="404" t="s">
        <v>1125</v>
      </c>
      <c r="B257" s="397" t="s">
        <v>1126</v>
      </c>
      <c r="C257" s="397" t="s">
        <v>863</v>
      </c>
      <c r="D257" s="397" t="s">
        <v>923</v>
      </c>
      <c r="E257" s="397" t="s">
        <v>902</v>
      </c>
      <c r="F257" s="397" t="s">
        <v>718</v>
      </c>
      <c r="G257" s="405">
        <v>45831</v>
      </c>
      <c r="H257" s="397" t="s">
        <v>729</v>
      </c>
      <c r="I257" s="397" t="b">
        <v>0</v>
      </c>
      <c r="J257" s="397" t="s">
        <v>903</v>
      </c>
      <c r="L257" s="397" t="s">
        <v>749</v>
      </c>
      <c r="M257" s="397" t="s">
        <v>904</v>
      </c>
      <c r="N257" s="397">
        <v>0</v>
      </c>
      <c r="O257" s="397">
        <v>136195.42000000001</v>
      </c>
      <c r="P257" s="397" t="s">
        <v>905</v>
      </c>
      <c r="Q257" s="397">
        <v>0</v>
      </c>
      <c r="R257" s="397">
        <v>136195.42000000001</v>
      </c>
      <c r="S257" s="397">
        <v>-136195.42000000001</v>
      </c>
      <c r="T257" s="397" t="s">
        <v>905</v>
      </c>
      <c r="U257" s="397" t="s">
        <v>919</v>
      </c>
      <c r="W257" s="397"/>
      <c r="X257" s="397" t="s">
        <v>805</v>
      </c>
      <c r="Y257" s="397"/>
      <c r="AA257" s="397" t="s">
        <v>907</v>
      </c>
      <c r="AB257" s="397"/>
      <c r="AH257" s="397" t="s">
        <v>920</v>
      </c>
      <c r="AK257" s="397" t="s">
        <v>849</v>
      </c>
      <c r="AL257" s="397" t="s">
        <v>81</v>
      </c>
      <c r="AM257" s="397" t="s">
        <v>913</v>
      </c>
      <c r="AN257" s="397"/>
      <c r="AQ257" s="397" t="s">
        <v>910</v>
      </c>
      <c r="AR257" s="397" t="s">
        <v>911</v>
      </c>
      <c r="AS257" s="406">
        <v>45839.797488379627</v>
      </c>
    </row>
    <row r="258" spans="1:45" x14ac:dyDescent="0.2">
      <c r="A258" s="404" t="s">
        <v>1127</v>
      </c>
      <c r="B258" s="397" t="s">
        <v>1128</v>
      </c>
      <c r="C258" s="397" t="s">
        <v>863</v>
      </c>
      <c r="D258" s="397" t="s">
        <v>901</v>
      </c>
      <c r="E258" s="397" t="s">
        <v>902</v>
      </c>
      <c r="F258" s="397" t="s">
        <v>718</v>
      </c>
      <c r="G258" s="405">
        <v>45831</v>
      </c>
      <c r="H258" s="397" t="s">
        <v>729</v>
      </c>
      <c r="I258" s="397" t="b">
        <v>0</v>
      </c>
      <c r="J258" s="397" t="s">
        <v>903</v>
      </c>
      <c r="L258" s="397" t="s">
        <v>749</v>
      </c>
      <c r="M258" s="397" t="s">
        <v>904</v>
      </c>
      <c r="N258" s="397">
        <v>0</v>
      </c>
      <c r="O258" s="397">
        <v>16614.98</v>
      </c>
      <c r="P258" s="397" t="s">
        <v>905</v>
      </c>
      <c r="Q258" s="397">
        <v>0</v>
      </c>
      <c r="R258" s="397">
        <v>16614.98</v>
      </c>
      <c r="S258" s="397">
        <v>-16614.98</v>
      </c>
      <c r="T258" s="397" t="s">
        <v>905</v>
      </c>
      <c r="U258" s="397" t="s">
        <v>1115</v>
      </c>
      <c r="W258" s="397"/>
      <c r="X258" s="397" t="s">
        <v>805</v>
      </c>
      <c r="Y258" s="397"/>
      <c r="AA258" s="397" t="s">
        <v>907</v>
      </c>
      <c r="AB258" s="397"/>
      <c r="AH258" s="397" t="s">
        <v>990</v>
      </c>
      <c r="AK258" s="397" t="s">
        <v>849</v>
      </c>
      <c r="AL258" s="397" t="s">
        <v>81</v>
      </c>
      <c r="AM258" s="397" t="s">
        <v>913</v>
      </c>
      <c r="AN258" s="397"/>
      <c r="AQ258" s="397" t="s">
        <v>910</v>
      </c>
      <c r="AR258" s="397" t="s">
        <v>911</v>
      </c>
      <c r="AS258" s="406">
        <v>45839.817800497687</v>
      </c>
    </row>
    <row r="259" spans="1:45" x14ac:dyDescent="0.2">
      <c r="A259" s="404" t="s">
        <v>1127</v>
      </c>
      <c r="B259" s="397" t="s">
        <v>1128</v>
      </c>
      <c r="C259" s="397" t="s">
        <v>863</v>
      </c>
      <c r="D259" s="397" t="s">
        <v>901</v>
      </c>
      <c r="E259" s="397" t="s">
        <v>902</v>
      </c>
      <c r="F259" s="397" t="s">
        <v>718</v>
      </c>
      <c r="G259" s="405">
        <v>45831</v>
      </c>
      <c r="H259" s="397" t="s">
        <v>729</v>
      </c>
      <c r="I259" s="397" t="b">
        <v>0</v>
      </c>
      <c r="J259" s="397" t="s">
        <v>903</v>
      </c>
      <c r="L259" s="397" t="s">
        <v>749</v>
      </c>
      <c r="M259" s="397" t="s">
        <v>904</v>
      </c>
      <c r="N259" s="397">
        <v>0</v>
      </c>
      <c r="O259" s="397">
        <v>990.54</v>
      </c>
      <c r="P259" s="397" t="s">
        <v>905</v>
      </c>
      <c r="Q259" s="397">
        <v>0</v>
      </c>
      <c r="R259" s="397">
        <v>990.54</v>
      </c>
      <c r="S259" s="397">
        <v>-990.54</v>
      </c>
      <c r="T259" s="397" t="s">
        <v>905</v>
      </c>
      <c r="U259" s="397" t="s">
        <v>1116</v>
      </c>
      <c r="W259" s="397"/>
      <c r="X259" s="397" t="s">
        <v>805</v>
      </c>
      <c r="Y259" s="397"/>
      <c r="AA259" s="397" t="s">
        <v>907</v>
      </c>
      <c r="AB259" s="397"/>
      <c r="AH259" s="397" t="s">
        <v>908</v>
      </c>
      <c r="AK259" s="397" t="s">
        <v>747</v>
      </c>
      <c r="AL259" s="397" t="s">
        <v>86</v>
      </c>
      <c r="AM259" s="397" t="s">
        <v>909</v>
      </c>
      <c r="AN259" s="397"/>
      <c r="AQ259" s="397" t="s">
        <v>910</v>
      </c>
      <c r="AR259" s="397" t="s">
        <v>911</v>
      </c>
      <c r="AS259" s="406">
        <v>45839.817800497687</v>
      </c>
    </row>
    <row r="260" spans="1:45" x14ac:dyDescent="0.2">
      <c r="A260" s="404" t="s">
        <v>1127</v>
      </c>
      <c r="B260" s="397" t="s">
        <v>1128</v>
      </c>
      <c r="C260" s="397" t="s">
        <v>863</v>
      </c>
      <c r="D260" s="397" t="s">
        <v>901</v>
      </c>
      <c r="E260" s="397" t="s">
        <v>902</v>
      </c>
      <c r="F260" s="397" t="s">
        <v>718</v>
      </c>
      <c r="G260" s="405">
        <v>45831</v>
      </c>
      <c r="H260" s="397" t="s">
        <v>729</v>
      </c>
      <c r="I260" s="397" t="b">
        <v>0</v>
      </c>
      <c r="J260" s="397" t="s">
        <v>903</v>
      </c>
      <c r="L260" s="397" t="s">
        <v>749</v>
      </c>
      <c r="M260" s="397" t="s">
        <v>904</v>
      </c>
      <c r="N260" s="397">
        <v>0</v>
      </c>
      <c r="O260" s="397">
        <v>2185</v>
      </c>
      <c r="P260" s="397" t="s">
        <v>905</v>
      </c>
      <c r="Q260" s="397">
        <v>0</v>
      </c>
      <c r="R260" s="397">
        <v>2185</v>
      </c>
      <c r="S260" s="397">
        <v>-2185</v>
      </c>
      <c r="T260" s="397" t="s">
        <v>905</v>
      </c>
      <c r="U260" s="397" t="s">
        <v>1117</v>
      </c>
      <c r="W260" s="397"/>
      <c r="X260" s="397" t="s">
        <v>805</v>
      </c>
      <c r="Y260" s="397"/>
      <c r="AA260" s="397" t="s">
        <v>907</v>
      </c>
      <c r="AB260" s="397"/>
      <c r="AH260" s="397" t="s">
        <v>908</v>
      </c>
      <c r="AK260" s="397" t="s">
        <v>849</v>
      </c>
      <c r="AL260" s="397" t="s">
        <v>81</v>
      </c>
      <c r="AM260" s="397" t="s">
        <v>913</v>
      </c>
      <c r="AN260" s="397"/>
      <c r="AQ260" s="397" t="s">
        <v>910</v>
      </c>
      <c r="AR260" s="397" t="s">
        <v>911</v>
      </c>
      <c r="AS260" s="406">
        <v>45839.817800497687</v>
      </c>
    </row>
    <row r="261" spans="1:45" x14ac:dyDescent="0.2">
      <c r="A261" s="404" t="s">
        <v>1127</v>
      </c>
      <c r="B261" s="397" t="s">
        <v>1128</v>
      </c>
      <c r="C261" s="397" t="s">
        <v>863</v>
      </c>
      <c r="D261" s="397" t="s">
        <v>901</v>
      </c>
      <c r="E261" s="397" t="s">
        <v>902</v>
      </c>
      <c r="F261" s="397" t="s">
        <v>718</v>
      </c>
      <c r="G261" s="405">
        <v>45831</v>
      </c>
      <c r="H261" s="397" t="s">
        <v>729</v>
      </c>
      <c r="I261" s="397" t="b">
        <v>0</v>
      </c>
      <c r="J261" s="397" t="s">
        <v>903</v>
      </c>
      <c r="L261" s="397" t="s">
        <v>749</v>
      </c>
      <c r="M261" s="397" t="s">
        <v>904</v>
      </c>
      <c r="N261" s="397">
        <v>0</v>
      </c>
      <c r="O261" s="397">
        <v>57767.55</v>
      </c>
      <c r="P261" s="397" t="s">
        <v>905</v>
      </c>
      <c r="Q261" s="397">
        <v>0</v>
      </c>
      <c r="R261" s="397">
        <v>57767.55</v>
      </c>
      <c r="S261" s="397">
        <v>-57767.55</v>
      </c>
      <c r="T261" s="397" t="s">
        <v>905</v>
      </c>
      <c r="U261" s="397" t="s">
        <v>1118</v>
      </c>
      <c r="W261" s="397"/>
      <c r="X261" s="397" t="s">
        <v>805</v>
      </c>
      <c r="Y261" s="397"/>
      <c r="AA261" s="397" t="s">
        <v>907</v>
      </c>
      <c r="AB261" s="397"/>
      <c r="AH261" s="397" t="s">
        <v>908</v>
      </c>
      <c r="AK261" s="397" t="s">
        <v>849</v>
      </c>
      <c r="AL261" s="397" t="s">
        <v>81</v>
      </c>
      <c r="AM261" s="397" t="s">
        <v>913</v>
      </c>
      <c r="AN261" s="397"/>
      <c r="AQ261" s="397" t="s">
        <v>910</v>
      </c>
      <c r="AR261" s="397" t="s">
        <v>911</v>
      </c>
      <c r="AS261" s="406">
        <v>45839.817800497687</v>
      </c>
    </row>
    <row r="262" spans="1:45" x14ac:dyDescent="0.2">
      <c r="A262" s="404" t="s">
        <v>1129</v>
      </c>
      <c r="B262" s="397" t="s">
        <v>1130</v>
      </c>
      <c r="C262" s="397" t="s">
        <v>863</v>
      </c>
      <c r="D262" s="397" t="s">
        <v>901</v>
      </c>
      <c r="E262" s="397" t="s">
        <v>902</v>
      </c>
      <c r="F262" s="397" t="s">
        <v>718</v>
      </c>
      <c r="G262" s="405">
        <v>45838</v>
      </c>
      <c r="H262" s="397" t="s">
        <v>729</v>
      </c>
      <c r="I262" s="397" t="b">
        <v>1</v>
      </c>
      <c r="J262" s="397" t="s">
        <v>903</v>
      </c>
      <c r="L262" s="397" t="s">
        <v>749</v>
      </c>
      <c r="M262" s="397" t="s">
        <v>904</v>
      </c>
      <c r="N262" s="397">
        <v>0</v>
      </c>
      <c r="O262" s="397">
        <v>30133.119999999999</v>
      </c>
      <c r="P262" s="397" t="s">
        <v>905</v>
      </c>
      <c r="Q262" s="397">
        <v>0</v>
      </c>
      <c r="R262" s="397">
        <v>30133.119999999999</v>
      </c>
      <c r="S262" s="397">
        <v>-30133.119999999999</v>
      </c>
      <c r="T262" s="397" t="s">
        <v>905</v>
      </c>
      <c r="U262" s="397" t="s">
        <v>1131</v>
      </c>
      <c r="W262" s="397"/>
      <c r="X262" s="397" t="s">
        <v>805</v>
      </c>
      <c r="Y262" s="397"/>
      <c r="AA262" s="397" t="s">
        <v>907</v>
      </c>
      <c r="AB262" s="397"/>
      <c r="AH262" s="397" t="s">
        <v>990</v>
      </c>
      <c r="AK262" s="397" t="s">
        <v>849</v>
      </c>
      <c r="AL262" s="397" t="s">
        <v>81</v>
      </c>
      <c r="AM262" s="397" t="s">
        <v>913</v>
      </c>
      <c r="AN262" s="397"/>
      <c r="AQ262" s="397" t="s">
        <v>910</v>
      </c>
      <c r="AR262" s="397" t="s">
        <v>911</v>
      </c>
      <c r="AS262" s="406">
        <v>45841.467213819444</v>
      </c>
    </row>
    <row r="263" spans="1:45" x14ac:dyDescent="0.2">
      <c r="A263" s="404" t="s">
        <v>1129</v>
      </c>
      <c r="B263" s="397" t="s">
        <v>1130</v>
      </c>
      <c r="C263" s="397" t="s">
        <v>863</v>
      </c>
      <c r="D263" s="397" t="s">
        <v>901</v>
      </c>
      <c r="E263" s="397" t="s">
        <v>902</v>
      </c>
      <c r="F263" s="397" t="s">
        <v>718</v>
      </c>
      <c r="G263" s="405">
        <v>45838</v>
      </c>
      <c r="H263" s="397" t="s">
        <v>729</v>
      </c>
      <c r="I263" s="397" t="b">
        <v>1</v>
      </c>
      <c r="J263" s="397" t="s">
        <v>903</v>
      </c>
      <c r="L263" s="397" t="s">
        <v>749</v>
      </c>
      <c r="M263" s="397" t="s">
        <v>904</v>
      </c>
      <c r="N263" s="397">
        <v>0</v>
      </c>
      <c r="O263" s="397">
        <v>990.54</v>
      </c>
      <c r="P263" s="397" t="s">
        <v>905</v>
      </c>
      <c r="Q263" s="397">
        <v>0</v>
      </c>
      <c r="R263" s="397">
        <v>990.54</v>
      </c>
      <c r="S263" s="397">
        <v>-990.54</v>
      </c>
      <c r="T263" s="397" t="s">
        <v>905</v>
      </c>
      <c r="U263" s="397" t="s">
        <v>1132</v>
      </c>
      <c r="W263" s="397"/>
      <c r="X263" s="397" t="s">
        <v>805</v>
      </c>
      <c r="Y263" s="397"/>
      <c r="AA263" s="397" t="s">
        <v>907</v>
      </c>
      <c r="AB263" s="397"/>
      <c r="AH263" s="397" t="s">
        <v>908</v>
      </c>
      <c r="AK263" s="397" t="s">
        <v>747</v>
      </c>
      <c r="AL263" s="397" t="s">
        <v>86</v>
      </c>
      <c r="AM263" s="397" t="s">
        <v>909</v>
      </c>
      <c r="AN263" s="397"/>
      <c r="AQ263" s="397" t="s">
        <v>910</v>
      </c>
      <c r="AR263" s="397" t="s">
        <v>911</v>
      </c>
      <c r="AS263" s="406">
        <v>45841.467213819444</v>
      </c>
    </row>
    <row r="264" spans="1:45" x14ac:dyDescent="0.2">
      <c r="A264" s="404" t="s">
        <v>1129</v>
      </c>
      <c r="B264" s="397" t="s">
        <v>1130</v>
      </c>
      <c r="C264" s="397" t="s">
        <v>863</v>
      </c>
      <c r="D264" s="397" t="s">
        <v>901</v>
      </c>
      <c r="E264" s="397" t="s">
        <v>902</v>
      </c>
      <c r="F264" s="397" t="s">
        <v>718</v>
      </c>
      <c r="G264" s="405">
        <v>45838</v>
      </c>
      <c r="H264" s="397" t="s">
        <v>729</v>
      </c>
      <c r="I264" s="397" t="b">
        <v>1</v>
      </c>
      <c r="J264" s="397" t="s">
        <v>903</v>
      </c>
      <c r="L264" s="397" t="s">
        <v>749</v>
      </c>
      <c r="M264" s="397" t="s">
        <v>904</v>
      </c>
      <c r="N264" s="397">
        <v>0</v>
      </c>
      <c r="O264" s="397">
        <v>2302.9899999999998</v>
      </c>
      <c r="P264" s="397" t="s">
        <v>905</v>
      </c>
      <c r="Q264" s="397">
        <v>0</v>
      </c>
      <c r="R264" s="397">
        <v>2302.9899999999998</v>
      </c>
      <c r="S264" s="397">
        <v>-2302.9899999999998</v>
      </c>
      <c r="T264" s="397" t="s">
        <v>905</v>
      </c>
      <c r="U264" s="397" t="s">
        <v>1133</v>
      </c>
      <c r="W264" s="397"/>
      <c r="X264" s="397" t="s">
        <v>805</v>
      </c>
      <c r="Y264" s="397"/>
      <c r="AA264" s="397" t="s">
        <v>907</v>
      </c>
      <c r="AB264" s="397"/>
      <c r="AH264" s="397" t="s">
        <v>908</v>
      </c>
      <c r="AK264" s="397" t="s">
        <v>849</v>
      </c>
      <c r="AL264" s="397" t="s">
        <v>81</v>
      </c>
      <c r="AM264" s="397" t="s">
        <v>913</v>
      </c>
      <c r="AN264" s="397"/>
      <c r="AQ264" s="397" t="s">
        <v>910</v>
      </c>
      <c r="AR264" s="397" t="s">
        <v>911</v>
      </c>
      <c r="AS264" s="406">
        <v>45841.467213819444</v>
      </c>
    </row>
    <row r="265" spans="1:45" x14ac:dyDescent="0.2">
      <c r="A265" s="404" t="s">
        <v>1129</v>
      </c>
      <c r="B265" s="397" t="s">
        <v>1130</v>
      </c>
      <c r="C265" s="397" t="s">
        <v>863</v>
      </c>
      <c r="D265" s="397" t="s">
        <v>901</v>
      </c>
      <c r="E265" s="397" t="s">
        <v>902</v>
      </c>
      <c r="F265" s="397" t="s">
        <v>718</v>
      </c>
      <c r="G265" s="405">
        <v>45838</v>
      </c>
      <c r="H265" s="397" t="s">
        <v>729</v>
      </c>
      <c r="I265" s="397" t="b">
        <v>1</v>
      </c>
      <c r="J265" s="397" t="s">
        <v>903</v>
      </c>
      <c r="L265" s="397" t="s">
        <v>749</v>
      </c>
      <c r="M265" s="397" t="s">
        <v>904</v>
      </c>
      <c r="N265" s="397">
        <v>0</v>
      </c>
      <c r="O265" s="397">
        <v>54757.89</v>
      </c>
      <c r="P265" s="397" t="s">
        <v>905</v>
      </c>
      <c r="Q265" s="397">
        <v>0</v>
      </c>
      <c r="R265" s="397">
        <v>54757.89</v>
      </c>
      <c r="S265" s="397">
        <v>-54757.89</v>
      </c>
      <c r="T265" s="397" t="s">
        <v>905</v>
      </c>
      <c r="U265" s="397" t="s">
        <v>1134</v>
      </c>
      <c r="W265" s="397"/>
      <c r="X265" s="397" t="s">
        <v>805</v>
      </c>
      <c r="Y265" s="397"/>
      <c r="AA265" s="397" t="s">
        <v>907</v>
      </c>
      <c r="AB265" s="397"/>
      <c r="AH265" s="397" t="s">
        <v>908</v>
      </c>
      <c r="AK265" s="397" t="s">
        <v>849</v>
      </c>
      <c r="AL265" s="397" t="s">
        <v>81</v>
      </c>
      <c r="AM265" s="397" t="s">
        <v>913</v>
      </c>
      <c r="AN265" s="397"/>
      <c r="AQ265" s="397" t="s">
        <v>910</v>
      </c>
      <c r="AR265" s="397" t="s">
        <v>911</v>
      </c>
      <c r="AS265" s="406">
        <v>45841.467213819444</v>
      </c>
    </row>
    <row r="266" spans="1:45" x14ac:dyDescent="0.2">
      <c r="A266" s="404" t="s">
        <v>1135</v>
      </c>
      <c r="B266" s="397" t="s">
        <v>1136</v>
      </c>
      <c r="C266" s="397" t="s">
        <v>863</v>
      </c>
      <c r="D266" s="397" t="s">
        <v>901</v>
      </c>
      <c r="E266" s="397" t="s">
        <v>902</v>
      </c>
      <c r="F266" s="397" t="s">
        <v>718</v>
      </c>
      <c r="G266" s="405">
        <v>45838</v>
      </c>
      <c r="H266" s="397" t="s">
        <v>729</v>
      </c>
      <c r="I266" s="397" t="b">
        <v>1</v>
      </c>
      <c r="J266" s="397" t="s">
        <v>903</v>
      </c>
      <c r="L266" s="397" t="s">
        <v>749</v>
      </c>
      <c r="M266" s="397" t="s">
        <v>904</v>
      </c>
      <c r="N266" s="397">
        <v>0</v>
      </c>
      <c r="O266" s="397">
        <v>138275.54</v>
      </c>
      <c r="P266" s="397" t="s">
        <v>905</v>
      </c>
      <c r="Q266" s="397">
        <v>0</v>
      </c>
      <c r="R266" s="397">
        <v>138275.54</v>
      </c>
      <c r="S266" s="397">
        <v>-138275.54</v>
      </c>
      <c r="T266" s="397" t="s">
        <v>905</v>
      </c>
      <c r="U266" s="397" t="s">
        <v>919</v>
      </c>
      <c r="W266" s="397"/>
      <c r="X266" s="397" t="s">
        <v>805</v>
      </c>
      <c r="Y266" s="397"/>
      <c r="AA266" s="397" t="s">
        <v>907</v>
      </c>
      <c r="AB266" s="397"/>
      <c r="AH266" s="397" t="s">
        <v>920</v>
      </c>
      <c r="AK266" s="397" t="s">
        <v>849</v>
      </c>
      <c r="AL266" s="397" t="s">
        <v>81</v>
      </c>
      <c r="AM266" s="397" t="s">
        <v>913</v>
      </c>
      <c r="AN266" s="397"/>
      <c r="AQ266" s="397" t="s">
        <v>910</v>
      </c>
      <c r="AR266" s="397" t="s">
        <v>911</v>
      </c>
      <c r="AS266" s="406">
        <v>45842.42291173611</v>
      </c>
    </row>
    <row r="267" spans="1:45" x14ac:dyDescent="0.2">
      <c r="A267" s="404" t="s">
        <v>1135</v>
      </c>
      <c r="B267" s="397" t="s">
        <v>1136</v>
      </c>
      <c r="C267" s="397" t="s">
        <v>863</v>
      </c>
      <c r="D267" s="397" t="s">
        <v>901</v>
      </c>
      <c r="E267" s="397" t="s">
        <v>902</v>
      </c>
      <c r="F267" s="397" t="s">
        <v>718</v>
      </c>
      <c r="G267" s="405">
        <v>45838</v>
      </c>
      <c r="H267" s="397" t="s">
        <v>729</v>
      </c>
      <c r="I267" s="397" t="b">
        <v>1</v>
      </c>
      <c r="J267" s="397" t="s">
        <v>903</v>
      </c>
      <c r="L267" s="397" t="s">
        <v>749</v>
      </c>
      <c r="M267" s="397" t="s">
        <v>904</v>
      </c>
      <c r="N267" s="397">
        <v>0</v>
      </c>
      <c r="O267" s="397">
        <v>225389.28</v>
      </c>
      <c r="P267" s="397" t="s">
        <v>905</v>
      </c>
      <c r="Q267" s="397">
        <v>0</v>
      </c>
      <c r="R267" s="397">
        <v>225389.28</v>
      </c>
      <c r="S267" s="397">
        <v>-225389.28</v>
      </c>
      <c r="T267" s="397" t="s">
        <v>905</v>
      </c>
      <c r="U267" s="397" t="s">
        <v>917</v>
      </c>
      <c r="W267" s="397"/>
      <c r="X267" s="397" t="s">
        <v>805</v>
      </c>
      <c r="Y267" s="397"/>
      <c r="AA267" s="397" t="s">
        <v>907</v>
      </c>
      <c r="AB267" s="397"/>
      <c r="AH267" s="397" t="s">
        <v>918</v>
      </c>
      <c r="AK267" s="397" t="s">
        <v>849</v>
      </c>
      <c r="AL267" s="397" t="s">
        <v>81</v>
      </c>
      <c r="AM267" s="397" t="s">
        <v>913</v>
      </c>
      <c r="AN267" s="397"/>
      <c r="AQ267" s="397" t="s">
        <v>910</v>
      </c>
      <c r="AR267" s="397" t="s">
        <v>911</v>
      </c>
      <c r="AS267" s="406">
        <v>45842.42291173611</v>
      </c>
    </row>
    <row r="268" spans="1:45" ht="13.5" thickBot="1" x14ac:dyDescent="0.25">
      <c r="A268" s="407" t="s">
        <v>1135</v>
      </c>
      <c r="B268" s="399" t="s">
        <v>1136</v>
      </c>
      <c r="C268" s="399" t="s">
        <v>863</v>
      </c>
      <c r="D268" s="399" t="s">
        <v>901</v>
      </c>
      <c r="E268" s="399" t="s">
        <v>902</v>
      </c>
      <c r="F268" s="399" t="s">
        <v>718</v>
      </c>
      <c r="G268" s="408">
        <v>45838</v>
      </c>
      <c r="H268" s="399" t="s">
        <v>729</v>
      </c>
      <c r="I268" s="399" t="b">
        <v>1</v>
      </c>
      <c r="J268" s="399" t="s">
        <v>903</v>
      </c>
      <c r="K268" s="399"/>
      <c r="L268" s="399" t="s">
        <v>749</v>
      </c>
      <c r="M268" s="399" t="s">
        <v>904</v>
      </c>
      <c r="N268" s="399">
        <v>0</v>
      </c>
      <c r="O268" s="399">
        <v>136144.01999999999</v>
      </c>
      <c r="P268" s="399" t="s">
        <v>905</v>
      </c>
      <c r="Q268" s="399">
        <v>0</v>
      </c>
      <c r="R268" s="399">
        <v>136144.01999999999</v>
      </c>
      <c r="S268" s="399">
        <v>-136144.01999999999</v>
      </c>
      <c r="T268" s="399" t="s">
        <v>905</v>
      </c>
      <c r="U268" s="399" t="s">
        <v>1038</v>
      </c>
      <c r="V268" s="399"/>
      <c r="W268" s="399"/>
      <c r="X268" s="399" t="s">
        <v>805</v>
      </c>
      <c r="Y268" s="399"/>
      <c r="Z268" s="399"/>
      <c r="AA268" s="399" t="s">
        <v>907</v>
      </c>
      <c r="AB268" s="399"/>
      <c r="AC268" s="399"/>
      <c r="AD268" s="399"/>
      <c r="AE268" s="399"/>
      <c r="AF268" s="399"/>
      <c r="AG268" s="399"/>
      <c r="AH268" s="399" t="s">
        <v>918</v>
      </c>
      <c r="AI268" s="399"/>
      <c r="AJ268" s="399"/>
      <c r="AK268" s="399" t="s">
        <v>849</v>
      </c>
      <c r="AL268" s="399" t="s">
        <v>81</v>
      </c>
      <c r="AM268" s="399" t="s">
        <v>913</v>
      </c>
      <c r="AN268" s="399"/>
      <c r="AO268" s="399"/>
      <c r="AP268" s="399"/>
      <c r="AQ268" s="399" t="s">
        <v>910</v>
      </c>
      <c r="AR268" s="399" t="s">
        <v>911</v>
      </c>
      <c r="AS268" s="409">
        <v>45842.42291173611</v>
      </c>
    </row>
    <row r="269" spans="1:45" x14ac:dyDescent="0.2">
      <c r="E269" s="397"/>
      <c r="J269" s="397"/>
      <c r="W269" s="397"/>
      <c r="Y269" s="397"/>
      <c r="AB269" s="397"/>
      <c r="AN269" s="397"/>
    </row>
    <row r="270" spans="1:45" x14ac:dyDescent="0.2">
      <c r="E270" s="397"/>
      <c r="J270" s="397"/>
      <c r="W270" s="397"/>
      <c r="Y270" s="397"/>
      <c r="AB270" s="397"/>
      <c r="AN270" s="397"/>
    </row>
    <row r="271" spans="1:45" x14ac:dyDescent="0.2">
      <c r="E271" s="397"/>
      <c r="J271" s="397"/>
      <c r="W271" s="397"/>
      <c r="Y271" s="397"/>
      <c r="AB271" s="397"/>
      <c r="AN271" s="397"/>
    </row>
    <row r="272" spans="1:45" x14ac:dyDescent="0.2">
      <c r="E272" s="397"/>
      <c r="J272" s="397"/>
      <c r="W272" s="397"/>
      <c r="Y272" s="397"/>
      <c r="AB272" s="397"/>
      <c r="AN272" s="397"/>
    </row>
    <row r="273" spans="5:40" x14ac:dyDescent="0.2">
      <c r="E273" s="397"/>
      <c r="J273" s="397"/>
      <c r="W273" s="397"/>
      <c r="Y273" s="397"/>
      <c r="AB273" s="397"/>
      <c r="AN273" s="397"/>
    </row>
    <row r="274" spans="5:40" x14ac:dyDescent="0.2">
      <c r="E274" s="397"/>
      <c r="J274" s="397"/>
      <c r="W274" s="397"/>
      <c r="Y274" s="397"/>
      <c r="AB274" s="397"/>
      <c r="AN274" s="397"/>
    </row>
    <row r="275" spans="5:40" x14ac:dyDescent="0.2">
      <c r="E275" s="397"/>
      <c r="J275" s="397"/>
      <c r="W275" s="397"/>
      <c r="Y275" s="397"/>
      <c r="AB275" s="397"/>
      <c r="AN275" s="397"/>
    </row>
    <row r="276" spans="5:40" x14ac:dyDescent="0.2">
      <c r="E276" s="397"/>
      <c r="J276" s="397"/>
      <c r="W276" s="397"/>
      <c r="Y276" s="397"/>
      <c r="AB276" s="397"/>
      <c r="AN276" s="397"/>
    </row>
    <row r="277" spans="5:40" x14ac:dyDescent="0.2">
      <c r="E277" s="397"/>
      <c r="J277" s="397"/>
      <c r="W277" s="397"/>
      <c r="Y277" s="397"/>
      <c r="AB277" s="397"/>
      <c r="AN277" s="397"/>
    </row>
    <row r="278" spans="5:40" x14ac:dyDescent="0.2">
      <c r="E278" s="397"/>
      <c r="J278" s="397"/>
      <c r="W278" s="397"/>
      <c r="Y278" s="397"/>
      <c r="AB278" s="397"/>
      <c r="AN278" s="397"/>
    </row>
    <row r="279" spans="5:40" x14ac:dyDescent="0.2">
      <c r="E279" s="397"/>
      <c r="J279" s="397"/>
      <c r="W279" s="397"/>
      <c r="Y279" s="397"/>
      <c r="AB279" s="397"/>
      <c r="AN279" s="397"/>
    </row>
    <row r="280" spans="5:40" x14ac:dyDescent="0.2">
      <c r="E280" s="397"/>
      <c r="J280" s="397"/>
      <c r="W280" s="397"/>
      <c r="Y280" s="397"/>
      <c r="AB280" s="397"/>
      <c r="AN280" s="397"/>
    </row>
    <row r="281" spans="5:40" x14ac:dyDescent="0.2">
      <c r="E281" s="397"/>
      <c r="J281" s="397"/>
      <c r="W281" s="397"/>
      <c r="Y281" s="397"/>
      <c r="AB281" s="397"/>
      <c r="AN281" s="397"/>
    </row>
    <row r="282" spans="5:40" x14ac:dyDescent="0.2">
      <c r="E282" s="397"/>
      <c r="J282" s="397"/>
      <c r="W282" s="397"/>
      <c r="Y282" s="397"/>
      <c r="AB282" s="397"/>
      <c r="AN282" s="397"/>
    </row>
    <row r="283" spans="5:40" x14ac:dyDescent="0.2">
      <c r="E283" s="397"/>
      <c r="J283" s="397"/>
      <c r="W283" s="397"/>
      <c r="Y283" s="397"/>
      <c r="AB283" s="397"/>
      <c r="AN283" s="397"/>
    </row>
    <row r="284" spans="5:40" x14ac:dyDescent="0.2">
      <c r="E284" s="397"/>
      <c r="J284" s="397"/>
      <c r="W284" s="397"/>
      <c r="Y284" s="397"/>
      <c r="AB284" s="397"/>
      <c r="AN284" s="397"/>
    </row>
    <row r="285" spans="5:40" x14ac:dyDescent="0.2">
      <c r="E285" s="397"/>
      <c r="J285" s="397"/>
      <c r="W285" s="397"/>
      <c r="Y285" s="397"/>
      <c r="AB285" s="397"/>
      <c r="AN285" s="397"/>
    </row>
    <row r="286" spans="5:40" x14ac:dyDescent="0.2">
      <c r="E286" s="397"/>
      <c r="J286" s="397"/>
      <c r="W286" s="397"/>
      <c r="Y286" s="397"/>
      <c r="AB286" s="397"/>
      <c r="AN286" s="397"/>
    </row>
    <row r="287" spans="5:40" x14ac:dyDescent="0.2">
      <c r="E287" s="397"/>
      <c r="J287" s="397"/>
      <c r="W287" s="397"/>
      <c r="Y287" s="397"/>
      <c r="AB287" s="397"/>
      <c r="AN287" s="397"/>
    </row>
    <row r="288" spans="5:40" x14ac:dyDescent="0.2">
      <c r="E288" s="397"/>
      <c r="J288" s="397"/>
      <c r="W288" s="397"/>
      <c r="Y288" s="397"/>
      <c r="AB288" s="397"/>
      <c r="AN288" s="397"/>
    </row>
    <row r="289" spans="5:40" x14ac:dyDescent="0.2">
      <c r="E289" s="397"/>
      <c r="J289" s="397"/>
      <c r="W289" s="397"/>
      <c r="Y289" s="397"/>
      <c r="AB289" s="397"/>
      <c r="AN289" s="397"/>
    </row>
    <row r="290" spans="5:40" x14ac:dyDescent="0.2">
      <c r="E290" s="397"/>
      <c r="J290" s="397"/>
      <c r="W290" s="397"/>
      <c r="Y290" s="397"/>
      <c r="AB290" s="397"/>
      <c r="AN290" s="397"/>
    </row>
    <row r="291" spans="5:40" x14ac:dyDescent="0.2">
      <c r="E291" s="397"/>
      <c r="J291" s="397"/>
      <c r="W291" s="397"/>
      <c r="Y291" s="397"/>
      <c r="AB291" s="397"/>
      <c r="AN291" s="397"/>
    </row>
    <row r="292" spans="5:40" x14ac:dyDescent="0.2">
      <c r="E292" s="397"/>
      <c r="J292" s="397"/>
      <c r="W292" s="397"/>
      <c r="Y292" s="397"/>
      <c r="AB292" s="397"/>
      <c r="AN292" s="397"/>
    </row>
    <row r="293" spans="5:40" x14ac:dyDescent="0.2">
      <c r="E293" s="397"/>
      <c r="J293" s="397"/>
      <c r="W293" s="397"/>
      <c r="Y293" s="397"/>
      <c r="AB293" s="397"/>
      <c r="AN293" s="397"/>
    </row>
    <row r="294" spans="5:40" x14ac:dyDescent="0.2">
      <c r="E294" s="397"/>
      <c r="J294" s="397"/>
      <c r="W294" s="397"/>
      <c r="Y294" s="397"/>
      <c r="AB294" s="397"/>
      <c r="AN294" s="397"/>
    </row>
    <row r="295" spans="5:40" x14ac:dyDescent="0.2">
      <c r="E295" s="397"/>
      <c r="J295" s="397"/>
      <c r="W295" s="397"/>
      <c r="Y295" s="397"/>
      <c r="AB295" s="397"/>
      <c r="AN295" s="397"/>
    </row>
    <row r="296" spans="5:40" x14ac:dyDescent="0.2">
      <c r="E296" s="397"/>
      <c r="J296" s="397"/>
      <c r="W296" s="397"/>
      <c r="Y296" s="397"/>
      <c r="AB296" s="397"/>
      <c r="AN296" s="397"/>
    </row>
    <row r="297" spans="5:40" x14ac:dyDescent="0.2">
      <c r="E297" s="397"/>
      <c r="J297" s="397"/>
      <c r="W297" s="397"/>
      <c r="Y297" s="397"/>
      <c r="AB297" s="397"/>
      <c r="AN297" s="397"/>
    </row>
    <row r="298" spans="5:40" x14ac:dyDescent="0.2">
      <c r="E298" s="397"/>
      <c r="J298" s="397"/>
      <c r="W298" s="397"/>
      <c r="Y298" s="397"/>
      <c r="AB298" s="397"/>
      <c r="AN298" s="397"/>
    </row>
    <row r="299" spans="5:40" x14ac:dyDescent="0.2">
      <c r="E299" s="397"/>
      <c r="J299" s="397"/>
      <c r="W299" s="397"/>
      <c r="Y299" s="397"/>
      <c r="AB299" s="397"/>
      <c r="AN299" s="397"/>
    </row>
    <row r="300" spans="5:40" x14ac:dyDescent="0.2">
      <c r="E300" s="397"/>
      <c r="J300" s="397"/>
      <c r="W300" s="397"/>
      <c r="Y300" s="397"/>
      <c r="AB300" s="397"/>
      <c r="AN300" s="397"/>
    </row>
    <row r="301" spans="5:40" x14ac:dyDescent="0.2">
      <c r="E301" s="397"/>
      <c r="J301" s="397"/>
      <c r="W301" s="397"/>
      <c r="Y301" s="397"/>
      <c r="AB301" s="397"/>
      <c r="AN301" s="397"/>
    </row>
    <row r="302" spans="5:40" x14ac:dyDescent="0.2">
      <c r="E302" s="397"/>
      <c r="J302" s="397"/>
      <c r="W302" s="397"/>
      <c r="Y302" s="397"/>
      <c r="AB302" s="397"/>
      <c r="AN302" s="397"/>
    </row>
    <row r="303" spans="5:40" x14ac:dyDescent="0.2">
      <c r="E303" s="397"/>
      <c r="J303" s="397"/>
      <c r="W303" s="397"/>
      <c r="Y303" s="397"/>
      <c r="AB303" s="397"/>
      <c r="AN303" s="397"/>
    </row>
    <row r="304" spans="5:40" x14ac:dyDescent="0.2">
      <c r="E304" s="397"/>
      <c r="J304" s="397"/>
      <c r="W304" s="397"/>
      <c r="Y304" s="397"/>
      <c r="AB304" s="397"/>
      <c r="AN304" s="397"/>
    </row>
    <row r="305" spans="5:40" x14ac:dyDescent="0.2">
      <c r="E305" s="397"/>
      <c r="J305" s="397"/>
      <c r="W305" s="397"/>
      <c r="Y305" s="397"/>
      <c r="AB305" s="397"/>
      <c r="AN305" s="397"/>
    </row>
    <row r="306" spans="5:40" x14ac:dyDescent="0.2">
      <c r="E306" s="397"/>
      <c r="J306" s="397"/>
      <c r="W306" s="397"/>
      <c r="Y306" s="397"/>
      <c r="AB306" s="397"/>
      <c r="AN306" s="397"/>
    </row>
    <row r="307" spans="5:40" x14ac:dyDescent="0.2">
      <c r="E307" s="397"/>
      <c r="J307" s="397"/>
      <c r="W307" s="397"/>
      <c r="Y307" s="397"/>
      <c r="AB307" s="397"/>
      <c r="AN307" s="397"/>
    </row>
    <row r="308" spans="5:40" x14ac:dyDescent="0.2">
      <c r="E308" s="397"/>
      <c r="J308" s="397"/>
      <c r="W308" s="397"/>
      <c r="Y308" s="397"/>
      <c r="AB308" s="397"/>
      <c r="AN308" s="397"/>
    </row>
    <row r="309" spans="5:40" x14ac:dyDescent="0.2">
      <c r="E309" s="397"/>
      <c r="J309" s="397"/>
      <c r="W309" s="397"/>
      <c r="Y309" s="397"/>
      <c r="AB309" s="397"/>
      <c r="AN309" s="397"/>
    </row>
    <row r="310" spans="5:40" x14ac:dyDescent="0.2">
      <c r="E310" s="397"/>
      <c r="J310" s="397"/>
      <c r="W310" s="397"/>
      <c r="Y310" s="397"/>
      <c r="AB310" s="397"/>
      <c r="AN310" s="397"/>
    </row>
    <row r="311" spans="5:40" x14ac:dyDescent="0.2">
      <c r="E311" s="397"/>
      <c r="J311" s="397"/>
      <c r="W311" s="397"/>
      <c r="Y311" s="397"/>
      <c r="AB311" s="397"/>
      <c r="AN311" s="397"/>
    </row>
    <row r="312" spans="5:40" x14ac:dyDescent="0.2">
      <c r="E312" s="397"/>
      <c r="J312" s="397"/>
      <c r="W312" s="397"/>
      <c r="Y312" s="397"/>
      <c r="AB312" s="397"/>
      <c r="AN312" s="397"/>
    </row>
    <row r="313" spans="5:40" x14ac:dyDescent="0.2">
      <c r="E313" s="397"/>
      <c r="J313" s="397"/>
      <c r="W313" s="397"/>
      <c r="Y313" s="397"/>
      <c r="AB313" s="397"/>
      <c r="AN313" s="397"/>
    </row>
    <row r="314" spans="5:40" x14ac:dyDescent="0.2">
      <c r="E314" s="397"/>
      <c r="J314" s="397"/>
      <c r="W314" s="397"/>
      <c r="Y314" s="397"/>
      <c r="AB314" s="397"/>
      <c r="AN314" s="397"/>
    </row>
    <row r="315" spans="5:40" x14ac:dyDescent="0.2">
      <c r="E315" s="397"/>
      <c r="J315" s="397"/>
      <c r="W315" s="397"/>
      <c r="Y315" s="397"/>
      <c r="AB315" s="397"/>
      <c r="AN315" s="397"/>
    </row>
    <row r="316" spans="5:40" x14ac:dyDescent="0.2">
      <c r="E316" s="397"/>
      <c r="J316" s="397"/>
      <c r="W316" s="397"/>
      <c r="Y316" s="397"/>
      <c r="AB316" s="397"/>
      <c r="AN316" s="397"/>
    </row>
    <row r="317" spans="5:40" x14ac:dyDescent="0.2">
      <c r="E317" s="397"/>
      <c r="J317" s="397"/>
      <c r="W317" s="397"/>
      <c r="Y317" s="397"/>
      <c r="AB317" s="397"/>
      <c r="AN317" s="397"/>
    </row>
    <row r="318" spans="5:40" x14ac:dyDescent="0.2">
      <c r="E318" s="397"/>
      <c r="J318" s="397"/>
      <c r="W318" s="397"/>
      <c r="Y318" s="397"/>
      <c r="AB318" s="397"/>
      <c r="AN318" s="397"/>
    </row>
    <row r="319" spans="5:40" x14ac:dyDescent="0.2">
      <c r="E319" s="397"/>
      <c r="J319" s="397"/>
      <c r="W319" s="397"/>
      <c r="Y319" s="397"/>
      <c r="AB319" s="397"/>
      <c r="AN319" s="397"/>
    </row>
    <row r="320" spans="5:40" x14ac:dyDescent="0.2">
      <c r="E320" s="397"/>
      <c r="J320" s="397"/>
      <c r="W320" s="397"/>
      <c r="Y320" s="397"/>
      <c r="AB320" s="397"/>
      <c r="AN320" s="397"/>
    </row>
    <row r="321" spans="5:40" x14ac:dyDescent="0.2">
      <c r="E321" s="397"/>
      <c r="J321" s="397"/>
      <c r="W321" s="397"/>
      <c r="Y321" s="397"/>
      <c r="AB321" s="397"/>
      <c r="AN321" s="397"/>
    </row>
    <row r="322" spans="5:40" x14ac:dyDescent="0.2">
      <c r="E322" s="397"/>
      <c r="J322" s="397"/>
      <c r="W322" s="397"/>
      <c r="Y322" s="397"/>
      <c r="AB322" s="397"/>
      <c r="AN322" s="397"/>
    </row>
    <row r="323" spans="5:40" x14ac:dyDescent="0.2">
      <c r="E323" s="397"/>
      <c r="J323" s="397"/>
      <c r="W323" s="397"/>
      <c r="Y323" s="397"/>
      <c r="AB323" s="397"/>
      <c r="AN323" s="397"/>
    </row>
    <row r="324" spans="5:40" x14ac:dyDescent="0.2">
      <c r="E324" s="397"/>
      <c r="J324" s="397"/>
      <c r="W324" s="397"/>
      <c r="Y324" s="397"/>
      <c r="AB324" s="397"/>
      <c r="AN324" s="397"/>
    </row>
    <row r="325" spans="5:40" x14ac:dyDescent="0.2">
      <c r="E325" s="397"/>
      <c r="J325" s="397"/>
      <c r="W325" s="397"/>
      <c r="Y325" s="397"/>
      <c r="AB325" s="397"/>
      <c r="AN325" s="397"/>
    </row>
    <row r="326" spans="5:40" x14ac:dyDescent="0.2">
      <c r="E326" s="397"/>
      <c r="J326" s="397"/>
      <c r="W326" s="397"/>
      <c r="Y326" s="397"/>
      <c r="AB326" s="397"/>
      <c r="AN326" s="397"/>
    </row>
    <row r="327" spans="5:40" x14ac:dyDescent="0.2">
      <c r="E327" s="397"/>
      <c r="J327" s="397"/>
      <c r="W327" s="397"/>
      <c r="Y327" s="397"/>
      <c r="AB327" s="397"/>
      <c r="AN327" s="397"/>
    </row>
    <row r="328" spans="5:40" x14ac:dyDescent="0.2">
      <c r="E328" s="397"/>
      <c r="J328" s="397"/>
      <c r="W328" s="397"/>
      <c r="Y328" s="397"/>
      <c r="AB328" s="397"/>
      <c r="AN328" s="397"/>
    </row>
    <row r="329" spans="5:40" x14ac:dyDescent="0.2">
      <c r="E329" s="397"/>
      <c r="J329" s="397"/>
      <c r="W329" s="397"/>
      <c r="Y329" s="397"/>
      <c r="AB329" s="397"/>
      <c r="AN329" s="397"/>
    </row>
    <row r="330" spans="5:40" x14ac:dyDescent="0.2">
      <c r="E330" s="397"/>
      <c r="J330" s="397"/>
      <c r="W330" s="397"/>
      <c r="Y330" s="397"/>
      <c r="AB330" s="397"/>
      <c r="AN330" s="397"/>
    </row>
    <row r="331" spans="5:40" x14ac:dyDescent="0.2">
      <c r="E331" s="397"/>
      <c r="J331" s="397"/>
      <c r="W331" s="397"/>
      <c r="Y331" s="397"/>
      <c r="AB331" s="397"/>
      <c r="AN331" s="397"/>
    </row>
    <row r="332" spans="5:40" x14ac:dyDescent="0.2">
      <c r="E332" s="397"/>
      <c r="J332" s="397"/>
      <c r="W332" s="397"/>
      <c r="Y332" s="397"/>
      <c r="AB332" s="397"/>
      <c r="AN332" s="397"/>
    </row>
    <row r="333" spans="5:40" x14ac:dyDescent="0.2">
      <c r="E333" s="397"/>
      <c r="J333" s="397"/>
      <c r="W333" s="397"/>
      <c r="Y333" s="397"/>
      <c r="AB333" s="397"/>
      <c r="AN333" s="397"/>
    </row>
    <row r="334" spans="5:40" x14ac:dyDescent="0.2">
      <c r="E334" s="397"/>
      <c r="J334" s="397"/>
      <c r="W334" s="397"/>
      <c r="Y334" s="397"/>
      <c r="AB334" s="397"/>
      <c r="AN334" s="397"/>
    </row>
    <row r="335" spans="5:40" x14ac:dyDescent="0.2">
      <c r="E335" s="397"/>
      <c r="J335" s="397"/>
      <c r="W335" s="397"/>
      <c r="Y335" s="397"/>
      <c r="AB335" s="397"/>
      <c r="AN335" s="397"/>
    </row>
    <row r="336" spans="5:40" x14ac:dyDescent="0.2">
      <c r="E336" s="397"/>
      <c r="J336" s="397"/>
      <c r="W336" s="397"/>
      <c r="Y336" s="397"/>
      <c r="AB336" s="397"/>
      <c r="AN336" s="397"/>
    </row>
    <row r="337" spans="5:40" x14ac:dyDescent="0.2">
      <c r="E337" s="397"/>
      <c r="J337" s="397"/>
      <c r="W337" s="397"/>
      <c r="Y337" s="397"/>
      <c r="AB337" s="397"/>
      <c r="AN337" s="397"/>
    </row>
    <row r="338" spans="5:40" x14ac:dyDescent="0.2">
      <c r="E338" s="397"/>
      <c r="J338" s="397"/>
      <c r="W338" s="397"/>
      <c r="Y338" s="397"/>
      <c r="AB338" s="397"/>
      <c r="AN338" s="397"/>
    </row>
    <row r="339" spans="5:40" x14ac:dyDescent="0.2">
      <c r="E339" s="397"/>
      <c r="J339" s="397"/>
      <c r="W339" s="397"/>
      <c r="Y339" s="397"/>
      <c r="AB339" s="397"/>
      <c r="AN339" s="397"/>
    </row>
    <row r="340" spans="5:40" x14ac:dyDescent="0.2">
      <c r="E340" s="397"/>
      <c r="J340" s="397"/>
      <c r="W340" s="397"/>
      <c r="Y340" s="397"/>
      <c r="AB340" s="397"/>
      <c r="AN340" s="397"/>
    </row>
    <row r="341" spans="5:40" x14ac:dyDescent="0.2">
      <c r="E341" s="397"/>
      <c r="J341" s="397"/>
      <c r="W341" s="397"/>
      <c r="Y341" s="397"/>
      <c r="AB341" s="397"/>
      <c r="AN341" s="397"/>
    </row>
    <row r="342" spans="5:40" x14ac:dyDescent="0.2">
      <c r="E342" s="397"/>
      <c r="J342" s="397"/>
      <c r="W342" s="397"/>
      <c r="Y342" s="397"/>
      <c r="AB342" s="397"/>
      <c r="AN342" s="397"/>
    </row>
    <row r="343" spans="5:40" x14ac:dyDescent="0.2">
      <c r="E343" s="397"/>
      <c r="J343" s="397"/>
      <c r="W343" s="397"/>
      <c r="Y343" s="397"/>
      <c r="AB343" s="397"/>
      <c r="AN343" s="397"/>
    </row>
    <row r="344" spans="5:40" x14ac:dyDescent="0.2">
      <c r="E344" s="397"/>
      <c r="J344" s="397"/>
      <c r="W344" s="397"/>
      <c r="Y344" s="397"/>
      <c r="AB344" s="397"/>
      <c r="AN344" s="397"/>
    </row>
    <row r="345" spans="5:40" x14ac:dyDescent="0.2">
      <c r="E345" s="397"/>
      <c r="J345" s="397"/>
      <c r="W345" s="397"/>
      <c r="Y345" s="397"/>
      <c r="AB345" s="397"/>
      <c r="AN345" s="397"/>
    </row>
    <row r="346" spans="5:40" x14ac:dyDescent="0.2">
      <c r="E346" s="397"/>
      <c r="J346" s="397"/>
      <c r="W346" s="397"/>
      <c r="Y346" s="397"/>
      <c r="AB346" s="397"/>
      <c r="AN346" s="397"/>
    </row>
    <row r="347" spans="5:40" x14ac:dyDescent="0.2">
      <c r="E347" s="397"/>
      <c r="J347" s="397"/>
      <c r="W347" s="397"/>
      <c r="Y347" s="397"/>
      <c r="AB347" s="397"/>
      <c r="AN347" s="397"/>
    </row>
    <row r="348" spans="5:40" x14ac:dyDescent="0.2">
      <c r="E348" s="397"/>
      <c r="J348" s="397"/>
      <c r="W348" s="397"/>
      <c r="Y348" s="397"/>
      <c r="AB348" s="397"/>
      <c r="AN348" s="397"/>
    </row>
    <row r="349" spans="5:40" x14ac:dyDescent="0.2">
      <c r="E349" s="397"/>
      <c r="J349" s="397"/>
      <c r="W349" s="397"/>
      <c r="Y349" s="397"/>
      <c r="AB349" s="397"/>
      <c r="AN349" s="397"/>
    </row>
    <row r="350" spans="5:40" x14ac:dyDescent="0.2">
      <c r="E350" s="397"/>
      <c r="J350" s="397"/>
      <c r="W350" s="397"/>
      <c r="Y350" s="397"/>
      <c r="AB350" s="397"/>
      <c r="AN350" s="397"/>
    </row>
    <row r="351" spans="5:40" x14ac:dyDescent="0.2">
      <c r="E351" s="397"/>
      <c r="J351" s="397"/>
      <c r="W351" s="397"/>
      <c r="Y351" s="397"/>
      <c r="AB351" s="397"/>
      <c r="AN351" s="397"/>
    </row>
    <row r="352" spans="5:40" x14ac:dyDescent="0.2">
      <c r="E352" s="397"/>
      <c r="J352" s="397"/>
      <c r="W352" s="397"/>
      <c r="Y352" s="397"/>
      <c r="AB352" s="397"/>
      <c r="AN352" s="397"/>
    </row>
    <row r="353" spans="5:40" x14ac:dyDescent="0.2">
      <c r="E353" s="397"/>
      <c r="J353" s="397"/>
      <c r="W353" s="397"/>
      <c r="Y353" s="397"/>
      <c r="AB353" s="397"/>
      <c r="AN353" s="397"/>
    </row>
    <row r="354" spans="5:40" x14ac:dyDescent="0.2">
      <c r="E354" s="397"/>
      <c r="J354" s="397"/>
      <c r="W354" s="397"/>
      <c r="Y354" s="397"/>
      <c r="AB354" s="397"/>
      <c r="AN354" s="397"/>
    </row>
    <row r="355" spans="5:40" x14ac:dyDescent="0.2">
      <c r="E355" s="397"/>
      <c r="J355" s="397"/>
      <c r="W355" s="397"/>
      <c r="Y355" s="397"/>
      <c r="AB355" s="397"/>
      <c r="AN355" s="397"/>
    </row>
    <row r="356" spans="5:40" x14ac:dyDescent="0.2">
      <c r="E356" s="397"/>
      <c r="J356" s="397"/>
      <c r="W356" s="397"/>
      <c r="Y356" s="397"/>
      <c r="AB356" s="397"/>
      <c r="AN356" s="397"/>
    </row>
    <row r="357" spans="5:40" x14ac:dyDescent="0.2">
      <c r="E357" s="397"/>
      <c r="J357" s="397"/>
      <c r="W357" s="397"/>
      <c r="Y357" s="397"/>
      <c r="AB357" s="397"/>
      <c r="AN357" s="397"/>
    </row>
    <row r="358" spans="5:40" x14ac:dyDescent="0.2">
      <c r="E358" s="397"/>
      <c r="J358" s="397"/>
      <c r="W358" s="397"/>
      <c r="Y358" s="397"/>
      <c r="AB358" s="397"/>
      <c r="AN358" s="397"/>
    </row>
    <row r="359" spans="5:40" x14ac:dyDescent="0.2">
      <c r="E359" s="397"/>
      <c r="J359" s="397"/>
      <c r="W359" s="397"/>
      <c r="Y359" s="397"/>
      <c r="AB359" s="397"/>
      <c r="AN359" s="397"/>
    </row>
    <row r="360" spans="5:40" x14ac:dyDescent="0.2">
      <c r="E360" s="397"/>
      <c r="J360" s="397"/>
      <c r="W360" s="397"/>
      <c r="Y360" s="397"/>
      <c r="AB360" s="397"/>
      <c r="AN360" s="397"/>
    </row>
    <row r="361" spans="5:40" x14ac:dyDescent="0.2">
      <c r="E361" s="397"/>
      <c r="J361" s="397"/>
      <c r="W361" s="397"/>
      <c r="Y361" s="397"/>
      <c r="AB361" s="397"/>
      <c r="AN361" s="397"/>
    </row>
    <row r="362" spans="5:40" x14ac:dyDescent="0.2">
      <c r="E362" s="397"/>
      <c r="J362" s="397"/>
      <c r="W362" s="397"/>
      <c r="Y362" s="397"/>
      <c r="AB362" s="397"/>
      <c r="AN362" s="397"/>
    </row>
    <row r="363" spans="5:40" x14ac:dyDescent="0.2">
      <c r="E363" s="397"/>
      <c r="J363" s="397"/>
      <c r="W363" s="397"/>
      <c r="Y363" s="397"/>
      <c r="AB363" s="397"/>
      <c r="AN363" s="397"/>
    </row>
    <row r="364" spans="5:40" x14ac:dyDescent="0.2">
      <c r="E364" s="397"/>
      <c r="J364" s="397"/>
      <c r="W364" s="397"/>
      <c r="Y364" s="397"/>
      <c r="AB364" s="397"/>
      <c r="AN364" s="397"/>
    </row>
    <row r="365" spans="5:40" x14ac:dyDescent="0.2">
      <c r="E365" s="397"/>
      <c r="J365" s="397"/>
      <c r="W365" s="397"/>
      <c r="Y365" s="397"/>
      <c r="AB365" s="397"/>
      <c r="AN365" s="397"/>
    </row>
    <row r="366" spans="5:40" x14ac:dyDescent="0.2">
      <c r="E366" s="397"/>
      <c r="J366" s="397"/>
      <c r="W366" s="397"/>
      <c r="Y366" s="397"/>
      <c r="AB366" s="397"/>
      <c r="AN366" s="397"/>
    </row>
    <row r="367" spans="5:40" x14ac:dyDescent="0.2">
      <c r="E367" s="397"/>
      <c r="J367" s="397"/>
      <c r="W367" s="397"/>
      <c r="Y367" s="397"/>
      <c r="AB367" s="397"/>
      <c r="AN367" s="397"/>
    </row>
    <row r="368" spans="5:40" x14ac:dyDescent="0.2">
      <c r="E368" s="397"/>
      <c r="J368" s="397"/>
      <c r="W368" s="397"/>
      <c r="Y368" s="397"/>
      <c r="AB368" s="397"/>
      <c r="AN368" s="397"/>
    </row>
    <row r="369" spans="5:40" x14ac:dyDescent="0.2">
      <c r="E369" s="397"/>
      <c r="J369" s="397"/>
      <c r="W369" s="397"/>
      <c r="Y369" s="397"/>
      <c r="AB369" s="397"/>
      <c r="AN369" s="397"/>
    </row>
    <row r="370" spans="5:40" x14ac:dyDescent="0.2">
      <c r="E370" s="397"/>
      <c r="J370" s="397"/>
      <c r="W370" s="397"/>
      <c r="Y370" s="397"/>
      <c r="AB370" s="397"/>
      <c r="AN370" s="397"/>
    </row>
    <row r="371" spans="5:40" x14ac:dyDescent="0.2">
      <c r="E371" s="397"/>
      <c r="J371" s="397"/>
      <c r="W371" s="397"/>
      <c r="Y371" s="397"/>
      <c r="AB371" s="397"/>
      <c r="AN371" s="397"/>
    </row>
    <row r="372" spans="5:40" x14ac:dyDescent="0.2">
      <c r="E372" s="397"/>
      <c r="J372" s="397"/>
      <c r="W372" s="397"/>
      <c r="Y372" s="397"/>
      <c r="AB372" s="397"/>
      <c r="AN372" s="397"/>
    </row>
    <row r="373" spans="5:40" x14ac:dyDescent="0.2">
      <c r="E373" s="397"/>
      <c r="J373" s="397"/>
      <c r="W373" s="397"/>
      <c r="Y373" s="397"/>
      <c r="AB373" s="397"/>
      <c r="AN373" s="397"/>
    </row>
    <row r="374" spans="5:40" x14ac:dyDescent="0.2">
      <c r="E374" s="397"/>
      <c r="J374" s="397"/>
      <c r="W374" s="397"/>
      <c r="Y374" s="397"/>
      <c r="AB374" s="397"/>
      <c r="AN374" s="397"/>
    </row>
    <row r="375" spans="5:40" x14ac:dyDescent="0.2">
      <c r="E375" s="397"/>
      <c r="J375" s="397"/>
      <c r="W375" s="397"/>
      <c r="Y375" s="397"/>
      <c r="AB375" s="397"/>
      <c r="AN375" s="397"/>
    </row>
    <row r="376" spans="5:40" x14ac:dyDescent="0.2">
      <c r="E376" s="397"/>
      <c r="J376" s="397"/>
      <c r="W376" s="397"/>
      <c r="Y376" s="397"/>
      <c r="AB376" s="397"/>
      <c r="AN376" s="397"/>
    </row>
    <row r="377" spans="5:40" x14ac:dyDescent="0.2">
      <c r="E377" s="397"/>
      <c r="J377" s="397"/>
      <c r="W377" s="397"/>
      <c r="Y377" s="397"/>
      <c r="AB377" s="397"/>
      <c r="AN377" s="397"/>
    </row>
    <row r="378" spans="5:40" x14ac:dyDescent="0.2">
      <c r="E378" s="397"/>
      <c r="J378" s="397"/>
      <c r="W378" s="397"/>
      <c r="Y378" s="397"/>
      <c r="AB378" s="397"/>
      <c r="AN378" s="397"/>
    </row>
    <row r="379" spans="5:40" x14ac:dyDescent="0.2">
      <c r="E379" s="397"/>
      <c r="J379" s="397"/>
      <c r="W379" s="397"/>
      <c r="Y379" s="397"/>
      <c r="AB379" s="397"/>
      <c r="AN379" s="397"/>
    </row>
    <row r="380" spans="5:40" x14ac:dyDescent="0.2">
      <c r="E380" s="397"/>
      <c r="J380" s="397"/>
      <c r="W380" s="397"/>
      <c r="Y380" s="397"/>
      <c r="AB380" s="397"/>
      <c r="AN380" s="397"/>
    </row>
    <row r="381" spans="5:40" x14ac:dyDescent="0.2">
      <c r="E381" s="397"/>
      <c r="J381" s="397"/>
      <c r="W381" s="397"/>
      <c r="Y381" s="397"/>
      <c r="AB381" s="397"/>
      <c r="AN381" s="397"/>
    </row>
    <row r="382" spans="5:40" x14ac:dyDescent="0.2">
      <c r="E382" s="397"/>
      <c r="J382" s="397"/>
      <c r="W382" s="397"/>
      <c r="Y382" s="397"/>
      <c r="AB382" s="397"/>
      <c r="AN382" s="397"/>
    </row>
    <row r="383" spans="5:40" x14ac:dyDescent="0.2">
      <c r="E383" s="397"/>
      <c r="J383" s="397"/>
      <c r="W383" s="397"/>
      <c r="Y383" s="397"/>
      <c r="AB383" s="397"/>
      <c r="AN383" s="397"/>
    </row>
    <row r="384" spans="5:40" x14ac:dyDescent="0.2">
      <c r="E384" s="397"/>
      <c r="J384" s="397"/>
      <c r="W384" s="397"/>
      <c r="Y384" s="397"/>
      <c r="AB384" s="397"/>
      <c r="AN384" s="397"/>
    </row>
    <row r="385" spans="5:40" x14ac:dyDescent="0.2">
      <c r="E385" s="397"/>
      <c r="J385" s="397"/>
      <c r="W385" s="397"/>
      <c r="Y385" s="397"/>
      <c r="AB385" s="397"/>
      <c r="AN385" s="397"/>
    </row>
    <row r="386" spans="5:40" x14ac:dyDescent="0.2">
      <c r="E386" s="397"/>
      <c r="J386" s="397"/>
      <c r="W386" s="397"/>
      <c r="Y386" s="397"/>
      <c r="AB386" s="397"/>
      <c r="AN386" s="397"/>
    </row>
    <row r="387" spans="5:40" x14ac:dyDescent="0.2">
      <c r="E387" s="397"/>
      <c r="J387" s="397"/>
      <c r="W387" s="397"/>
      <c r="Y387" s="397"/>
      <c r="AB387" s="397"/>
      <c r="AN387" s="397"/>
    </row>
    <row r="388" spans="5:40" x14ac:dyDescent="0.2">
      <c r="E388" s="397"/>
      <c r="J388" s="397"/>
      <c r="W388" s="397"/>
      <c r="Y388" s="397"/>
      <c r="AB388" s="397"/>
      <c r="AN388" s="397"/>
    </row>
    <row r="389" spans="5:40" x14ac:dyDescent="0.2">
      <c r="E389" s="397"/>
      <c r="J389" s="397"/>
      <c r="W389" s="397"/>
      <c r="Y389" s="397"/>
      <c r="AB389" s="397"/>
      <c r="AN389" s="397"/>
    </row>
    <row r="390" spans="5:40" x14ac:dyDescent="0.2">
      <c r="E390" s="397"/>
      <c r="J390" s="397"/>
      <c r="W390" s="397"/>
      <c r="Y390" s="397"/>
      <c r="AB390" s="397"/>
      <c r="AN390" s="397"/>
    </row>
    <row r="391" spans="5:40" x14ac:dyDescent="0.2">
      <c r="E391" s="397"/>
      <c r="J391" s="397"/>
      <c r="W391" s="397"/>
      <c r="Y391" s="397"/>
      <c r="AB391" s="397"/>
      <c r="AN391" s="397"/>
    </row>
    <row r="392" spans="5:40" x14ac:dyDescent="0.2">
      <c r="E392" s="397"/>
      <c r="J392" s="397"/>
      <c r="W392" s="397"/>
      <c r="Y392" s="397"/>
      <c r="AB392" s="397"/>
      <c r="AN392" s="397"/>
    </row>
    <row r="393" spans="5:40" x14ac:dyDescent="0.2">
      <c r="E393" s="397"/>
      <c r="J393" s="397"/>
      <c r="W393" s="397"/>
      <c r="Y393" s="397"/>
      <c r="AB393" s="397"/>
      <c r="AN393" s="397"/>
    </row>
    <row r="394" spans="5:40" x14ac:dyDescent="0.2">
      <c r="E394" s="397"/>
      <c r="J394" s="397"/>
      <c r="W394" s="397"/>
      <c r="Y394" s="397"/>
      <c r="AB394" s="397"/>
      <c r="AN394" s="397"/>
    </row>
    <row r="395" spans="5:40" x14ac:dyDescent="0.2">
      <c r="E395" s="397"/>
      <c r="J395" s="397"/>
      <c r="W395" s="397"/>
      <c r="Y395" s="397"/>
      <c r="AB395" s="397"/>
      <c r="AN395" s="397"/>
    </row>
    <row r="396" spans="5:40" x14ac:dyDescent="0.2">
      <c r="E396" s="397"/>
      <c r="J396" s="397"/>
      <c r="W396" s="397"/>
      <c r="Y396" s="397"/>
      <c r="AB396" s="397"/>
      <c r="AN396" s="397"/>
    </row>
    <row r="397" spans="5:40" x14ac:dyDescent="0.2">
      <c r="E397" s="397"/>
      <c r="J397" s="397"/>
      <c r="W397" s="397"/>
      <c r="Y397" s="397"/>
      <c r="AB397" s="397"/>
      <c r="AN397" s="397"/>
    </row>
    <row r="398" spans="5:40" x14ac:dyDescent="0.2">
      <c r="E398" s="397"/>
      <c r="J398" s="397"/>
      <c r="W398" s="397"/>
      <c r="Y398" s="397"/>
      <c r="AB398" s="397"/>
      <c r="AN398" s="397"/>
    </row>
    <row r="399" spans="5:40" x14ac:dyDescent="0.2">
      <c r="E399" s="397"/>
      <c r="J399" s="397"/>
      <c r="W399" s="397"/>
      <c r="Y399" s="397"/>
      <c r="AB399" s="397"/>
      <c r="AN399" s="397"/>
    </row>
    <row r="400" spans="5:40" x14ac:dyDescent="0.2">
      <c r="E400" s="397"/>
      <c r="J400" s="397"/>
      <c r="W400" s="397"/>
      <c r="Y400" s="397"/>
      <c r="AB400" s="397"/>
      <c r="AN400" s="397"/>
    </row>
    <row r="401" spans="5:40" x14ac:dyDescent="0.2">
      <c r="E401" s="397"/>
      <c r="J401" s="397"/>
      <c r="W401" s="397"/>
      <c r="Y401" s="397"/>
      <c r="AB401" s="397"/>
      <c r="AN401" s="397"/>
    </row>
    <row r="402" spans="5:40" x14ac:dyDescent="0.2">
      <c r="E402" s="397"/>
      <c r="J402" s="397"/>
      <c r="W402" s="397"/>
      <c r="Y402" s="397"/>
      <c r="AB402" s="397"/>
      <c r="AN402" s="397"/>
    </row>
    <row r="403" spans="5:40" x14ac:dyDescent="0.2">
      <c r="E403" s="397"/>
      <c r="J403" s="397"/>
      <c r="W403" s="397"/>
      <c r="Y403" s="397"/>
      <c r="AB403" s="397"/>
      <c r="AN403" s="397"/>
    </row>
    <row r="404" spans="5:40" x14ac:dyDescent="0.2">
      <c r="E404" s="397"/>
      <c r="J404" s="397"/>
      <c r="W404" s="397"/>
      <c r="Y404" s="397"/>
      <c r="AB404" s="397"/>
      <c r="AN404" s="397"/>
    </row>
    <row r="405" spans="5:40" x14ac:dyDescent="0.2">
      <c r="E405" s="397"/>
      <c r="J405" s="397"/>
      <c r="W405" s="397"/>
      <c r="Y405" s="397"/>
      <c r="AB405" s="397"/>
      <c r="AN405" s="397"/>
    </row>
    <row r="406" spans="5:40" x14ac:dyDescent="0.2">
      <c r="E406" s="397"/>
      <c r="J406" s="397"/>
      <c r="W406" s="397"/>
      <c r="Y406" s="397"/>
      <c r="AB406" s="397"/>
      <c r="AN406" s="397"/>
    </row>
    <row r="407" spans="5:40" x14ac:dyDescent="0.2">
      <c r="E407" s="397"/>
      <c r="J407" s="397"/>
      <c r="W407" s="397"/>
      <c r="Y407" s="397"/>
      <c r="AB407" s="397"/>
      <c r="AN407" s="397"/>
    </row>
    <row r="408" spans="5:40" x14ac:dyDescent="0.2">
      <c r="E408" s="397"/>
      <c r="J408" s="397"/>
      <c r="W408" s="397"/>
      <c r="Y408" s="397"/>
      <c r="AB408" s="397"/>
      <c r="AN408" s="397"/>
    </row>
    <row r="409" spans="5:40" x14ac:dyDescent="0.2">
      <c r="E409" s="397"/>
      <c r="J409" s="397"/>
      <c r="W409" s="397"/>
      <c r="Y409" s="397"/>
      <c r="AB409" s="397"/>
      <c r="AN409" s="397"/>
    </row>
    <row r="410" spans="5:40" x14ac:dyDescent="0.2">
      <c r="E410" s="397"/>
      <c r="J410" s="397"/>
      <c r="W410" s="397"/>
      <c r="Y410" s="397"/>
      <c r="AB410" s="397"/>
      <c r="AN410" s="397"/>
    </row>
    <row r="411" spans="5:40" x14ac:dyDescent="0.2">
      <c r="E411" s="397"/>
      <c r="J411" s="397"/>
      <c r="W411" s="397"/>
      <c r="Y411" s="397"/>
      <c r="AB411" s="397"/>
      <c r="AN411" s="397"/>
    </row>
    <row r="412" spans="5:40" x14ac:dyDescent="0.2">
      <c r="E412" s="397"/>
      <c r="J412" s="397"/>
      <c r="W412" s="397"/>
      <c r="Y412" s="397"/>
      <c r="AB412" s="397"/>
      <c r="AN412" s="397"/>
    </row>
    <row r="413" spans="5:40" x14ac:dyDescent="0.2">
      <c r="E413" s="397"/>
      <c r="J413" s="397"/>
      <c r="W413" s="397"/>
      <c r="Y413" s="397"/>
      <c r="AB413" s="397"/>
      <c r="AN413" s="397"/>
    </row>
    <row r="414" spans="5:40" x14ac:dyDescent="0.2">
      <c r="E414" s="397"/>
      <c r="J414" s="397"/>
      <c r="W414" s="397"/>
      <c r="Y414" s="397"/>
      <c r="AB414" s="397"/>
      <c r="AN414" s="397"/>
    </row>
    <row r="415" spans="5:40" x14ac:dyDescent="0.2">
      <c r="E415" s="397"/>
      <c r="J415" s="397"/>
      <c r="W415" s="397"/>
      <c r="Y415" s="397"/>
      <c r="AB415" s="397"/>
      <c r="AN415" s="397"/>
    </row>
    <row r="416" spans="5:40" x14ac:dyDescent="0.2">
      <c r="E416" s="397"/>
      <c r="J416" s="397"/>
      <c r="W416" s="397"/>
      <c r="Y416" s="397"/>
      <c r="AB416" s="397"/>
      <c r="AN416" s="397"/>
    </row>
    <row r="417" spans="5:40" x14ac:dyDescent="0.2">
      <c r="E417" s="397"/>
      <c r="J417" s="397"/>
      <c r="W417" s="397"/>
      <c r="Y417" s="397"/>
      <c r="AB417" s="397"/>
      <c r="AN417" s="397"/>
    </row>
    <row r="418" spans="5:40" x14ac:dyDescent="0.2">
      <c r="E418" s="397"/>
      <c r="J418" s="397"/>
      <c r="W418" s="397"/>
      <c r="Y418" s="397"/>
      <c r="AB418" s="397"/>
      <c r="AN418" s="397"/>
    </row>
    <row r="419" spans="5:40" x14ac:dyDescent="0.2">
      <c r="E419" s="397"/>
      <c r="J419" s="397"/>
      <c r="W419" s="397"/>
      <c r="Y419" s="397"/>
      <c r="AB419" s="397"/>
      <c r="AN419" s="397"/>
    </row>
    <row r="420" spans="5:40" x14ac:dyDescent="0.2">
      <c r="E420" s="397"/>
      <c r="J420" s="397"/>
      <c r="W420" s="397"/>
      <c r="Y420" s="397"/>
      <c r="AB420" s="397"/>
      <c r="AN420" s="397"/>
    </row>
    <row r="421" spans="5:40" x14ac:dyDescent="0.2">
      <c r="E421" s="397"/>
      <c r="J421" s="397"/>
      <c r="W421" s="397"/>
      <c r="Y421" s="397"/>
      <c r="AB421" s="397"/>
      <c r="AN421" s="397"/>
    </row>
    <row r="422" spans="5:40" x14ac:dyDescent="0.2">
      <c r="E422" s="397"/>
      <c r="J422" s="397"/>
      <c r="W422" s="397"/>
      <c r="Y422" s="397"/>
      <c r="AB422" s="397"/>
      <c r="AN422" s="397"/>
    </row>
    <row r="423" spans="5:40" x14ac:dyDescent="0.2">
      <c r="E423" s="397"/>
      <c r="J423" s="397"/>
      <c r="W423" s="397"/>
      <c r="Y423" s="397"/>
      <c r="AB423" s="397"/>
      <c r="AN423" s="397"/>
    </row>
    <row r="424" spans="5:40" x14ac:dyDescent="0.2">
      <c r="E424" s="397"/>
      <c r="J424" s="397"/>
      <c r="W424" s="397"/>
      <c r="Y424" s="397"/>
      <c r="AB424" s="397"/>
      <c r="AN424" s="397"/>
    </row>
    <row r="425" spans="5:40" x14ac:dyDescent="0.2">
      <c r="E425" s="397"/>
      <c r="J425" s="397"/>
      <c r="W425" s="397"/>
      <c r="Y425" s="397"/>
      <c r="AB425" s="397"/>
      <c r="AN425" s="397"/>
    </row>
    <row r="426" spans="5:40" x14ac:dyDescent="0.2">
      <c r="E426" s="397"/>
      <c r="J426" s="397"/>
      <c r="W426" s="397"/>
      <c r="Y426" s="397"/>
      <c r="AB426" s="397"/>
      <c r="AN426" s="397"/>
    </row>
    <row r="427" spans="5:40" x14ac:dyDescent="0.2">
      <c r="E427" s="397"/>
      <c r="J427" s="397"/>
      <c r="W427" s="397"/>
      <c r="Y427" s="397"/>
      <c r="AB427" s="397"/>
      <c r="AN427" s="397"/>
    </row>
    <row r="428" spans="5:40" x14ac:dyDescent="0.2">
      <c r="E428" s="397"/>
      <c r="J428" s="397"/>
      <c r="W428" s="397"/>
      <c r="Y428" s="397"/>
      <c r="AB428" s="397"/>
      <c r="AN428" s="397"/>
    </row>
    <row r="429" spans="5:40" x14ac:dyDescent="0.2">
      <c r="E429" s="397"/>
      <c r="J429" s="397"/>
      <c r="W429" s="397"/>
      <c r="Y429" s="397"/>
      <c r="AB429" s="397"/>
      <c r="AN429" s="397"/>
    </row>
    <row r="430" spans="5:40" x14ac:dyDescent="0.2">
      <c r="E430" s="397"/>
      <c r="J430" s="397"/>
      <c r="W430" s="397"/>
      <c r="Y430" s="397"/>
      <c r="AB430" s="397"/>
      <c r="AN430" s="397"/>
    </row>
    <row r="431" spans="5:40" x14ac:dyDescent="0.2">
      <c r="E431" s="397"/>
      <c r="J431" s="397"/>
      <c r="W431" s="397"/>
      <c r="Y431" s="397"/>
      <c r="AB431" s="397"/>
      <c r="AN431" s="397"/>
    </row>
    <row r="432" spans="5:40" x14ac:dyDescent="0.2">
      <c r="E432" s="397"/>
      <c r="J432" s="397"/>
      <c r="W432" s="397"/>
      <c r="Y432" s="397"/>
      <c r="AB432" s="397"/>
      <c r="AN432" s="397"/>
    </row>
    <row r="433" spans="5:40" x14ac:dyDescent="0.2">
      <c r="E433" s="397"/>
      <c r="J433" s="397"/>
      <c r="W433" s="397"/>
      <c r="Y433" s="397"/>
      <c r="AB433" s="397"/>
      <c r="AN433" s="397"/>
    </row>
    <row r="434" spans="5:40" x14ac:dyDescent="0.2">
      <c r="E434" s="397"/>
      <c r="J434" s="397"/>
      <c r="W434" s="397"/>
      <c r="Y434" s="397"/>
      <c r="AB434" s="397"/>
      <c r="AN434" s="397"/>
    </row>
    <row r="435" spans="5:40" x14ac:dyDescent="0.2">
      <c r="E435" s="397"/>
      <c r="J435" s="397"/>
      <c r="W435" s="397"/>
      <c r="Y435" s="397"/>
      <c r="AB435" s="397"/>
      <c r="AN435" s="397"/>
    </row>
    <row r="436" spans="5:40" x14ac:dyDescent="0.2">
      <c r="E436" s="397"/>
      <c r="J436" s="397"/>
      <c r="W436" s="397"/>
      <c r="Y436" s="397"/>
      <c r="AB436" s="397"/>
      <c r="AN436" s="397"/>
    </row>
    <row r="437" spans="5:40" x14ac:dyDescent="0.2">
      <c r="E437" s="397"/>
      <c r="J437" s="397"/>
      <c r="W437" s="397"/>
      <c r="Y437" s="397"/>
      <c r="AB437" s="397"/>
      <c r="AN437" s="397"/>
    </row>
    <row r="438" spans="5:40" x14ac:dyDescent="0.2">
      <c r="E438" s="397"/>
      <c r="J438" s="397"/>
      <c r="W438" s="397"/>
      <c r="Y438" s="397"/>
      <c r="AB438" s="397"/>
      <c r="AN438" s="397"/>
    </row>
    <row r="439" spans="5:40" x14ac:dyDescent="0.2">
      <c r="E439" s="397"/>
      <c r="J439" s="397"/>
      <c r="W439" s="397"/>
      <c r="Y439" s="397"/>
      <c r="AB439" s="397"/>
      <c r="AN439" s="397"/>
    </row>
    <row r="440" spans="5:40" x14ac:dyDescent="0.2">
      <c r="E440" s="397"/>
      <c r="J440" s="397"/>
      <c r="W440" s="397"/>
      <c r="Y440" s="397"/>
      <c r="AB440" s="397"/>
      <c r="AN440" s="397"/>
    </row>
    <row r="441" spans="5:40" x14ac:dyDescent="0.2">
      <c r="E441" s="397"/>
      <c r="J441" s="397"/>
      <c r="W441" s="397"/>
      <c r="Y441" s="397"/>
      <c r="AB441" s="397"/>
      <c r="AN441" s="397"/>
    </row>
    <row r="442" spans="5:40" x14ac:dyDescent="0.2">
      <c r="E442" s="397"/>
      <c r="J442" s="397"/>
      <c r="W442" s="397"/>
      <c r="Y442" s="397"/>
      <c r="AB442" s="397"/>
      <c r="AN442" s="397"/>
    </row>
    <row r="443" spans="5:40" x14ac:dyDescent="0.2">
      <c r="E443" s="397"/>
      <c r="J443" s="397"/>
      <c r="W443" s="397"/>
      <c r="Y443" s="397"/>
      <c r="AB443" s="397"/>
      <c r="AN443" s="397"/>
    </row>
    <row r="444" spans="5:40" x14ac:dyDescent="0.2">
      <c r="E444" s="397"/>
      <c r="J444" s="397"/>
      <c r="W444" s="397"/>
      <c r="Y444" s="397"/>
      <c r="AB444" s="397"/>
      <c r="AN444" s="397"/>
    </row>
    <row r="445" spans="5:40" x14ac:dyDescent="0.2">
      <c r="E445" s="397"/>
      <c r="J445" s="397"/>
      <c r="W445" s="397"/>
      <c r="Y445" s="397"/>
      <c r="AB445" s="397"/>
      <c r="AN445" s="397"/>
    </row>
    <row r="446" spans="5:40" x14ac:dyDescent="0.2">
      <c r="E446" s="397"/>
      <c r="J446" s="397"/>
      <c r="W446" s="397"/>
      <c r="Y446" s="397"/>
      <c r="AB446" s="397"/>
      <c r="AN446" s="397"/>
    </row>
    <row r="447" spans="5:40" x14ac:dyDescent="0.2">
      <c r="E447" s="397"/>
      <c r="J447" s="397"/>
      <c r="W447" s="397"/>
      <c r="Y447" s="397"/>
      <c r="AB447" s="397"/>
      <c r="AN447" s="397"/>
    </row>
    <row r="448" spans="5:40" x14ac:dyDescent="0.2">
      <c r="E448" s="397"/>
      <c r="J448" s="397"/>
      <c r="W448" s="397"/>
      <c r="Y448" s="397"/>
      <c r="AB448" s="397"/>
      <c r="AN448" s="397"/>
    </row>
    <row r="449" spans="5:40" x14ac:dyDescent="0.2">
      <c r="E449" s="397"/>
      <c r="J449" s="397"/>
      <c r="W449" s="397"/>
      <c r="Y449" s="397"/>
      <c r="AB449" s="397"/>
      <c r="AN449" s="397"/>
    </row>
    <row r="450" spans="5:40" x14ac:dyDescent="0.2">
      <c r="E450" s="397"/>
      <c r="J450" s="397"/>
      <c r="W450" s="397"/>
      <c r="Y450" s="397"/>
      <c r="AB450" s="397"/>
      <c r="AN450" s="397"/>
    </row>
    <row r="451" spans="5:40" x14ac:dyDescent="0.2">
      <c r="E451" s="397"/>
      <c r="J451" s="397"/>
      <c r="W451" s="397"/>
      <c r="Y451" s="397"/>
      <c r="AB451" s="397"/>
      <c r="AN451" s="397"/>
    </row>
    <row r="452" spans="5:40" x14ac:dyDescent="0.2">
      <c r="E452" s="397"/>
      <c r="J452" s="397"/>
      <c r="W452" s="397"/>
      <c r="Y452" s="397"/>
      <c r="AB452" s="397"/>
      <c r="AN452" s="397"/>
    </row>
    <row r="453" spans="5:40" x14ac:dyDescent="0.2">
      <c r="E453" s="397"/>
      <c r="J453" s="397"/>
      <c r="W453" s="397"/>
      <c r="Y453" s="397"/>
      <c r="AB453" s="397"/>
      <c r="AN453" s="397"/>
    </row>
    <row r="454" spans="5:40" x14ac:dyDescent="0.2">
      <c r="E454" s="397"/>
      <c r="J454" s="397"/>
      <c r="W454" s="397"/>
      <c r="Y454" s="397"/>
      <c r="AB454" s="397"/>
      <c r="AN454" s="397"/>
    </row>
    <row r="455" spans="5:40" x14ac:dyDescent="0.2">
      <c r="E455" s="397"/>
      <c r="J455" s="397"/>
      <c r="W455" s="397"/>
      <c r="Y455" s="397"/>
      <c r="AB455" s="397"/>
      <c r="AN455" s="397"/>
    </row>
    <row r="456" spans="5:40" x14ac:dyDescent="0.2">
      <c r="E456" s="397"/>
      <c r="J456" s="397"/>
      <c r="W456" s="397"/>
      <c r="Y456" s="397"/>
      <c r="AB456" s="397"/>
      <c r="AN456" s="397"/>
    </row>
    <row r="457" spans="5:40" x14ac:dyDescent="0.2">
      <c r="E457" s="397"/>
      <c r="J457" s="397"/>
      <c r="W457" s="397"/>
      <c r="Y457" s="397"/>
      <c r="AB457" s="397"/>
      <c r="AN457" s="397"/>
    </row>
    <row r="458" spans="5:40" x14ac:dyDescent="0.2">
      <c r="E458" s="397"/>
      <c r="J458" s="397"/>
      <c r="W458" s="397"/>
      <c r="Y458" s="397"/>
      <c r="AB458" s="397"/>
      <c r="AN458" s="397"/>
    </row>
    <row r="459" spans="5:40" x14ac:dyDescent="0.2">
      <c r="E459" s="397"/>
      <c r="J459" s="397"/>
      <c r="W459" s="397"/>
      <c r="Y459" s="397"/>
      <c r="AB459" s="397"/>
      <c r="AN459" s="397"/>
    </row>
    <row r="460" spans="5:40" x14ac:dyDescent="0.2">
      <c r="E460" s="397"/>
      <c r="J460" s="397"/>
      <c r="W460" s="397"/>
      <c r="Y460" s="397"/>
      <c r="AB460" s="397"/>
      <c r="AN460" s="397"/>
    </row>
    <row r="461" spans="5:40" x14ac:dyDescent="0.2">
      <c r="E461" s="397"/>
      <c r="J461" s="397"/>
      <c r="W461" s="397"/>
      <c r="Y461" s="397"/>
      <c r="AB461" s="397"/>
      <c r="AN461" s="397"/>
    </row>
    <row r="462" spans="5:40" x14ac:dyDescent="0.2">
      <c r="E462" s="397"/>
      <c r="J462" s="397"/>
      <c r="W462" s="397"/>
      <c r="Y462" s="397"/>
      <c r="AB462" s="397"/>
      <c r="AN462" s="397"/>
    </row>
    <row r="463" spans="5:40" x14ac:dyDescent="0.2">
      <c r="E463" s="397"/>
      <c r="J463" s="397"/>
      <c r="W463" s="397"/>
      <c r="Y463" s="397"/>
      <c r="AB463" s="397"/>
      <c r="AN463" s="397"/>
    </row>
    <row r="464" spans="5:40" x14ac:dyDescent="0.2">
      <c r="E464" s="397"/>
      <c r="J464" s="397"/>
      <c r="W464" s="397"/>
      <c r="Y464" s="397"/>
      <c r="AB464" s="397"/>
      <c r="AN464" s="397"/>
    </row>
    <row r="465" spans="5:40" x14ac:dyDescent="0.2">
      <c r="E465" s="397"/>
      <c r="J465" s="397"/>
      <c r="W465" s="397"/>
      <c r="Y465" s="397"/>
      <c r="AB465" s="397"/>
      <c r="AN465" s="397"/>
    </row>
    <row r="466" spans="5:40" x14ac:dyDescent="0.2">
      <c r="E466" s="397"/>
      <c r="J466" s="397"/>
      <c r="W466" s="397"/>
      <c r="Y466" s="397"/>
      <c r="AB466" s="397"/>
      <c r="AN466" s="397"/>
    </row>
    <row r="467" spans="5:40" x14ac:dyDescent="0.2">
      <c r="E467" s="397"/>
      <c r="J467" s="397"/>
      <c r="W467" s="397"/>
      <c r="Y467" s="397"/>
      <c r="AB467" s="397"/>
      <c r="AN467" s="397"/>
    </row>
    <row r="468" spans="5:40" x14ac:dyDescent="0.2">
      <c r="E468" s="397"/>
      <c r="J468" s="397"/>
      <c r="W468" s="397"/>
      <c r="Y468" s="397"/>
      <c r="AB468" s="397"/>
      <c r="AN468" s="397"/>
    </row>
    <row r="469" spans="5:40" x14ac:dyDescent="0.2">
      <c r="E469" s="397"/>
      <c r="J469" s="397"/>
      <c r="W469" s="397"/>
      <c r="Y469" s="397"/>
      <c r="AB469" s="397"/>
      <c r="AN469" s="397"/>
    </row>
    <row r="470" spans="5:40" x14ac:dyDescent="0.2">
      <c r="E470" s="397"/>
      <c r="J470" s="397"/>
      <c r="W470" s="397"/>
      <c r="Y470" s="397"/>
      <c r="AB470" s="397"/>
      <c r="AN470" s="397"/>
    </row>
    <row r="471" spans="5:40" x14ac:dyDescent="0.2">
      <c r="E471" s="397"/>
      <c r="J471" s="397"/>
      <c r="W471" s="397"/>
      <c r="Y471" s="397"/>
      <c r="AB471" s="397"/>
      <c r="AN471" s="397"/>
    </row>
    <row r="472" spans="5:40" x14ac:dyDescent="0.2">
      <c r="E472" s="397"/>
      <c r="J472" s="397"/>
      <c r="W472" s="397"/>
      <c r="Y472" s="397"/>
      <c r="AB472" s="397"/>
      <c r="AN472" s="397"/>
    </row>
    <row r="473" spans="5:40" x14ac:dyDescent="0.2">
      <c r="E473" s="397"/>
      <c r="J473" s="397"/>
      <c r="W473" s="397"/>
      <c r="Y473" s="397"/>
      <c r="AB473" s="397"/>
      <c r="AN473" s="397"/>
    </row>
    <row r="474" spans="5:40" x14ac:dyDescent="0.2">
      <c r="E474" s="397"/>
      <c r="J474" s="397"/>
      <c r="W474" s="397"/>
      <c r="Y474" s="397"/>
      <c r="AB474" s="397"/>
      <c r="AN474" s="397"/>
    </row>
    <row r="475" spans="5:40" x14ac:dyDescent="0.2">
      <c r="E475" s="397"/>
      <c r="J475" s="397"/>
      <c r="W475" s="397"/>
      <c r="Y475" s="397"/>
      <c r="AB475" s="397"/>
      <c r="AN475" s="397"/>
    </row>
    <row r="476" spans="5:40" x14ac:dyDescent="0.2">
      <c r="E476" s="397"/>
      <c r="J476" s="397"/>
      <c r="W476" s="397"/>
      <c r="Y476" s="397"/>
      <c r="AB476" s="397"/>
      <c r="AN476" s="397"/>
    </row>
    <row r="477" spans="5:40" x14ac:dyDescent="0.2">
      <c r="E477" s="397"/>
      <c r="J477" s="397"/>
      <c r="W477" s="397"/>
      <c r="Y477" s="397"/>
      <c r="AB477" s="397"/>
      <c r="AN477" s="397"/>
    </row>
    <row r="478" spans="5:40" x14ac:dyDescent="0.2">
      <c r="E478" s="397"/>
      <c r="J478" s="397"/>
      <c r="W478" s="397"/>
      <c r="Y478" s="397"/>
      <c r="AB478" s="397"/>
      <c r="AN478" s="397"/>
    </row>
    <row r="479" spans="5:40" x14ac:dyDescent="0.2">
      <c r="E479" s="397"/>
      <c r="J479" s="397"/>
      <c r="W479" s="397"/>
      <c r="Y479" s="397"/>
      <c r="AB479" s="397"/>
      <c r="AN479" s="397"/>
    </row>
    <row r="480" spans="5:40" x14ac:dyDescent="0.2">
      <c r="E480" s="397"/>
      <c r="J480" s="397"/>
      <c r="W480" s="397"/>
      <c r="Y480" s="397"/>
      <c r="AB480" s="397"/>
      <c r="AN480" s="397"/>
    </row>
  </sheetData>
  <pageMargins left="0.55555555555555558" right="0.55555555555555558" top="0.55555555555555558" bottom="0.55555558204650879" header="0.27777777777777779" footer="0"/>
  <pageSetup fitToWidth="0" fitToHeight="0" pageOrder="overThenDown"/>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1FAF-82E5-48AE-8424-037F75F2210A}">
  <sheetPr>
    <tabColor rgb="FF92D050"/>
  </sheetPr>
  <dimension ref="A1:CK31"/>
  <sheetViews>
    <sheetView showGridLines="0" workbookViewId="0">
      <selection activeCell="B1" sqref="B1"/>
    </sheetView>
  </sheetViews>
  <sheetFormatPr defaultRowHeight="12.75" x14ac:dyDescent="0.2"/>
  <cols>
    <col min="1" max="1" width="0.85546875" style="316" customWidth="1"/>
    <col min="2" max="2" width="44" style="316" customWidth="1"/>
    <col min="3" max="3" width="7.42578125" style="316" bestFit="1" customWidth="1"/>
    <col min="4" max="13" width="20.5703125" style="316" customWidth="1"/>
    <col min="14" max="256" width="8.85546875" style="316"/>
    <col min="257" max="257" width="0.85546875" style="316" customWidth="1"/>
    <col min="258" max="258" width="44" style="316" customWidth="1"/>
    <col min="259" max="259" width="7.42578125" style="316" bestFit="1" customWidth="1"/>
    <col min="260" max="269" width="20.5703125" style="316" customWidth="1"/>
    <col min="270" max="512" width="8.85546875" style="316"/>
    <col min="513" max="513" width="0.85546875" style="316" customWidth="1"/>
    <col min="514" max="514" width="44" style="316" customWidth="1"/>
    <col min="515" max="515" width="7.42578125" style="316" bestFit="1" customWidth="1"/>
    <col min="516" max="525" width="20.5703125" style="316" customWidth="1"/>
    <col min="526" max="768" width="8.85546875" style="316"/>
    <col min="769" max="769" width="0.85546875" style="316" customWidth="1"/>
    <col min="770" max="770" width="44" style="316" customWidth="1"/>
    <col min="771" max="771" width="7.42578125" style="316" bestFit="1" customWidth="1"/>
    <col min="772" max="781" width="20.5703125" style="316" customWidth="1"/>
    <col min="782" max="1024" width="8.85546875" style="316"/>
    <col min="1025" max="1025" width="0.85546875" style="316" customWidth="1"/>
    <col min="1026" max="1026" width="44" style="316" customWidth="1"/>
    <col min="1027" max="1027" width="7.42578125" style="316" bestFit="1" customWidth="1"/>
    <col min="1028" max="1037" width="20.5703125" style="316" customWidth="1"/>
    <col min="1038" max="1280" width="8.85546875" style="316"/>
    <col min="1281" max="1281" width="0.85546875" style="316" customWidth="1"/>
    <col min="1282" max="1282" width="44" style="316" customWidth="1"/>
    <col min="1283" max="1283" width="7.42578125" style="316" bestFit="1" customWidth="1"/>
    <col min="1284" max="1293" width="20.5703125" style="316" customWidth="1"/>
    <col min="1294" max="1536" width="8.85546875" style="316"/>
    <col min="1537" max="1537" width="0.85546875" style="316" customWidth="1"/>
    <col min="1538" max="1538" width="44" style="316" customWidth="1"/>
    <col min="1539" max="1539" width="7.42578125" style="316" bestFit="1" customWidth="1"/>
    <col min="1540" max="1549" width="20.5703125" style="316" customWidth="1"/>
    <col min="1550" max="1792" width="8.85546875" style="316"/>
    <col min="1793" max="1793" width="0.85546875" style="316" customWidth="1"/>
    <col min="1794" max="1794" width="44" style="316" customWidth="1"/>
    <col min="1795" max="1795" width="7.42578125" style="316" bestFit="1" customWidth="1"/>
    <col min="1796" max="1805" width="20.5703125" style="316" customWidth="1"/>
    <col min="1806" max="2048" width="8.85546875" style="316"/>
    <col min="2049" max="2049" width="0.85546875" style="316" customWidth="1"/>
    <col min="2050" max="2050" width="44" style="316" customWidth="1"/>
    <col min="2051" max="2051" width="7.42578125" style="316" bestFit="1" customWidth="1"/>
    <col min="2052" max="2061" width="20.5703125" style="316" customWidth="1"/>
    <col min="2062" max="2304" width="8.85546875" style="316"/>
    <col min="2305" max="2305" width="0.85546875" style="316" customWidth="1"/>
    <col min="2306" max="2306" width="44" style="316" customWidth="1"/>
    <col min="2307" max="2307" width="7.42578125" style="316" bestFit="1" customWidth="1"/>
    <col min="2308" max="2317" width="20.5703125" style="316" customWidth="1"/>
    <col min="2318" max="2560" width="8.85546875" style="316"/>
    <col min="2561" max="2561" width="0.85546875" style="316" customWidth="1"/>
    <col min="2562" max="2562" width="44" style="316" customWidth="1"/>
    <col min="2563" max="2563" width="7.42578125" style="316" bestFit="1" customWidth="1"/>
    <col min="2564" max="2573" width="20.5703125" style="316" customWidth="1"/>
    <col min="2574" max="2816" width="8.85546875" style="316"/>
    <col min="2817" max="2817" width="0.85546875" style="316" customWidth="1"/>
    <col min="2818" max="2818" width="44" style="316" customWidth="1"/>
    <col min="2819" max="2819" width="7.42578125" style="316" bestFit="1" customWidth="1"/>
    <col min="2820" max="2829" width="20.5703125" style="316" customWidth="1"/>
    <col min="2830" max="3072" width="8.85546875" style="316"/>
    <col min="3073" max="3073" width="0.85546875" style="316" customWidth="1"/>
    <col min="3074" max="3074" width="44" style="316" customWidth="1"/>
    <col min="3075" max="3075" width="7.42578125" style="316" bestFit="1" customWidth="1"/>
    <col min="3076" max="3085" width="20.5703125" style="316" customWidth="1"/>
    <col min="3086" max="3328" width="8.85546875" style="316"/>
    <col min="3329" max="3329" width="0.85546875" style="316" customWidth="1"/>
    <col min="3330" max="3330" width="44" style="316" customWidth="1"/>
    <col min="3331" max="3331" width="7.42578125" style="316" bestFit="1" customWidth="1"/>
    <col min="3332" max="3341" width="20.5703125" style="316" customWidth="1"/>
    <col min="3342" max="3584" width="8.85546875" style="316"/>
    <col min="3585" max="3585" width="0.85546875" style="316" customWidth="1"/>
    <col min="3586" max="3586" width="44" style="316" customWidth="1"/>
    <col min="3587" max="3587" width="7.42578125" style="316" bestFit="1" customWidth="1"/>
    <col min="3588" max="3597" width="20.5703125" style="316" customWidth="1"/>
    <col min="3598" max="3840" width="8.85546875" style="316"/>
    <col min="3841" max="3841" width="0.85546875" style="316" customWidth="1"/>
    <col min="3842" max="3842" width="44" style="316" customWidth="1"/>
    <col min="3843" max="3843" width="7.42578125" style="316" bestFit="1" customWidth="1"/>
    <col min="3844" max="3853" width="20.5703125" style="316" customWidth="1"/>
    <col min="3854" max="4096" width="8.85546875" style="316"/>
    <col min="4097" max="4097" width="0.85546875" style="316" customWidth="1"/>
    <col min="4098" max="4098" width="44" style="316" customWidth="1"/>
    <col min="4099" max="4099" width="7.42578125" style="316" bestFit="1" customWidth="1"/>
    <col min="4100" max="4109" width="20.5703125" style="316" customWidth="1"/>
    <col min="4110" max="4352" width="8.85546875" style="316"/>
    <col min="4353" max="4353" width="0.85546875" style="316" customWidth="1"/>
    <col min="4354" max="4354" width="44" style="316" customWidth="1"/>
    <col min="4355" max="4355" width="7.42578125" style="316" bestFit="1" customWidth="1"/>
    <col min="4356" max="4365" width="20.5703125" style="316" customWidth="1"/>
    <col min="4366" max="4608" width="8.85546875" style="316"/>
    <col min="4609" max="4609" width="0.85546875" style="316" customWidth="1"/>
    <col min="4610" max="4610" width="44" style="316" customWidth="1"/>
    <col min="4611" max="4611" width="7.42578125" style="316" bestFit="1" customWidth="1"/>
    <col min="4612" max="4621" width="20.5703125" style="316" customWidth="1"/>
    <col min="4622" max="4864" width="8.85546875" style="316"/>
    <col min="4865" max="4865" width="0.85546875" style="316" customWidth="1"/>
    <col min="4866" max="4866" width="44" style="316" customWidth="1"/>
    <col min="4867" max="4867" width="7.42578125" style="316" bestFit="1" customWidth="1"/>
    <col min="4868" max="4877" width="20.5703125" style="316" customWidth="1"/>
    <col min="4878" max="5120" width="8.85546875" style="316"/>
    <col min="5121" max="5121" width="0.85546875" style="316" customWidth="1"/>
    <col min="5122" max="5122" width="44" style="316" customWidth="1"/>
    <col min="5123" max="5123" width="7.42578125" style="316" bestFit="1" customWidth="1"/>
    <col min="5124" max="5133" width="20.5703125" style="316" customWidth="1"/>
    <col min="5134" max="5376" width="8.85546875" style="316"/>
    <col min="5377" max="5377" width="0.85546875" style="316" customWidth="1"/>
    <col min="5378" max="5378" width="44" style="316" customWidth="1"/>
    <col min="5379" max="5379" width="7.42578125" style="316" bestFit="1" customWidth="1"/>
    <col min="5380" max="5389" width="20.5703125" style="316" customWidth="1"/>
    <col min="5390" max="5632" width="8.85546875" style="316"/>
    <col min="5633" max="5633" width="0.85546875" style="316" customWidth="1"/>
    <col min="5634" max="5634" width="44" style="316" customWidth="1"/>
    <col min="5635" max="5635" width="7.42578125" style="316" bestFit="1" customWidth="1"/>
    <col min="5636" max="5645" width="20.5703125" style="316" customWidth="1"/>
    <col min="5646" max="5888" width="8.85546875" style="316"/>
    <col min="5889" max="5889" width="0.85546875" style="316" customWidth="1"/>
    <col min="5890" max="5890" width="44" style="316" customWidth="1"/>
    <col min="5891" max="5891" width="7.42578125" style="316" bestFit="1" customWidth="1"/>
    <col min="5892" max="5901" width="20.5703125" style="316" customWidth="1"/>
    <col min="5902" max="6144" width="8.85546875" style="316"/>
    <col min="6145" max="6145" width="0.85546875" style="316" customWidth="1"/>
    <col min="6146" max="6146" width="44" style="316" customWidth="1"/>
    <col min="6147" max="6147" width="7.42578125" style="316" bestFit="1" customWidth="1"/>
    <col min="6148" max="6157" width="20.5703125" style="316" customWidth="1"/>
    <col min="6158" max="6400" width="8.85546875" style="316"/>
    <col min="6401" max="6401" width="0.85546875" style="316" customWidth="1"/>
    <col min="6402" max="6402" width="44" style="316" customWidth="1"/>
    <col min="6403" max="6403" width="7.42578125" style="316" bestFit="1" customWidth="1"/>
    <col min="6404" max="6413" width="20.5703125" style="316" customWidth="1"/>
    <col min="6414" max="6656" width="8.85546875" style="316"/>
    <col min="6657" max="6657" width="0.85546875" style="316" customWidth="1"/>
    <col min="6658" max="6658" width="44" style="316" customWidth="1"/>
    <col min="6659" max="6659" width="7.42578125" style="316" bestFit="1" customWidth="1"/>
    <col min="6660" max="6669" width="20.5703125" style="316" customWidth="1"/>
    <col min="6670" max="6912" width="8.85546875" style="316"/>
    <col min="6913" max="6913" width="0.85546875" style="316" customWidth="1"/>
    <col min="6914" max="6914" width="44" style="316" customWidth="1"/>
    <col min="6915" max="6915" width="7.42578125" style="316" bestFit="1" customWidth="1"/>
    <col min="6916" max="6925" width="20.5703125" style="316" customWidth="1"/>
    <col min="6926" max="7168" width="8.85546875" style="316"/>
    <col min="7169" max="7169" width="0.85546875" style="316" customWidth="1"/>
    <col min="7170" max="7170" width="44" style="316" customWidth="1"/>
    <col min="7171" max="7171" width="7.42578125" style="316" bestFit="1" customWidth="1"/>
    <col min="7172" max="7181" width="20.5703125" style="316" customWidth="1"/>
    <col min="7182" max="7424" width="8.85546875" style="316"/>
    <col min="7425" max="7425" width="0.85546875" style="316" customWidth="1"/>
    <col min="7426" max="7426" width="44" style="316" customWidth="1"/>
    <col min="7427" max="7427" width="7.42578125" style="316" bestFit="1" customWidth="1"/>
    <col min="7428" max="7437" width="20.5703125" style="316" customWidth="1"/>
    <col min="7438" max="7680" width="8.85546875" style="316"/>
    <col min="7681" max="7681" width="0.85546875" style="316" customWidth="1"/>
    <col min="7682" max="7682" width="44" style="316" customWidth="1"/>
    <col min="7683" max="7683" width="7.42578125" style="316" bestFit="1" customWidth="1"/>
    <col min="7684" max="7693" width="20.5703125" style="316" customWidth="1"/>
    <col min="7694" max="7936" width="8.85546875" style="316"/>
    <col min="7937" max="7937" width="0.85546875" style="316" customWidth="1"/>
    <col min="7938" max="7938" width="44" style="316" customWidth="1"/>
    <col min="7939" max="7939" width="7.42578125" style="316" bestFit="1" customWidth="1"/>
    <col min="7940" max="7949" width="20.5703125" style="316" customWidth="1"/>
    <col min="7950" max="8192" width="8.85546875" style="316"/>
    <col min="8193" max="8193" width="0.85546875" style="316" customWidth="1"/>
    <col min="8194" max="8194" width="44" style="316" customWidth="1"/>
    <col min="8195" max="8195" width="7.42578125" style="316" bestFit="1" customWidth="1"/>
    <col min="8196" max="8205" width="20.5703125" style="316" customWidth="1"/>
    <col min="8206" max="8448" width="8.85546875" style="316"/>
    <col min="8449" max="8449" width="0.85546875" style="316" customWidth="1"/>
    <col min="8450" max="8450" width="44" style="316" customWidth="1"/>
    <col min="8451" max="8451" width="7.42578125" style="316" bestFit="1" customWidth="1"/>
    <col min="8452" max="8461" width="20.5703125" style="316" customWidth="1"/>
    <col min="8462" max="8704" width="8.85546875" style="316"/>
    <col min="8705" max="8705" width="0.85546875" style="316" customWidth="1"/>
    <col min="8706" max="8706" width="44" style="316" customWidth="1"/>
    <col min="8707" max="8707" width="7.42578125" style="316" bestFit="1" customWidth="1"/>
    <col min="8708" max="8717" width="20.5703125" style="316" customWidth="1"/>
    <col min="8718" max="8960" width="8.85546875" style="316"/>
    <col min="8961" max="8961" width="0.85546875" style="316" customWidth="1"/>
    <col min="8962" max="8962" width="44" style="316" customWidth="1"/>
    <col min="8963" max="8963" width="7.42578125" style="316" bestFit="1" customWidth="1"/>
    <col min="8964" max="8973" width="20.5703125" style="316" customWidth="1"/>
    <col min="8974" max="9216" width="8.85546875" style="316"/>
    <col min="9217" max="9217" width="0.85546875" style="316" customWidth="1"/>
    <col min="9218" max="9218" width="44" style="316" customWidth="1"/>
    <col min="9219" max="9219" width="7.42578125" style="316" bestFit="1" customWidth="1"/>
    <col min="9220" max="9229" width="20.5703125" style="316" customWidth="1"/>
    <col min="9230" max="9472" width="8.85546875" style="316"/>
    <col min="9473" max="9473" width="0.85546875" style="316" customWidth="1"/>
    <col min="9474" max="9474" width="44" style="316" customWidth="1"/>
    <col min="9475" max="9475" width="7.42578125" style="316" bestFit="1" customWidth="1"/>
    <col min="9476" max="9485" width="20.5703125" style="316" customWidth="1"/>
    <col min="9486" max="9728" width="8.85546875" style="316"/>
    <col min="9729" max="9729" width="0.85546875" style="316" customWidth="1"/>
    <col min="9730" max="9730" width="44" style="316" customWidth="1"/>
    <col min="9731" max="9731" width="7.42578125" style="316" bestFit="1" customWidth="1"/>
    <col min="9732" max="9741" width="20.5703125" style="316" customWidth="1"/>
    <col min="9742" max="9984" width="8.85546875" style="316"/>
    <col min="9985" max="9985" width="0.85546875" style="316" customWidth="1"/>
    <col min="9986" max="9986" width="44" style="316" customWidth="1"/>
    <col min="9987" max="9987" width="7.42578125" style="316" bestFit="1" customWidth="1"/>
    <col min="9988" max="9997" width="20.5703125" style="316" customWidth="1"/>
    <col min="9998" max="10240" width="8.85546875" style="316"/>
    <col min="10241" max="10241" width="0.85546875" style="316" customWidth="1"/>
    <col min="10242" max="10242" width="44" style="316" customWidth="1"/>
    <col min="10243" max="10243" width="7.42578125" style="316" bestFit="1" customWidth="1"/>
    <col min="10244" max="10253" width="20.5703125" style="316" customWidth="1"/>
    <col min="10254" max="10496" width="8.85546875" style="316"/>
    <col min="10497" max="10497" width="0.85546875" style="316" customWidth="1"/>
    <col min="10498" max="10498" width="44" style="316" customWidth="1"/>
    <col min="10499" max="10499" width="7.42578125" style="316" bestFit="1" customWidth="1"/>
    <col min="10500" max="10509" width="20.5703125" style="316" customWidth="1"/>
    <col min="10510" max="10752" width="8.85546875" style="316"/>
    <col min="10753" max="10753" width="0.85546875" style="316" customWidth="1"/>
    <col min="10754" max="10754" width="44" style="316" customWidth="1"/>
    <col min="10755" max="10755" width="7.42578125" style="316" bestFit="1" customWidth="1"/>
    <col min="10756" max="10765" width="20.5703125" style="316" customWidth="1"/>
    <col min="10766" max="11008" width="8.85546875" style="316"/>
    <col min="11009" max="11009" width="0.85546875" style="316" customWidth="1"/>
    <col min="11010" max="11010" width="44" style="316" customWidth="1"/>
    <col min="11011" max="11011" width="7.42578125" style="316" bestFit="1" customWidth="1"/>
    <col min="11012" max="11021" width="20.5703125" style="316" customWidth="1"/>
    <col min="11022" max="11264" width="8.85546875" style="316"/>
    <col min="11265" max="11265" width="0.85546875" style="316" customWidth="1"/>
    <col min="11266" max="11266" width="44" style="316" customWidth="1"/>
    <col min="11267" max="11267" width="7.42578125" style="316" bestFit="1" customWidth="1"/>
    <col min="11268" max="11277" width="20.5703125" style="316" customWidth="1"/>
    <col min="11278" max="11520" width="8.85546875" style="316"/>
    <col min="11521" max="11521" width="0.85546875" style="316" customWidth="1"/>
    <col min="11522" max="11522" width="44" style="316" customWidth="1"/>
    <col min="11523" max="11523" width="7.42578125" style="316" bestFit="1" customWidth="1"/>
    <col min="11524" max="11533" width="20.5703125" style="316" customWidth="1"/>
    <col min="11534" max="11776" width="8.85546875" style="316"/>
    <col min="11777" max="11777" width="0.85546875" style="316" customWidth="1"/>
    <col min="11778" max="11778" width="44" style="316" customWidth="1"/>
    <col min="11779" max="11779" width="7.42578125" style="316" bestFit="1" customWidth="1"/>
    <col min="11780" max="11789" width="20.5703125" style="316" customWidth="1"/>
    <col min="11790" max="12032" width="8.85546875" style="316"/>
    <col min="12033" max="12033" width="0.85546875" style="316" customWidth="1"/>
    <col min="12034" max="12034" width="44" style="316" customWidth="1"/>
    <col min="12035" max="12035" width="7.42578125" style="316" bestFit="1" customWidth="1"/>
    <col min="12036" max="12045" width="20.5703125" style="316" customWidth="1"/>
    <col min="12046" max="12288" width="8.85546875" style="316"/>
    <col min="12289" max="12289" width="0.85546875" style="316" customWidth="1"/>
    <col min="12290" max="12290" width="44" style="316" customWidth="1"/>
    <col min="12291" max="12291" width="7.42578125" style="316" bestFit="1" customWidth="1"/>
    <col min="12292" max="12301" width="20.5703125" style="316" customWidth="1"/>
    <col min="12302" max="12544" width="8.85546875" style="316"/>
    <col min="12545" max="12545" width="0.85546875" style="316" customWidth="1"/>
    <col min="12546" max="12546" width="44" style="316" customWidth="1"/>
    <col min="12547" max="12547" width="7.42578125" style="316" bestFit="1" customWidth="1"/>
    <col min="12548" max="12557" width="20.5703125" style="316" customWidth="1"/>
    <col min="12558" max="12800" width="8.85546875" style="316"/>
    <col min="12801" max="12801" width="0.85546875" style="316" customWidth="1"/>
    <col min="12802" max="12802" width="44" style="316" customWidth="1"/>
    <col min="12803" max="12803" width="7.42578125" style="316" bestFit="1" customWidth="1"/>
    <col min="12804" max="12813" width="20.5703125" style="316" customWidth="1"/>
    <col min="12814" max="13056" width="8.85546875" style="316"/>
    <col min="13057" max="13057" width="0.85546875" style="316" customWidth="1"/>
    <col min="13058" max="13058" width="44" style="316" customWidth="1"/>
    <col min="13059" max="13059" width="7.42578125" style="316" bestFit="1" customWidth="1"/>
    <col min="13060" max="13069" width="20.5703125" style="316" customWidth="1"/>
    <col min="13070" max="13312" width="8.85546875" style="316"/>
    <col min="13313" max="13313" width="0.85546875" style="316" customWidth="1"/>
    <col min="13314" max="13314" width="44" style="316" customWidth="1"/>
    <col min="13315" max="13315" width="7.42578125" style="316" bestFit="1" customWidth="1"/>
    <col min="13316" max="13325" width="20.5703125" style="316" customWidth="1"/>
    <col min="13326" max="13568" width="8.85546875" style="316"/>
    <col min="13569" max="13569" width="0.85546875" style="316" customWidth="1"/>
    <col min="13570" max="13570" width="44" style="316" customWidth="1"/>
    <col min="13571" max="13571" width="7.42578125" style="316" bestFit="1" customWidth="1"/>
    <col min="13572" max="13581" width="20.5703125" style="316" customWidth="1"/>
    <col min="13582" max="13824" width="8.85546875" style="316"/>
    <col min="13825" max="13825" width="0.85546875" style="316" customWidth="1"/>
    <col min="13826" max="13826" width="44" style="316" customWidth="1"/>
    <col min="13827" max="13827" width="7.42578125" style="316" bestFit="1" customWidth="1"/>
    <col min="13828" max="13837" width="20.5703125" style="316" customWidth="1"/>
    <col min="13838" max="14080" width="8.85546875" style="316"/>
    <col min="14081" max="14081" width="0.85546875" style="316" customWidth="1"/>
    <col min="14082" max="14082" width="44" style="316" customWidth="1"/>
    <col min="14083" max="14083" width="7.42578125" style="316" bestFit="1" customWidth="1"/>
    <col min="14084" max="14093" width="20.5703125" style="316" customWidth="1"/>
    <col min="14094" max="14336" width="8.85546875" style="316"/>
    <col min="14337" max="14337" width="0.85546875" style="316" customWidth="1"/>
    <col min="14338" max="14338" width="44" style="316" customWidth="1"/>
    <col min="14339" max="14339" width="7.42578125" style="316" bestFit="1" customWidth="1"/>
    <col min="14340" max="14349" width="20.5703125" style="316" customWidth="1"/>
    <col min="14350" max="14592" width="8.85546875" style="316"/>
    <col min="14593" max="14593" width="0.85546875" style="316" customWidth="1"/>
    <col min="14594" max="14594" width="44" style="316" customWidth="1"/>
    <col min="14595" max="14595" width="7.42578125" style="316" bestFit="1" customWidth="1"/>
    <col min="14596" max="14605" width="20.5703125" style="316" customWidth="1"/>
    <col min="14606" max="14848" width="8.85546875" style="316"/>
    <col min="14849" max="14849" width="0.85546875" style="316" customWidth="1"/>
    <col min="14850" max="14850" width="44" style="316" customWidth="1"/>
    <col min="14851" max="14851" width="7.42578125" style="316" bestFit="1" customWidth="1"/>
    <col min="14852" max="14861" width="20.5703125" style="316" customWidth="1"/>
    <col min="14862" max="15104" width="8.85546875" style="316"/>
    <col min="15105" max="15105" width="0.85546875" style="316" customWidth="1"/>
    <col min="15106" max="15106" width="44" style="316" customWidth="1"/>
    <col min="15107" max="15107" width="7.42578125" style="316" bestFit="1" customWidth="1"/>
    <col min="15108" max="15117" width="20.5703125" style="316" customWidth="1"/>
    <col min="15118" max="15360" width="8.85546875" style="316"/>
    <col min="15361" max="15361" width="0.85546875" style="316" customWidth="1"/>
    <col min="15362" max="15362" width="44" style="316" customWidth="1"/>
    <col min="15363" max="15363" width="7.42578125" style="316" bestFit="1" customWidth="1"/>
    <col min="15364" max="15373" width="20.5703125" style="316" customWidth="1"/>
    <col min="15374" max="15616" width="8.85546875" style="316"/>
    <col min="15617" max="15617" width="0.85546875" style="316" customWidth="1"/>
    <col min="15618" max="15618" width="44" style="316" customWidth="1"/>
    <col min="15619" max="15619" width="7.42578125" style="316" bestFit="1" customWidth="1"/>
    <col min="15620" max="15629" width="20.5703125" style="316" customWidth="1"/>
    <col min="15630" max="15872" width="8.85546875" style="316"/>
    <col min="15873" max="15873" width="0.85546875" style="316" customWidth="1"/>
    <col min="15874" max="15874" width="44" style="316" customWidth="1"/>
    <col min="15875" max="15875" width="7.42578125" style="316" bestFit="1" customWidth="1"/>
    <col min="15876" max="15885" width="20.5703125" style="316" customWidth="1"/>
    <col min="15886" max="16128" width="8.85546875" style="316"/>
    <col min="16129" max="16129" width="0.85546875" style="316" customWidth="1"/>
    <col min="16130" max="16130" width="44" style="316" customWidth="1"/>
    <col min="16131" max="16131" width="7.42578125" style="316" bestFit="1" customWidth="1"/>
    <col min="16132" max="16141" width="20.5703125" style="316" customWidth="1"/>
    <col min="16142" max="16384" width="8.85546875" style="316"/>
  </cols>
  <sheetData>
    <row r="1" spans="1:89" x14ac:dyDescent="0.2">
      <c r="A1" s="321" t="e">
        <f>#REF!</f>
        <v>#REF!</v>
      </c>
    </row>
    <row r="3" spans="1:89" x14ac:dyDescent="0.2">
      <c r="B3" s="316" t="s">
        <v>778</v>
      </c>
    </row>
    <row r="5" spans="1:89" x14ac:dyDescent="0.2">
      <c r="B5" s="316" t="s">
        <v>779</v>
      </c>
    </row>
    <row r="7" spans="1:89" x14ac:dyDescent="0.2">
      <c r="B7" s="347" t="s">
        <v>780</v>
      </c>
    </row>
    <row r="8" spans="1:89" x14ac:dyDescent="0.2">
      <c r="B8" s="316" t="s">
        <v>781</v>
      </c>
    </row>
    <row r="9" spans="1:89" x14ac:dyDescent="0.2">
      <c r="B9" s="316" t="s">
        <v>782</v>
      </c>
    </row>
    <row r="10" spans="1:89" x14ac:dyDescent="0.2">
      <c r="B10" s="316" t="s">
        <v>783</v>
      </c>
    </row>
    <row r="12" spans="1:89" x14ac:dyDescent="0.2">
      <c r="A12" s="321" t="s">
        <v>784</v>
      </c>
    </row>
    <row r="13" spans="1:89" x14ac:dyDescent="0.2">
      <c r="A13" s="321" t="s">
        <v>785</v>
      </c>
    </row>
    <row r="14" spans="1:89" x14ac:dyDescent="0.2">
      <c r="A14" s="321"/>
    </row>
    <row r="15" spans="1:89" s="350" customFormat="1" ht="13.5" thickBot="1" x14ac:dyDescent="0.25">
      <c r="A15" s="345"/>
      <c r="B15" s="348" t="s">
        <v>786</v>
      </c>
      <c r="C15" s="348" t="s">
        <v>787</v>
      </c>
      <c r="D15" s="349" t="s">
        <v>788</v>
      </c>
      <c r="E15" s="349" t="s">
        <v>205</v>
      </c>
      <c r="F15" s="349" t="s">
        <v>789</v>
      </c>
      <c r="G15" s="349" t="s">
        <v>777</v>
      </c>
      <c r="H15" s="349" t="s">
        <v>756</v>
      </c>
      <c r="I15" s="349" t="s">
        <v>790</v>
      </c>
      <c r="J15" s="349" t="s">
        <v>791</v>
      </c>
      <c r="K15" s="349" t="s">
        <v>792</v>
      </c>
      <c r="L15" s="349" t="s">
        <v>793</v>
      </c>
      <c r="M15" s="349" t="s">
        <v>757</v>
      </c>
    </row>
    <row r="16" spans="1:89" x14ac:dyDescent="0.2">
      <c r="A16" s="316" t="s">
        <v>731</v>
      </c>
      <c r="B16" s="351" t="s">
        <v>731</v>
      </c>
      <c r="C16" s="351" t="s">
        <v>776</v>
      </c>
      <c r="D16" s="352">
        <v>0.03</v>
      </c>
      <c r="E16" s="352">
        <v>0</v>
      </c>
      <c r="F16" s="352">
        <v>0</v>
      </c>
      <c r="G16" s="352">
        <v>0</v>
      </c>
      <c r="H16" s="352">
        <v>0.03</v>
      </c>
      <c r="I16" s="352">
        <v>0.03</v>
      </c>
      <c r="J16" s="352">
        <v>0</v>
      </c>
      <c r="K16" s="352">
        <v>0</v>
      </c>
      <c r="L16" s="352">
        <v>0.03</v>
      </c>
      <c r="M16" s="352">
        <v>0</v>
      </c>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row>
    <row r="17" spans="1:89" x14ac:dyDescent="0.2">
      <c r="A17" s="316" t="s">
        <v>758</v>
      </c>
      <c r="B17" s="351" t="s">
        <v>794</v>
      </c>
      <c r="C17" s="351" t="s">
        <v>776</v>
      </c>
      <c r="D17" s="352">
        <v>76379.44</v>
      </c>
      <c r="E17" s="352">
        <v>0</v>
      </c>
      <c r="F17" s="352">
        <v>0</v>
      </c>
      <c r="G17" s="352">
        <v>0</v>
      </c>
      <c r="H17" s="352">
        <v>76379.44</v>
      </c>
      <c r="I17" s="352">
        <v>73270.59</v>
      </c>
      <c r="J17" s="352">
        <v>354.4</v>
      </c>
      <c r="K17" s="352">
        <v>0</v>
      </c>
      <c r="L17" s="352">
        <v>73624.990000000005</v>
      </c>
      <c r="M17" s="352">
        <v>2754.45</v>
      </c>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row>
    <row r="18" spans="1:89" x14ac:dyDescent="0.2">
      <c r="A18" s="316" t="s">
        <v>759</v>
      </c>
      <c r="B18" s="351" t="s">
        <v>795</v>
      </c>
      <c r="C18" s="351" t="s">
        <v>776</v>
      </c>
      <c r="D18" s="352">
        <v>835030.88000000012</v>
      </c>
      <c r="E18" s="352">
        <v>0</v>
      </c>
      <c r="F18" s="352">
        <v>0</v>
      </c>
      <c r="G18" s="352">
        <v>0</v>
      </c>
      <c r="H18" s="352">
        <v>835030.88000000012</v>
      </c>
      <c r="I18" s="352">
        <v>231700.82</v>
      </c>
      <c r="J18" s="352">
        <v>43036.86</v>
      </c>
      <c r="K18" s="352">
        <v>0</v>
      </c>
      <c r="L18" s="352">
        <v>274737.68</v>
      </c>
      <c r="M18" s="352">
        <v>560293.19999999995</v>
      </c>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row>
    <row r="19" spans="1:89" x14ac:dyDescent="0.2">
      <c r="A19" s="316" t="s">
        <v>227</v>
      </c>
      <c r="B19" s="351" t="s">
        <v>796</v>
      </c>
      <c r="C19" s="351" t="s">
        <v>776</v>
      </c>
      <c r="D19" s="352">
        <v>743635.69000000006</v>
      </c>
      <c r="E19" s="352">
        <v>0</v>
      </c>
      <c r="F19" s="352">
        <v>0</v>
      </c>
      <c r="G19" s="352">
        <v>0</v>
      </c>
      <c r="H19" s="352">
        <v>743635.69000000006</v>
      </c>
      <c r="I19" s="352">
        <v>702954.16000000015</v>
      </c>
      <c r="J19" s="352">
        <v>7910.6</v>
      </c>
      <c r="K19" s="352">
        <v>0</v>
      </c>
      <c r="L19" s="352">
        <v>710864.75999999989</v>
      </c>
      <c r="M19" s="352">
        <v>32770.93</v>
      </c>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7"/>
      <c r="CF19" s="317"/>
      <c r="CG19" s="317"/>
      <c r="CH19" s="317"/>
      <c r="CI19" s="317"/>
      <c r="CJ19" s="317"/>
      <c r="CK19" s="317"/>
    </row>
    <row r="20" spans="1:89" x14ac:dyDescent="0.2">
      <c r="A20" s="316" t="s">
        <v>762</v>
      </c>
      <c r="B20" s="351" t="s">
        <v>797</v>
      </c>
      <c r="C20" s="351" t="s">
        <v>776</v>
      </c>
      <c r="D20" s="352">
        <v>4565463.2300000004</v>
      </c>
      <c r="E20" s="352">
        <v>0</v>
      </c>
      <c r="F20" s="352">
        <v>0</v>
      </c>
      <c r="G20" s="352">
        <v>0</v>
      </c>
      <c r="H20" s="352">
        <v>4565463.2300000004</v>
      </c>
      <c r="I20" s="352">
        <v>2959261.1900000009</v>
      </c>
      <c r="J20" s="352">
        <v>176437.99</v>
      </c>
      <c r="K20" s="352">
        <v>0</v>
      </c>
      <c r="L20" s="352">
        <v>3135699.18</v>
      </c>
      <c r="M20" s="352">
        <v>1429764.0499999998</v>
      </c>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row>
    <row r="21" spans="1:89" x14ac:dyDescent="0.2">
      <c r="A21" s="316" t="s">
        <v>227</v>
      </c>
      <c r="B21" s="351" t="s">
        <v>798</v>
      </c>
      <c r="C21" s="351" t="s">
        <v>776</v>
      </c>
      <c r="D21" s="352">
        <v>51204.21</v>
      </c>
      <c r="E21" s="352">
        <v>0</v>
      </c>
      <c r="F21" s="352">
        <v>0</v>
      </c>
      <c r="G21" s="352">
        <v>0</v>
      </c>
      <c r="H21" s="352">
        <v>51204.21</v>
      </c>
      <c r="I21" s="352">
        <v>26796.76</v>
      </c>
      <c r="J21" s="352">
        <v>2044.37</v>
      </c>
      <c r="K21" s="352">
        <v>0</v>
      </c>
      <c r="L21" s="352">
        <v>28841.13</v>
      </c>
      <c r="M21" s="352">
        <v>22363.08</v>
      </c>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row>
    <row r="22" spans="1:89" x14ac:dyDescent="0.2">
      <c r="A22" s="316" t="s">
        <v>227</v>
      </c>
      <c r="B22" s="351" t="s">
        <v>799</v>
      </c>
      <c r="C22" s="351" t="s">
        <v>776</v>
      </c>
      <c r="D22" s="352">
        <v>411007.2</v>
      </c>
      <c r="E22" s="352">
        <v>3360</v>
      </c>
      <c r="F22" s="352">
        <v>0</v>
      </c>
      <c r="G22" s="352">
        <v>0</v>
      </c>
      <c r="H22" s="352">
        <v>414367.2</v>
      </c>
      <c r="I22" s="352">
        <v>314560.65999999992</v>
      </c>
      <c r="J22" s="352">
        <v>29560.809999999998</v>
      </c>
      <c r="K22" s="352">
        <v>0</v>
      </c>
      <c r="L22" s="352">
        <v>344121.46999999991</v>
      </c>
      <c r="M22" s="352">
        <v>70245.73000000001</v>
      </c>
    </row>
    <row r="23" spans="1:89" x14ac:dyDescent="0.2">
      <c r="A23" s="316" t="s">
        <v>763</v>
      </c>
      <c r="B23" s="351" t="s">
        <v>800</v>
      </c>
      <c r="C23" s="351" t="s">
        <v>776</v>
      </c>
      <c r="D23" s="352">
        <v>11274798.27</v>
      </c>
      <c r="E23" s="352">
        <v>1078977.48</v>
      </c>
      <c r="F23" s="352">
        <v>-1078977.48</v>
      </c>
      <c r="G23" s="352">
        <v>0</v>
      </c>
      <c r="H23" s="352">
        <v>11274798.27</v>
      </c>
      <c r="I23" s="352">
        <v>7344921.3199999994</v>
      </c>
      <c r="J23" s="352">
        <v>471434.41000000003</v>
      </c>
      <c r="K23" s="352">
        <v>0</v>
      </c>
      <c r="L23" s="352">
        <v>7816355.7300000004</v>
      </c>
      <c r="M23" s="352">
        <v>3458442.54</v>
      </c>
    </row>
    <row r="24" spans="1:89" x14ac:dyDescent="0.2">
      <c r="A24" s="316" t="s">
        <v>764</v>
      </c>
      <c r="B24" s="351" t="s">
        <v>801</v>
      </c>
      <c r="C24" s="351" t="s">
        <v>776</v>
      </c>
      <c r="D24" s="352">
        <v>1014487.7899999999</v>
      </c>
      <c r="E24" s="352">
        <v>0</v>
      </c>
      <c r="F24" s="352">
        <v>0</v>
      </c>
      <c r="G24" s="352">
        <v>0</v>
      </c>
      <c r="H24" s="352">
        <v>1014487.7899999999</v>
      </c>
      <c r="I24" s="352">
        <v>917524.39</v>
      </c>
      <c r="J24" s="352">
        <v>36512.89</v>
      </c>
      <c r="K24" s="352">
        <v>0</v>
      </c>
      <c r="L24" s="352">
        <v>954037.28</v>
      </c>
      <c r="M24" s="352">
        <v>60450.51</v>
      </c>
    </row>
    <row r="25" spans="1:89" s="321" customFormat="1" x14ac:dyDescent="0.2">
      <c r="A25" s="321" t="s">
        <v>56</v>
      </c>
      <c r="B25" s="351" t="s">
        <v>802</v>
      </c>
      <c r="C25" s="351" t="s">
        <v>802</v>
      </c>
      <c r="D25" s="352">
        <v>18972006.739999998</v>
      </c>
      <c r="E25" s="352">
        <v>1082337.48</v>
      </c>
      <c r="F25" s="352">
        <v>-1078977.48</v>
      </c>
      <c r="G25" s="352">
        <v>0</v>
      </c>
      <c r="H25" s="352">
        <v>18975366.739999998</v>
      </c>
      <c r="I25" s="352">
        <v>12570989.92</v>
      </c>
      <c r="J25" s="352">
        <v>767292.33</v>
      </c>
      <c r="K25" s="352">
        <v>0</v>
      </c>
      <c r="L25" s="352">
        <v>13338282.25</v>
      </c>
      <c r="M25" s="352">
        <v>5637084.4900000002</v>
      </c>
    </row>
    <row r="26" spans="1:89" s="319" customFormat="1" x14ac:dyDescent="0.2">
      <c r="A26" s="321"/>
      <c r="B26" s="321"/>
      <c r="C26" s="321"/>
      <c r="D26" s="321"/>
      <c r="E26" s="321"/>
      <c r="F26" s="321"/>
      <c r="G26" s="321"/>
      <c r="H26" s="321"/>
      <c r="I26" s="321"/>
      <c r="J26" s="321"/>
      <c r="K26" s="321"/>
      <c r="L26" s="321"/>
      <c r="M26" s="321"/>
    </row>
    <row r="27" spans="1:89" x14ac:dyDescent="0.2">
      <c r="M27"/>
    </row>
    <row r="28" spans="1:89" x14ac:dyDescent="0.2">
      <c r="A28" s="316" t="s">
        <v>763</v>
      </c>
      <c r="B28" s="353" t="s">
        <v>748</v>
      </c>
      <c r="C28" s="316" t="s">
        <v>776</v>
      </c>
      <c r="D28" s="318">
        <v>0</v>
      </c>
      <c r="E28" s="354">
        <v>1078977.48</v>
      </c>
      <c r="F28" s="354"/>
      <c r="G28" s="354"/>
      <c r="H28" s="318">
        <f>SUM(D28:G28)</f>
        <v>1078977.48</v>
      </c>
      <c r="I28" s="354"/>
      <c r="J28" s="355"/>
      <c r="K28" s="354"/>
      <c r="L28" s="354">
        <f>SUM(I28:K28)</f>
        <v>0</v>
      </c>
      <c r="M28" s="318">
        <f>SUM(H28,L28)</f>
        <v>1078977.48</v>
      </c>
    </row>
    <row r="29" spans="1:89" x14ac:dyDescent="0.2">
      <c r="M29"/>
    </row>
    <row r="30" spans="1:89" ht="13.5" thickBot="1" x14ac:dyDescent="0.25">
      <c r="A30" s="321"/>
      <c r="B30" s="321" t="s">
        <v>803</v>
      </c>
      <c r="C30" s="321"/>
      <c r="D30" s="356">
        <f t="shared" ref="D30:M30" si="0">SUM(D25,D28)</f>
        <v>18972006.739999998</v>
      </c>
      <c r="E30" s="356">
        <f t="shared" si="0"/>
        <v>2161314.96</v>
      </c>
      <c r="F30" s="356">
        <f t="shared" si="0"/>
        <v>-1078977.48</v>
      </c>
      <c r="G30" s="356">
        <f t="shared" si="0"/>
        <v>0</v>
      </c>
      <c r="H30" s="356">
        <f t="shared" si="0"/>
        <v>20054344.219999999</v>
      </c>
      <c r="I30" s="356">
        <f t="shared" si="0"/>
        <v>12570989.92</v>
      </c>
      <c r="J30" s="356">
        <f t="shared" si="0"/>
        <v>767292.33</v>
      </c>
      <c r="K30" s="356">
        <f t="shared" si="0"/>
        <v>0</v>
      </c>
      <c r="L30" s="356">
        <f t="shared" si="0"/>
        <v>13338282.25</v>
      </c>
      <c r="M30" s="356">
        <f t="shared" si="0"/>
        <v>6716061.9700000007</v>
      </c>
    </row>
    <row r="31" spans="1:89" ht="13.5" thickTop="1" x14ac:dyDescent="0.2">
      <c r="A31" s="319"/>
      <c r="B31" s="319"/>
      <c r="C31" s="319"/>
      <c r="D31" s="319"/>
      <c r="E31" s="319"/>
      <c r="F31" s="319"/>
      <c r="G31" s="319"/>
      <c r="H31" s="346">
        <v>0</v>
      </c>
      <c r="I31" s="319"/>
      <c r="J31" s="319"/>
      <c r="K31" s="319"/>
      <c r="L31" s="346">
        <v>0</v>
      </c>
      <c r="M31" s="346">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903-65D6-4B48-BD13-CCC05EAEBDA4}">
  <dimension ref="A1:R31"/>
  <sheetViews>
    <sheetView showGridLines="0" topLeftCell="A44" zoomScale="80" zoomScaleNormal="80" workbookViewId="0"/>
  </sheetViews>
  <sheetFormatPr defaultRowHeight="12.75" x14ac:dyDescent="0.2"/>
  <cols>
    <col min="7" max="7" width="15.140625" bestFit="1" customWidth="1"/>
    <col min="9" max="9" width="16.85546875" customWidth="1"/>
    <col min="17" max="17" width="12.140625" customWidth="1"/>
  </cols>
  <sheetData>
    <row r="1" spans="1:9" x14ac:dyDescent="0.2">
      <c r="A1" s="329" t="s">
        <v>773</v>
      </c>
    </row>
    <row r="2" spans="1:9" x14ac:dyDescent="0.2">
      <c r="A2" s="316" t="s">
        <v>765</v>
      </c>
    </row>
    <row r="3" spans="1:9" x14ac:dyDescent="0.2">
      <c r="A3" s="316"/>
    </row>
    <row r="4" spans="1:9" x14ac:dyDescent="0.2">
      <c r="A4" s="316" t="s">
        <v>766</v>
      </c>
    </row>
    <row r="5" spans="1:9" ht="38.25" x14ac:dyDescent="0.2">
      <c r="G5" s="338" t="s">
        <v>767</v>
      </c>
      <c r="H5" s="336"/>
      <c r="I5" s="337" t="s">
        <v>768</v>
      </c>
    </row>
    <row r="7" spans="1:9" x14ac:dyDescent="0.2">
      <c r="A7" s="332" t="s">
        <v>203</v>
      </c>
      <c r="G7" s="333" t="e">
        <f>#REF!</f>
        <v>#REF!</v>
      </c>
      <c r="I7" s="316" t="s">
        <v>769</v>
      </c>
    </row>
    <row r="8" spans="1:9" x14ac:dyDescent="0.2">
      <c r="A8" s="332" t="s">
        <v>760</v>
      </c>
      <c r="G8" s="333" t="e">
        <f>#REF!</f>
        <v>#REF!</v>
      </c>
      <c r="I8" s="316" t="s">
        <v>745</v>
      </c>
    </row>
    <row r="9" spans="1:9" x14ac:dyDescent="0.2">
      <c r="A9" s="332" t="s">
        <v>759</v>
      </c>
      <c r="G9" s="333" t="e">
        <f>#REF!</f>
        <v>#REF!</v>
      </c>
      <c r="I9" s="316" t="s">
        <v>769</v>
      </c>
    </row>
    <row r="10" spans="1:9" x14ac:dyDescent="0.2">
      <c r="A10" s="332" t="s">
        <v>762</v>
      </c>
      <c r="G10" s="333" t="e">
        <f>#REF!</f>
        <v>#REF!</v>
      </c>
      <c r="I10" s="316" t="s">
        <v>769</v>
      </c>
    </row>
    <row r="11" spans="1:9" x14ac:dyDescent="0.2">
      <c r="A11" s="332" t="s">
        <v>761</v>
      </c>
      <c r="G11" s="333" t="e">
        <f>#REF!</f>
        <v>#REF!</v>
      </c>
      <c r="I11" s="316" t="s">
        <v>745</v>
      </c>
    </row>
    <row r="12" spans="1:9" x14ac:dyDescent="0.2">
      <c r="A12" s="332" t="s">
        <v>764</v>
      </c>
      <c r="G12" s="333" t="e">
        <f>#REF!</f>
        <v>#REF!</v>
      </c>
      <c r="I12" s="316" t="s">
        <v>745</v>
      </c>
    </row>
    <row r="13" spans="1:9" x14ac:dyDescent="0.2">
      <c r="A13" s="332" t="s">
        <v>758</v>
      </c>
      <c r="G13" s="333" t="e">
        <f>#REF!</f>
        <v>#REF!</v>
      </c>
      <c r="I13" s="316" t="s">
        <v>769</v>
      </c>
    </row>
    <row r="14" spans="1:9" x14ac:dyDescent="0.2">
      <c r="A14" s="332" t="s">
        <v>225</v>
      </c>
      <c r="G14" s="333" t="e">
        <f>#REF!</f>
        <v>#REF!</v>
      </c>
      <c r="I14" s="316" t="s">
        <v>771</v>
      </c>
    </row>
    <row r="15" spans="1:9" x14ac:dyDescent="0.2">
      <c r="A15" s="332" t="s">
        <v>227</v>
      </c>
      <c r="G15" s="333" t="e">
        <f>#REF!</f>
        <v>#REF!</v>
      </c>
      <c r="I15" s="316" t="s">
        <v>769</v>
      </c>
    </row>
    <row r="16" spans="1:9" x14ac:dyDescent="0.2">
      <c r="A16" s="332" t="s">
        <v>772</v>
      </c>
      <c r="G16" s="333"/>
      <c r="I16" s="316" t="s">
        <v>745</v>
      </c>
    </row>
    <row r="17" spans="7:18" ht="13.5" thickBot="1" x14ac:dyDescent="0.25">
      <c r="G17" s="335" t="e">
        <f>SUM(G7:G15)</f>
        <v>#REF!</v>
      </c>
    </row>
    <row r="18" spans="7:18" ht="13.5" thickTop="1" x14ac:dyDescent="0.2"/>
    <row r="31" spans="7:18" x14ac:dyDescent="0.2">
      <c r="L31" s="321" t="s">
        <v>746</v>
      </c>
      <c r="Q31" s="339" t="s">
        <v>770</v>
      </c>
      <c r="R31">
        <v>2011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9794-53E5-4CE2-A6CC-BD8A7D1E5C94}">
  <sheetPr>
    <tabColor rgb="FFFFFF00"/>
  </sheetPr>
  <dimension ref="B1:Y41"/>
  <sheetViews>
    <sheetView showGridLines="0" zoomScale="80" zoomScaleNormal="80" workbookViewId="0">
      <selection activeCell="D23" sqref="D23"/>
    </sheetView>
  </sheetViews>
  <sheetFormatPr defaultRowHeight="12.75" outlineLevelRow="1" x14ac:dyDescent="0.2"/>
  <cols>
    <col min="1" max="1" width="3.140625" customWidth="1"/>
    <col min="2" max="2" width="15.42578125" customWidth="1"/>
    <col min="3" max="3" width="11.42578125" customWidth="1"/>
    <col min="4" max="10" width="11.5703125" customWidth="1"/>
    <col min="11" max="11" width="0.85546875" customWidth="1"/>
    <col min="12" max="16" width="11.85546875" customWidth="1"/>
    <col min="17" max="17" width="13.140625" customWidth="1"/>
    <col min="18" max="18" width="0.85546875" customWidth="1"/>
    <col min="19" max="19" width="11.85546875" bestFit="1" customWidth="1"/>
    <col min="20" max="20" width="0.85546875" customWidth="1"/>
    <col min="21" max="21" width="15.140625" bestFit="1" customWidth="1"/>
    <col min="22" max="22" width="14.42578125" customWidth="1"/>
    <col min="24" max="24" width="11.42578125" bestFit="1" customWidth="1"/>
    <col min="259" max="259" width="20" customWidth="1"/>
    <col min="260" max="260" width="18.140625" bestFit="1" customWidth="1"/>
    <col min="261" max="261" width="15.5703125" bestFit="1" customWidth="1"/>
    <col min="262" max="262" width="17.42578125" bestFit="1" customWidth="1"/>
    <col min="263" max="263" width="0" hidden="1" customWidth="1"/>
    <col min="264" max="264" width="18" bestFit="1" customWidth="1"/>
    <col min="265" max="265" width="15.42578125" bestFit="1" customWidth="1"/>
    <col min="266" max="266" width="17.42578125" bestFit="1" customWidth="1"/>
    <col min="267" max="267" width="5.5703125" bestFit="1" customWidth="1"/>
    <col min="268" max="268" width="18.5703125" bestFit="1" customWidth="1"/>
    <col min="269" max="269" width="0" hidden="1" customWidth="1"/>
    <col min="270" max="270" width="15" bestFit="1" customWidth="1"/>
    <col min="271" max="271" width="15.140625" bestFit="1" customWidth="1"/>
    <col min="272" max="272" width="18.5703125" bestFit="1" customWidth="1"/>
    <col min="273" max="273" width="15.5703125" bestFit="1" customWidth="1"/>
    <col min="274" max="274" width="5.5703125" bestFit="1" customWidth="1"/>
    <col min="275" max="275" width="16" bestFit="1" customWidth="1"/>
    <col min="276" max="276" width="10.5703125" bestFit="1" customWidth="1"/>
    <col min="277" max="277" width="15.140625" bestFit="1" customWidth="1"/>
    <col min="278" max="278" width="14.42578125" customWidth="1"/>
    <col min="280" max="280" width="11.42578125" bestFit="1" customWidth="1"/>
    <col min="515" max="515" width="20" customWidth="1"/>
    <col min="516" max="516" width="18.140625" bestFit="1" customWidth="1"/>
    <col min="517" max="517" width="15.5703125" bestFit="1" customWidth="1"/>
    <col min="518" max="518" width="17.42578125" bestFit="1" customWidth="1"/>
    <col min="519" max="519" width="0" hidden="1" customWidth="1"/>
    <col min="520" max="520" width="18" bestFit="1" customWidth="1"/>
    <col min="521" max="521" width="15.42578125" bestFit="1" customWidth="1"/>
    <col min="522" max="522" width="17.42578125" bestFit="1" customWidth="1"/>
    <col min="523" max="523" width="5.5703125" bestFit="1" customWidth="1"/>
    <col min="524" max="524" width="18.5703125" bestFit="1" customWidth="1"/>
    <col min="525" max="525" width="0" hidden="1" customWidth="1"/>
    <col min="526" max="526" width="15" bestFit="1" customWidth="1"/>
    <col min="527" max="527" width="15.140625" bestFit="1" customWidth="1"/>
    <col min="528" max="528" width="18.5703125" bestFit="1" customWidth="1"/>
    <col min="529" max="529" width="15.5703125" bestFit="1" customWidth="1"/>
    <col min="530" max="530" width="5.5703125" bestFit="1" customWidth="1"/>
    <col min="531" max="531" width="16" bestFit="1" customWidth="1"/>
    <col min="532" max="532" width="10.5703125" bestFit="1" customWidth="1"/>
    <col min="533" max="533" width="15.140625" bestFit="1" customWidth="1"/>
    <col min="534" max="534" width="14.42578125" customWidth="1"/>
    <col min="536" max="536" width="11.42578125" bestFit="1" customWidth="1"/>
    <col min="771" max="771" width="20" customWidth="1"/>
    <col min="772" max="772" width="18.140625" bestFit="1" customWidth="1"/>
    <col min="773" max="773" width="15.5703125" bestFit="1" customWidth="1"/>
    <col min="774" max="774" width="17.42578125" bestFit="1" customWidth="1"/>
    <col min="775" max="775" width="0" hidden="1" customWidth="1"/>
    <col min="776" max="776" width="18" bestFit="1" customWidth="1"/>
    <col min="777" max="777" width="15.42578125" bestFit="1" customWidth="1"/>
    <col min="778" max="778" width="17.42578125" bestFit="1" customWidth="1"/>
    <col min="779" max="779" width="5.5703125" bestFit="1" customWidth="1"/>
    <col min="780" max="780" width="18.5703125" bestFit="1" customWidth="1"/>
    <col min="781" max="781" width="0" hidden="1" customWidth="1"/>
    <col min="782" max="782" width="15" bestFit="1" customWidth="1"/>
    <col min="783" max="783" width="15.140625" bestFit="1" customWidth="1"/>
    <col min="784" max="784" width="18.5703125" bestFit="1" customWidth="1"/>
    <col min="785" max="785" width="15.5703125" bestFit="1" customWidth="1"/>
    <col min="786" max="786" width="5.5703125" bestFit="1" customWidth="1"/>
    <col min="787" max="787" width="16" bestFit="1" customWidth="1"/>
    <col min="788" max="788" width="10.5703125" bestFit="1" customWidth="1"/>
    <col min="789" max="789" width="15.140625" bestFit="1" customWidth="1"/>
    <col min="790" max="790" width="14.42578125" customWidth="1"/>
    <col min="792" max="792" width="11.42578125" bestFit="1" customWidth="1"/>
    <col min="1027" max="1027" width="20" customWidth="1"/>
    <col min="1028" max="1028" width="18.140625" bestFit="1" customWidth="1"/>
    <col min="1029" max="1029" width="15.5703125" bestFit="1" customWidth="1"/>
    <col min="1030" max="1030" width="17.42578125" bestFit="1" customWidth="1"/>
    <col min="1031" max="1031" width="0" hidden="1" customWidth="1"/>
    <col min="1032" max="1032" width="18" bestFit="1" customWidth="1"/>
    <col min="1033" max="1033" width="15.42578125" bestFit="1" customWidth="1"/>
    <col min="1034" max="1034" width="17.42578125" bestFit="1" customWidth="1"/>
    <col min="1035" max="1035" width="5.5703125" bestFit="1" customWidth="1"/>
    <col min="1036" max="1036" width="18.5703125" bestFit="1" customWidth="1"/>
    <col min="1037" max="1037" width="0" hidden="1" customWidth="1"/>
    <col min="1038" max="1038" width="15" bestFit="1" customWidth="1"/>
    <col min="1039" max="1039" width="15.140625" bestFit="1" customWidth="1"/>
    <col min="1040" max="1040" width="18.5703125" bestFit="1" customWidth="1"/>
    <col min="1041" max="1041" width="15.5703125" bestFit="1" customWidth="1"/>
    <col min="1042" max="1042" width="5.5703125" bestFit="1" customWidth="1"/>
    <col min="1043" max="1043" width="16" bestFit="1" customWidth="1"/>
    <col min="1044" max="1044" width="10.5703125" bestFit="1" customWidth="1"/>
    <col min="1045" max="1045" width="15.140625" bestFit="1" customWidth="1"/>
    <col min="1046" max="1046" width="14.42578125" customWidth="1"/>
    <col min="1048" max="1048" width="11.42578125" bestFit="1" customWidth="1"/>
    <col min="1283" max="1283" width="20" customWidth="1"/>
    <col min="1284" max="1284" width="18.140625" bestFit="1" customWidth="1"/>
    <col min="1285" max="1285" width="15.5703125" bestFit="1" customWidth="1"/>
    <col min="1286" max="1286" width="17.42578125" bestFit="1" customWidth="1"/>
    <col min="1287" max="1287" width="0" hidden="1" customWidth="1"/>
    <col min="1288" max="1288" width="18" bestFit="1" customWidth="1"/>
    <col min="1289" max="1289" width="15.42578125" bestFit="1" customWidth="1"/>
    <col min="1290" max="1290" width="17.42578125" bestFit="1" customWidth="1"/>
    <col min="1291" max="1291" width="5.5703125" bestFit="1" customWidth="1"/>
    <col min="1292" max="1292" width="18.5703125" bestFit="1" customWidth="1"/>
    <col min="1293" max="1293" width="0" hidden="1" customWidth="1"/>
    <col min="1294" max="1294" width="15" bestFit="1" customWidth="1"/>
    <col min="1295" max="1295" width="15.140625" bestFit="1" customWidth="1"/>
    <col min="1296" max="1296" width="18.5703125" bestFit="1" customWidth="1"/>
    <col min="1297" max="1297" width="15.5703125" bestFit="1" customWidth="1"/>
    <col min="1298" max="1298" width="5.5703125" bestFit="1" customWidth="1"/>
    <col min="1299" max="1299" width="16" bestFit="1" customWidth="1"/>
    <col min="1300" max="1300" width="10.5703125" bestFit="1" customWidth="1"/>
    <col min="1301" max="1301" width="15.140625" bestFit="1" customWidth="1"/>
    <col min="1302" max="1302" width="14.42578125" customWidth="1"/>
    <col min="1304" max="1304" width="11.42578125" bestFit="1" customWidth="1"/>
    <col min="1539" max="1539" width="20" customWidth="1"/>
    <col min="1540" max="1540" width="18.140625" bestFit="1" customWidth="1"/>
    <col min="1541" max="1541" width="15.5703125" bestFit="1" customWidth="1"/>
    <col min="1542" max="1542" width="17.42578125" bestFit="1" customWidth="1"/>
    <col min="1543" max="1543" width="0" hidden="1" customWidth="1"/>
    <col min="1544" max="1544" width="18" bestFit="1" customWidth="1"/>
    <col min="1545" max="1545" width="15.42578125" bestFit="1" customWidth="1"/>
    <col min="1546" max="1546" width="17.42578125" bestFit="1" customWidth="1"/>
    <col min="1547" max="1547" width="5.5703125" bestFit="1" customWidth="1"/>
    <col min="1548" max="1548" width="18.5703125" bestFit="1" customWidth="1"/>
    <col min="1549" max="1549" width="0" hidden="1" customWidth="1"/>
    <col min="1550" max="1550" width="15" bestFit="1" customWidth="1"/>
    <col min="1551" max="1551" width="15.140625" bestFit="1" customWidth="1"/>
    <col min="1552" max="1552" width="18.5703125" bestFit="1" customWidth="1"/>
    <col min="1553" max="1553" width="15.5703125" bestFit="1" customWidth="1"/>
    <col min="1554" max="1554" width="5.5703125" bestFit="1" customWidth="1"/>
    <col min="1555" max="1555" width="16" bestFit="1" customWidth="1"/>
    <col min="1556" max="1556" width="10.5703125" bestFit="1" customWidth="1"/>
    <col min="1557" max="1557" width="15.140625" bestFit="1" customWidth="1"/>
    <col min="1558" max="1558" width="14.42578125" customWidth="1"/>
    <col min="1560" max="1560" width="11.42578125" bestFit="1" customWidth="1"/>
    <col min="1795" max="1795" width="20" customWidth="1"/>
    <col min="1796" max="1796" width="18.140625" bestFit="1" customWidth="1"/>
    <col min="1797" max="1797" width="15.5703125" bestFit="1" customWidth="1"/>
    <col min="1798" max="1798" width="17.42578125" bestFit="1" customWidth="1"/>
    <col min="1799" max="1799" width="0" hidden="1" customWidth="1"/>
    <col min="1800" max="1800" width="18" bestFit="1" customWidth="1"/>
    <col min="1801" max="1801" width="15.42578125" bestFit="1" customWidth="1"/>
    <col min="1802" max="1802" width="17.42578125" bestFit="1" customWidth="1"/>
    <col min="1803" max="1803" width="5.5703125" bestFit="1" customWidth="1"/>
    <col min="1804" max="1804" width="18.5703125" bestFit="1" customWidth="1"/>
    <col min="1805" max="1805" width="0" hidden="1" customWidth="1"/>
    <col min="1806" max="1806" width="15" bestFit="1" customWidth="1"/>
    <col min="1807" max="1807" width="15.140625" bestFit="1" customWidth="1"/>
    <col min="1808" max="1808" width="18.5703125" bestFit="1" customWidth="1"/>
    <col min="1809" max="1809" width="15.5703125" bestFit="1" customWidth="1"/>
    <col min="1810" max="1810" width="5.5703125" bestFit="1" customWidth="1"/>
    <col min="1811" max="1811" width="16" bestFit="1" customWidth="1"/>
    <col min="1812" max="1812" width="10.5703125" bestFit="1" customWidth="1"/>
    <col min="1813" max="1813" width="15.140625" bestFit="1" customWidth="1"/>
    <col min="1814" max="1814" width="14.42578125" customWidth="1"/>
    <col min="1816" max="1816" width="11.42578125" bestFit="1" customWidth="1"/>
    <col min="2051" max="2051" width="20" customWidth="1"/>
    <col min="2052" max="2052" width="18.140625" bestFit="1" customWidth="1"/>
    <col min="2053" max="2053" width="15.5703125" bestFit="1" customWidth="1"/>
    <col min="2054" max="2054" width="17.42578125" bestFit="1" customWidth="1"/>
    <col min="2055" max="2055" width="0" hidden="1" customWidth="1"/>
    <col min="2056" max="2056" width="18" bestFit="1" customWidth="1"/>
    <col min="2057" max="2057" width="15.42578125" bestFit="1" customWidth="1"/>
    <col min="2058" max="2058" width="17.42578125" bestFit="1" customWidth="1"/>
    <col min="2059" max="2059" width="5.5703125" bestFit="1" customWidth="1"/>
    <col min="2060" max="2060" width="18.5703125" bestFit="1" customWidth="1"/>
    <col min="2061" max="2061" width="0" hidden="1" customWidth="1"/>
    <col min="2062" max="2062" width="15" bestFit="1" customWidth="1"/>
    <col min="2063" max="2063" width="15.140625" bestFit="1" customWidth="1"/>
    <col min="2064" max="2064" width="18.5703125" bestFit="1" customWidth="1"/>
    <col min="2065" max="2065" width="15.5703125" bestFit="1" customWidth="1"/>
    <col min="2066" max="2066" width="5.5703125" bestFit="1" customWidth="1"/>
    <col min="2067" max="2067" width="16" bestFit="1" customWidth="1"/>
    <col min="2068" max="2068" width="10.5703125" bestFit="1" customWidth="1"/>
    <col min="2069" max="2069" width="15.140625" bestFit="1" customWidth="1"/>
    <col min="2070" max="2070" width="14.42578125" customWidth="1"/>
    <col min="2072" max="2072" width="11.42578125" bestFit="1" customWidth="1"/>
    <col min="2307" max="2307" width="20" customWidth="1"/>
    <col min="2308" max="2308" width="18.140625" bestFit="1" customWidth="1"/>
    <col min="2309" max="2309" width="15.5703125" bestFit="1" customWidth="1"/>
    <col min="2310" max="2310" width="17.42578125" bestFit="1" customWidth="1"/>
    <col min="2311" max="2311" width="0" hidden="1" customWidth="1"/>
    <col min="2312" max="2312" width="18" bestFit="1" customWidth="1"/>
    <col min="2313" max="2313" width="15.42578125" bestFit="1" customWidth="1"/>
    <col min="2314" max="2314" width="17.42578125" bestFit="1" customWidth="1"/>
    <col min="2315" max="2315" width="5.5703125" bestFit="1" customWidth="1"/>
    <col min="2316" max="2316" width="18.5703125" bestFit="1" customWidth="1"/>
    <col min="2317" max="2317" width="0" hidden="1" customWidth="1"/>
    <col min="2318" max="2318" width="15" bestFit="1" customWidth="1"/>
    <col min="2319" max="2319" width="15.140625" bestFit="1" customWidth="1"/>
    <col min="2320" max="2320" width="18.5703125" bestFit="1" customWidth="1"/>
    <col min="2321" max="2321" width="15.5703125" bestFit="1" customWidth="1"/>
    <col min="2322" max="2322" width="5.5703125" bestFit="1" customWidth="1"/>
    <col min="2323" max="2323" width="16" bestFit="1" customWidth="1"/>
    <col min="2324" max="2324" width="10.5703125" bestFit="1" customWidth="1"/>
    <col min="2325" max="2325" width="15.140625" bestFit="1" customWidth="1"/>
    <col min="2326" max="2326" width="14.42578125" customWidth="1"/>
    <col min="2328" max="2328" width="11.42578125" bestFit="1" customWidth="1"/>
    <col min="2563" max="2563" width="20" customWidth="1"/>
    <col min="2564" max="2564" width="18.140625" bestFit="1" customWidth="1"/>
    <col min="2565" max="2565" width="15.5703125" bestFit="1" customWidth="1"/>
    <col min="2566" max="2566" width="17.42578125" bestFit="1" customWidth="1"/>
    <col min="2567" max="2567" width="0" hidden="1" customWidth="1"/>
    <col min="2568" max="2568" width="18" bestFit="1" customWidth="1"/>
    <col min="2569" max="2569" width="15.42578125" bestFit="1" customWidth="1"/>
    <col min="2570" max="2570" width="17.42578125" bestFit="1" customWidth="1"/>
    <col min="2571" max="2571" width="5.5703125" bestFit="1" customWidth="1"/>
    <col min="2572" max="2572" width="18.5703125" bestFit="1" customWidth="1"/>
    <col min="2573" max="2573" width="0" hidden="1" customWidth="1"/>
    <col min="2574" max="2574" width="15" bestFit="1" customWidth="1"/>
    <col min="2575" max="2575" width="15.140625" bestFit="1" customWidth="1"/>
    <col min="2576" max="2576" width="18.5703125" bestFit="1" customWidth="1"/>
    <col min="2577" max="2577" width="15.5703125" bestFit="1" customWidth="1"/>
    <col min="2578" max="2578" width="5.5703125" bestFit="1" customWidth="1"/>
    <col min="2579" max="2579" width="16" bestFit="1" customWidth="1"/>
    <col min="2580" max="2580" width="10.5703125" bestFit="1" customWidth="1"/>
    <col min="2581" max="2581" width="15.140625" bestFit="1" customWidth="1"/>
    <col min="2582" max="2582" width="14.42578125" customWidth="1"/>
    <col min="2584" max="2584" width="11.42578125" bestFit="1" customWidth="1"/>
    <col min="2819" max="2819" width="20" customWidth="1"/>
    <col min="2820" max="2820" width="18.140625" bestFit="1" customWidth="1"/>
    <col min="2821" max="2821" width="15.5703125" bestFit="1" customWidth="1"/>
    <col min="2822" max="2822" width="17.42578125" bestFit="1" customWidth="1"/>
    <col min="2823" max="2823" width="0" hidden="1" customWidth="1"/>
    <col min="2824" max="2824" width="18" bestFit="1" customWidth="1"/>
    <col min="2825" max="2825" width="15.42578125" bestFit="1" customWidth="1"/>
    <col min="2826" max="2826" width="17.42578125" bestFit="1" customWidth="1"/>
    <col min="2827" max="2827" width="5.5703125" bestFit="1" customWidth="1"/>
    <col min="2828" max="2828" width="18.5703125" bestFit="1" customWidth="1"/>
    <col min="2829" max="2829" width="0" hidden="1" customWidth="1"/>
    <col min="2830" max="2830" width="15" bestFit="1" customWidth="1"/>
    <col min="2831" max="2831" width="15.140625" bestFit="1" customWidth="1"/>
    <col min="2832" max="2832" width="18.5703125" bestFit="1" customWidth="1"/>
    <col min="2833" max="2833" width="15.5703125" bestFit="1" customWidth="1"/>
    <col min="2834" max="2834" width="5.5703125" bestFit="1" customWidth="1"/>
    <col min="2835" max="2835" width="16" bestFit="1" customWidth="1"/>
    <col min="2836" max="2836" width="10.5703125" bestFit="1" customWidth="1"/>
    <col min="2837" max="2837" width="15.140625" bestFit="1" customWidth="1"/>
    <col min="2838" max="2838" width="14.42578125" customWidth="1"/>
    <col min="2840" max="2840" width="11.42578125" bestFit="1" customWidth="1"/>
    <col min="3075" max="3075" width="20" customWidth="1"/>
    <col min="3076" max="3076" width="18.140625" bestFit="1" customWidth="1"/>
    <col min="3077" max="3077" width="15.5703125" bestFit="1" customWidth="1"/>
    <col min="3078" max="3078" width="17.42578125" bestFit="1" customWidth="1"/>
    <col min="3079" max="3079" width="0" hidden="1" customWidth="1"/>
    <col min="3080" max="3080" width="18" bestFit="1" customWidth="1"/>
    <col min="3081" max="3081" width="15.42578125" bestFit="1" customWidth="1"/>
    <col min="3082" max="3082" width="17.42578125" bestFit="1" customWidth="1"/>
    <col min="3083" max="3083" width="5.5703125" bestFit="1" customWidth="1"/>
    <col min="3084" max="3084" width="18.5703125" bestFit="1" customWidth="1"/>
    <col min="3085" max="3085" width="0" hidden="1" customWidth="1"/>
    <col min="3086" max="3086" width="15" bestFit="1" customWidth="1"/>
    <col min="3087" max="3087" width="15.140625" bestFit="1" customWidth="1"/>
    <col min="3088" max="3088" width="18.5703125" bestFit="1" customWidth="1"/>
    <col min="3089" max="3089" width="15.5703125" bestFit="1" customWidth="1"/>
    <col min="3090" max="3090" width="5.5703125" bestFit="1" customWidth="1"/>
    <col min="3091" max="3091" width="16" bestFit="1" customWidth="1"/>
    <col min="3092" max="3092" width="10.5703125" bestFit="1" customWidth="1"/>
    <col min="3093" max="3093" width="15.140625" bestFit="1" customWidth="1"/>
    <col min="3094" max="3094" width="14.42578125" customWidth="1"/>
    <col min="3096" max="3096" width="11.42578125" bestFit="1" customWidth="1"/>
    <col min="3331" max="3331" width="20" customWidth="1"/>
    <col min="3332" max="3332" width="18.140625" bestFit="1" customWidth="1"/>
    <col min="3333" max="3333" width="15.5703125" bestFit="1" customWidth="1"/>
    <col min="3334" max="3334" width="17.42578125" bestFit="1" customWidth="1"/>
    <col min="3335" max="3335" width="0" hidden="1" customWidth="1"/>
    <col min="3336" max="3336" width="18" bestFit="1" customWidth="1"/>
    <col min="3337" max="3337" width="15.42578125" bestFit="1" customWidth="1"/>
    <col min="3338" max="3338" width="17.42578125" bestFit="1" customWidth="1"/>
    <col min="3339" max="3339" width="5.5703125" bestFit="1" customWidth="1"/>
    <col min="3340" max="3340" width="18.5703125" bestFit="1" customWidth="1"/>
    <col min="3341" max="3341" width="0" hidden="1" customWidth="1"/>
    <col min="3342" max="3342" width="15" bestFit="1" customWidth="1"/>
    <col min="3343" max="3343" width="15.140625" bestFit="1" customWidth="1"/>
    <col min="3344" max="3344" width="18.5703125" bestFit="1" customWidth="1"/>
    <col min="3345" max="3345" width="15.5703125" bestFit="1" customWidth="1"/>
    <col min="3346" max="3346" width="5.5703125" bestFit="1" customWidth="1"/>
    <col min="3347" max="3347" width="16" bestFit="1" customWidth="1"/>
    <col min="3348" max="3348" width="10.5703125" bestFit="1" customWidth="1"/>
    <col min="3349" max="3349" width="15.140625" bestFit="1" customWidth="1"/>
    <col min="3350" max="3350" width="14.42578125" customWidth="1"/>
    <col min="3352" max="3352" width="11.42578125" bestFit="1" customWidth="1"/>
    <col min="3587" max="3587" width="20" customWidth="1"/>
    <col min="3588" max="3588" width="18.140625" bestFit="1" customWidth="1"/>
    <col min="3589" max="3589" width="15.5703125" bestFit="1" customWidth="1"/>
    <col min="3590" max="3590" width="17.42578125" bestFit="1" customWidth="1"/>
    <col min="3591" max="3591" width="0" hidden="1" customWidth="1"/>
    <col min="3592" max="3592" width="18" bestFit="1" customWidth="1"/>
    <col min="3593" max="3593" width="15.42578125" bestFit="1" customWidth="1"/>
    <col min="3594" max="3594" width="17.42578125" bestFit="1" customWidth="1"/>
    <col min="3595" max="3595" width="5.5703125" bestFit="1" customWidth="1"/>
    <col min="3596" max="3596" width="18.5703125" bestFit="1" customWidth="1"/>
    <col min="3597" max="3597" width="0" hidden="1" customWidth="1"/>
    <col min="3598" max="3598" width="15" bestFit="1" customWidth="1"/>
    <col min="3599" max="3599" width="15.140625" bestFit="1" customWidth="1"/>
    <col min="3600" max="3600" width="18.5703125" bestFit="1" customWidth="1"/>
    <col min="3601" max="3601" width="15.5703125" bestFit="1" customWidth="1"/>
    <col min="3602" max="3602" width="5.5703125" bestFit="1" customWidth="1"/>
    <col min="3603" max="3603" width="16" bestFit="1" customWidth="1"/>
    <col min="3604" max="3604" width="10.5703125" bestFit="1" customWidth="1"/>
    <col min="3605" max="3605" width="15.140625" bestFit="1" customWidth="1"/>
    <col min="3606" max="3606" width="14.42578125" customWidth="1"/>
    <col min="3608" max="3608" width="11.42578125" bestFit="1" customWidth="1"/>
    <col min="3843" max="3843" width="20" customWidth="1"/>
    <col min="3844" max="3844" width="18.140625" bestFit="1" customWidth="1"/>
    <col min="3845" max="3845" width="15.5703125" bestFit="1" customWidth="1"/>
    <col min="3846" max="3846" width="17.42578125" bestFit="1" customWidth="1"/>
    <col min="3847" max="3847" width="0" hidden="1" customWidth="1"/>
    <col min="3848" max="3848" width="18" bestFit="1" customWidth="1"/>
    <col min="3849" max="3849" width="15.42578125" bestFit="1" customWidth="1"/>
    <col min="3850" max="3850" width="17.42578125" bestFit="1" customWidth="1"/>
    <col min="3851" max="3851" width="5.5703125" bestFit="1" customWidth="1"/>
    <col min="3852" max="3852" width="18.5703125" bestFit="1" customWidth="1"/>
    <col min="3853" max="3853" width="0" hidden="1" customWidth="1"/>
    <col min="3854" max="3854" width="15" bestFit="1" customWidth="1"/>
    <col min="3855" max="3855" width="15.140625" bestFit="1" customWidth="1"/>
    <col min="3856" max="3856" width="18.5703125" bestFit="1" customWidth="1"/>
    <col min="3857" max="3857" width="15.5703125" bestFit="1" customWidth="1"/>
    <col min="3858" max="3858" width="5.5703125" bestFit="1" customWidth="1"/>
    <col min="3859" max="3859" width="16" bestFit="1" customWidth="1"/>
    <col min="3860" max="3860" width="10.5703125" bestFit="1" customWidth="1"/>
    <col min="3861" max="3861" width="15.140625" bestFit="1" customWidth="1"/>
    <col min="3862" max="3862" width="14.42578125" customWidth="1"/>
    <col min="3864" max="3864" width="11.42578125" bestFit="1" customWidth="1"/>
    <col min="4099" max="4099" width="20" customWidth="1"/>
    <col min="4100" max="4100" width="18.140625" bestFit="1" customWidth="1"/>
    <col min="4101" max="4101" width="15.5703125" bestFit="1" customWidth="1"/>
    <col min="4102" max="4102" width="17.42578125" bestFit="1" customWidth="1"/>
    <col min="4103" max="4103" width="0" hidden="1" customWidth="1"/>
    <col min="4104" max="4104" width="18" bestFit="1" customWidth="1"/>
    <col min="4105" max="4105" width="15.42578125" bestFit="1" customWidth="1"/>
    <col min="4106" max="4106" width="17.42578125" bestFit="1" customWidth="1"/>
    <col min="4107" max="4107" width="5.5703125" bestFit="1" customWidth="1"/>
    <col min="4108" max="4108" width="18.5703125" bestFit="1" customWidth="1"/>
    <col min="4109" max="4109" width="0" hidden="1" customWidth="1"/>
    <col min="4110" max="4110" width="15" bestFit="1" customWidth="1"/>
    <col min="4111" max="4111" width="15.140625" bestFit="1" customWidth="1"/>
    <col min="4112" max="4112" width="18.5703125" bestFit="1" customWidth="1"/>
    <col min="4113" max="4113" width="15.5703125" bestFit="1" customWidth="1"/>
    <col min="4114" max="4114" width="5.5703125" bestFit="1" customWidth="1"/>
    <col min="4115" max="4115" width="16" bestFit="1" customWidth="1"/>
    <col min="4116" max="4116" width="10.5703125" bestFit="1" customWidth="1"/>
    <col min="4117" max="4117" width="15.140625" bestFit="1" customWidth="1"/>
    <col min="4118" max="4118" width="14.42578125" customWidth="1"/>
    <col min="4120" max="4120" width="11.42578125" bestFit="1" customWidth="1"/>
    <col min="4355" max="4355" width="20" customWidth="1"/>
    <col min="4356" max="4356" width="18.140625" bestFit="1" customWidth="1"/>
    <col min="4357" max="4357" width="15.5703125" bestFit="1" customWidth="1"/>
    <col min="4358" max="4358" width="17.42578125" bestFit="1" customWidth="1"/>
    <col min="4359" max="4359" width="0" hidden="1" customWidth="1"/>
    <col min="4360" max="4360" width="18" bestFit="1" customWidth="1"/>
    <col min="4361" max="4361" width="15.42578125" bestFit="1" customWidth="1"/>
    <col min="4362" max="4362" width="17.42578125" bestFit="1" customWidth="1"/>
    <col min="4363" max="4363" width="5.5703125" bestFit="1" customWidth="1"/>
    <col min="4364" max="4364" width="18.5703125" bestFit="1" customWidth="1"/>
    <col min="4365" max="4365" width="0" hidden="1" customWidth="1"/>
    <col min="4366" max="4366" width="15" bestFit="1" customWidth="1"/>
    <col min="4367" max="4367" width="15.140625" bestFit="1" customWidth="1"/>
    <col min="4368" max="4368" width="18.5703125" bestFit="1" customWidth="1"/>
    <col min="4369" max="4369" width="15.5703125" bestFit="1" customWidth="1"/>
    <col min="4370" max="4370" width="5.5703125" bestFit="1" customWidth="1"/>
    <col min="4371" max="4371" width="16" bestFit="1" customWidth="1"/>
    <col min="4372" max="4372" width="10.5703125" bestFit="1" customWidth="1"/>
    <col min="4373" max="4373" width="15.140625" bestFit="1" customWidth="1"/>
    <col min="4374" max="4374" width="14.42578125" customWidth="1"/>
    <col min="4376" max="4376" width="11.42578125" bestFit="1" customWidth="1"/>
    <col min="4611" max="4611" width="20" customWidth="1"/>
    <col min="4612" max="4612" width="18.140625" bestFit="1" customWidth="1"/>
    <col min="4613" max="4613" width="15.5703125" bestFit="1" customWidth="1"/>
    <col min="4614" max="4614" width="17.42578125" bestFit="1" customWidth="1"/>
    <col min="4615" max="4615" width="0" hidden="1" customWidth="1"/>
    <col min="4616" max="4616" width="18" bestFit="1" customWidth="1"/>
    <col min="4617" max="4617" width="15.42578125" bestFit="1" customWidth="1"/>
    <col min="4618" max="4618" width="17.42578125" bestFit="1" customWidth="1"/>
    <col min="4619" max="4619" width="5.5703125" bestFit="1" customWidth="1"/>
    <col min="4620" max="4620" width="18.5703125" bestFit="1" customWidth="1"/>
    <col min="4621" max="4621" width="0" hidden="1" customWidth="1"/>
    <col min="4622" max="4622" width="15" bestFit="1" customWidth="1"/>
    <col min="4623" max="4623" width="15.140625" bestFit="1" customWidth="1"/>
    <col min="4624" max="4624" width="18.5703125" bestFit="1" customWidth="1"/>
    <col min="4625" max="4625" width="15.5703125" bestFit="1" customWidth="1"/>
    <col min="4626" max="4626" width="5.5703125" bestFit="1" customWidth="1"/>
    <col min="4627" max="4627" width="16" bestFit="1" customWidth="1"/>
    <col min="4628" max="4628" width="10.5703125" bestFit="1" customWidth="1"/>
    <col min="4629" max="4629" width="15.140625" bestFit="1" customWidth="1"/>
    <col min="4630" max="4630" width="14.42578125" customWidth="1"/>
    <col min="4632" max="4632" width="11.42578125" bestFit="1" customWidth="1"/>
    <col min="4867" max="4867" width="20" customWidth="1"/>
    <col min="4868" max="4868" width="18.140625" bestFit="1" customWidth="1"/>
    <col min="4869" max="4869" width="15.5703125" bestFit="1" customWidth="1"/>
    <col min="4870" max="4870" width="17.42578125" bestFit="1" customWidth="1"/>
    <col min="4871" max="4871" width="0" hidden="1" customWidth="1"/>
    <col min="4872" max="4872" width="18" bestFit="1" customWidth="1"/>
    <col min="4873" max="4873" width="15.42578125" bestFit="1" customWidth="1"/>
    <col min="4874" max="4874" width="17.42578125" bestFit="1" customWidth="1"/>
    <col min="4875" max="4875" width="5.5703125" bestFit="1" customWidth="1"/>
    <col min="4876" max="4876" width="18.5703125" bestFit="1" customWidth="1"/>
    <col min="4877" max="4877" width="0" hidden="1" customWidth="1"/>
    <col min="4878" max="4878" width="15" bestFit="1" customWidth="1"/>
    <col min="4879" max="4879" width="15.140625" bestFit="1" customWidth="1"/>
    <col min="4880" max="4880" width="18.5703125" bestFit="1" customWidth="1"/>
    <col min="4881" max="4881" width="15.5703125" bestFit="1" customWidth="1"/>
    <col min="4882" max="4882" width="5.5703125" bestFit="1" customWidth="1"/>
    <col min="4883" max="4883" width="16" bestFit="1" customWidth="1"/>
    <col min="4884" max="4884" width="10.5703125" bestFit="1" customWidth="1"/>
    <col min="4885" max="4885" width="15.140625" bestFit="1" customWidth="1"/>
    <col min="4886" max="4886" width="14.42578125" customWidth="1"/>
    <col min="4888" max="4888" width="11.42578125" bestFit="1" customWidth="1"/>
    <col min="5123" max="5123" width="20" customWidth="1"/>
    <col min="5124" max="5124" width="18.140625" bestFit="1" customWidth="1"/>
    <col min="5125" max="5125" width="15.5703125" bestFit="1" customWidth="1"/>
    <col min="5126" max="5126" width="17.42578125" bestFit="1" customWidth="1"/>
    <col min="5127" max="5127" width="0" hidden="1" customWidth="1"/>
    <col min="5128" max="5128" width="18" bestFit="1" customWidth="1"/>
    <col min="5129" max="5129" width="15.42578125" bestFit="1" customWidth="1"/>
    <col min="5130" max="5130" width="17.42578125" bestFit="1" customWidth="1"/>
    <col min="5131" max="5131" width="5.5703125" bestFit="1" customWidth="1"/>
    <col min="5132" max="5132" width="18.5703125" bestFit="1" customWidth="1"/>
    <col min="5133" max="5133" width="0" hidden="1" customWidth="1"/>
    <col min="5134" max="5134" width="15" bestFit="1" customWidth="1"/>
    <col min="5135" max="5135" width="15.140625" bestFit="1" customWidth="1"/>
    <col min="5136" max="5136" width="18.5703125" bestFit="1" customWidth="1"/>
    <col min="5137" max="5137" width="15.5703125" bestFit="1" customWidth="1"/>
    <col min="5138" max="5138" width="5.5703125" bestFit="1" customWidth="1"/>
    <col min="5139" max="5139" width="16" bestFit="1" customWidth="1"/>
    <col min="5140" max="5140" width="10.5703125" bestFit="1" customWidth="1"/>
    <col min="5141" max="5141" width="15.140625" bestFit="1" customWidth="1"/>
    <col min="5142" max="5142" width="14.42578125" customWidth="1"/>
    <col min="5144" max="5144" width="11.42578125" bestFit="1" customWidth="1"/>
    <col min="5379" max="5379" width="20" customWidth="1"/>
    <col min="5380" max="5380" width="18.140625" bestFit="1" customWidth="1"/>
    <col min="5381" max="5381" width="15.5703125" bestFit="1" customWidth="1"/>
    <col min="5382" max="5382" width="17.42578125" bestFit="1" customWidth="1"/>
    <col min="5383" max="5383" width="0" hidden="1" customWidth="1"/>
    <col min="5384" max="5384" width="18" bestFit="1" customWidth="1"/>
    <col min="5385" max="5385" width="15.42578125" bestFit="1" customWidth="1"/>
    <col min="5386" max="5386" width="17.42578125" bestFit="1" customWidth="1"/>
    <col min="5387" max="5387" width="5.5703125" bestFit="1" customWidth="1"/>
    <col min="5388" max="5388" width="18.5703125" bestFit="1" customWidth="1"/>
    <col min="5389" max="5389" width="0" hidden="1" customWidth="1"/>
    <col min="5390" max="5390" width="15" bestFit="1" customWidth="1"/>
    <col min="5391" max="5391" width="15.140625" bestFit="1" customWidth="1"/>
    <col min="5392" max="5392" width="18.5703125" bestFit="1" customWidth="1"/>
    <col min="5393" max="5393" width="15.5703125" bestFit="1" customWidth="1"/>
    <col min="5394" max="5394" width="5.5703125" bestFit="1" customWidth="1"/>
    <col min="5395" max="5395" width="16" bestFit="1" customWidth="1"/>
    <col min="5396" max="5396" width="10.5703125" bestFit="1" customWidth="1"/>
    <col min="5397" max="5397" width="15.140625" bestFit="1" customWidth="1"/>
    <col min="5398" max="5398" width="14.42578125" customWidth="1"/>
    <col min="5400" max="5400" width="11.42578125" bestFit="1" customWidth="1"/>
    <col min="5635" max="5635" width="20" customWidth="1"/>
    <col min="5636" max="5636" width="18.140625" bestFit="1" customWidth="1"/>
    <col min="5637" max="5637" width="15.5703125" bestFit="1" customWidth="1"/>
    <col min="5638" max="5638" width="17.42578125" bestFit="1" customWidth="1"/>
    <col min="5639" max="5639" width="0" hidden="1" customWidth="1"/>
    <col min="5640" max="5640" width="18" bestFit="1" customWidth="1"/>
    <col min="5641" max="5641" width="15.42578125" bestFit="1" customWidth="1"/>
    <col min="5642" max="5642" width="17.42578125" bestFit="1" customWidth="1"/>
    <col min="5643" max="5643" width="5.5703125" bestFit="1" customWidth="1"/>
    <col min="5644" max="5644" width="18.5703125" bestFit="1" customWidth="1"/>
    <col min="5645" max="5645" width="0" hidden="1" customWidth="1"/>
    <col min="5646" max="5646" width="15" bestFit="1" customWidth="1"/>
    <col min="5647" max="5647" width="15.140625" bestFit="1" customWidth="1"/>
    <col min="5648" max="5648" width="18.5703125" bestFit="1" customWidth="1"/>
    <col min="5649" max="5649" width="15.5703125" bestFit="1" customWidth="1"/>
    <col min="5650" max="5650" width="5.5703125" bestFit="1" customWidth="1"/>
    <col min="5651" max="5651" width="16" bestFit="1" customWidth="1"/>
    <col min="5652" max="5652" width="10.5703125" bestFit="1" customWidth="1"/>
    <col min="5653" max="5653" width="15.140625" bestFit="1" customWidth="1"/>
    <col min="5654" max="5654" width="14.42578125" customWidth="1"/>
    <col min="5656" max="5656" width="11.42578125" bestFit="1" customWidth="1"/>
    <col min="5891" max="5891" width="20" customWidth="1"/>
    <col min="5892" max="5892" width="18.140625" bestFit="1" customWidth="1"/>
    <col min="5893" max="5893" width="15.5703125" bestFit="1" customWidth="1"/>
    <col min="5894" max="5894" width="17.42578125" bestFit="1" customWidth="1"/>
    <col min="5895" max="5895" width="0" hidden="1" customWidth="1"/>
    <col min="5896" max="5896" width="18" bestFit="1" customWidth="1"/>
    <col min="5897" max="5897" width="15.42578125" bestFit="1" customWidth="1"/>
    <col min="5898" max="5898" width="17.42578125" bestFit="1" customWidth="1"/>
    <col min="5899" max="5899" width="5.5703125" bestFit="1" customWidth="1"/>
    <col min="5900" max="5900" width="18.5703125" bestFit="1" customWidth="1"/>
    <col min="5901" max="5901" width="0" hidden="1" customWidth="1"/>
    <col min="5902" max="5902" width="15" bestFit="1" customWidth="1"/>
    <col min="5903" max="5903" width="15.140625" bestFit="1" customWidth="1"/>
    <col min="5904" max="5904" width="18.5703125" bestFit="1" customWidth="1"/>
    <col min="5905" max="5905" width="15.5703125" bestFit="1" customWidth="1"/>
    <col min="5906" max="5906" width="5.5703125" bestFit="1" customWidth="1"/>
    <col min="5907" max="5907" width="16" bestFit="1" customWidth="1"/>
    <col min="5908" max="5908" width="10.5703125" bestFit="1" customWidth="1"/>
    <col min="5909" max="5909" width="15.140625" bestFit="1" customWidth="1"/>
    <col min="5910" max="5910" width="14.42578125" customWidth="1"/>
    <col min="5912" max="5912" width="11.42578125" bestFit="1" customWidth="1"/>
    <col min="6147" max="6147" width="20" customWidth="1"/>
    <col min="6148" max="6148" width="18.140625" bestFit="1" customWidth="1"/>
    <col min="6149" max="6149" width="15.5703125" bestFit="1" customWidth="1"/>
    <col min="6150" max="6150" width="17.42578125" bestFit="1" customWidth="1"/>
    <col min="6151" max="6151" width="0" hidden="1" customWidth="1"/>
    <col min="6152" max="6152" width="18" bestFit="1" customWidth="1"/>
    <col min="6153" max="6153" width="15.42578125" bestFit="1" customWidth="1"/>
    <col min="6154" max="6154" width="17.42578125" bestFit="1" customWidth="1"/>
    <col min="6155" max="6155" width="5.5703125" bestFit="1" customWidth="1"/>
    <col min="6156" max="6156" width="18.5703125" bestFit="1" customWidth="1"/>
    <col min="6157" max="6157" width="0" hidden="1" customWidth="1"/>
    <col min="6158" max="6158" width="15" bestFit="1" customWidth="1"/>
    <col min="6159" max="6159" width="15.140625" bestFit="1" customWidth="1"/>
    <col min="6160" max="6160" width="18.5703125" bestFit="1" customWidth="1"/>
    <col min="6161" max="6161" width="15.5703125" bestFit="1" customWidth="1"/>
    <col min="6162" max="6162" width="5.5703125" bestFit="1" customWidth="1"/>
    <col min="6163" max="6163" width="16" bestFit="1" customWidth="1"/>
    <col min="6164" max="6164" width="10.5703125" bestFit="1" customWidth="1"/>
    <col min="6165" max="6165" width="15.140625" bestFit="1" customWidth="1"/>
    <col min="6166" max="6166" width="14.42578125" customWidth="1"/>
    <col min="6168" max="6168" width="11.42578125" bestFit="1" customWidth="1"/>
    <col min="6403" max="6403" width="20" customWidth="1"/>
    <col min="6404" max="6404" width="18.140625" bestFit="1" customWidth="1"/>
    <col min="6405" max="6405" width="15.5703125" bestFit="1" customWidth="1"/>
    <col min="6406" max="6406" width="17.42578125" bestFit="1" customWidth="1"/>
    <col min="6407" max="6407" width="0" hidden="1" customWidth="1"/>
    <col min="6408" max="6408" width="18" bestFit="1" customWidth="1"/>
    <col min="6409" max="6409" width="15.42578125" bestFit="1" customWidth="1"/>
    <col min="6410" max="6410" width="17.42578125" bestFit="1" customWidth="1"/>
    <col min="6411" max="6411" width="5.5703125" bestFit="1" customWidth="1"/>
    <col min="6412" max="6412" width="18.5703125" bestFit="1" customWidth="1"/>
    <col min="6413" max="6413" width="0" hidden="1" customWidth="1"/>
    <col min="6414" max="6414" width="15" bestFit="1" customWidth="1"/>
    <col min="6415" max="6415" width="15.140625" bestFit="1" customWidth="1"/>
    <col min="6416" max="6416" width="18.5703125" bestFit="1" customWidth="1"/>
    <col min="6417" max="6417" width="15.5703125" bestFit="1" customWidth="1"/>
    <col min="6418" max="6418" width="5.5703125" bestFit="1" customWidth="1"/>
    <col min="6419" max="6419" width="16" bestFit="1" customWidth="1"/>
    <col min="6420" max="6420" width="10.5703125" bestFit="1" customWidth="1"/>
    <col min="6421" max="6421" width="15.140625" bestFit="1" customWidth="1"/>
    <col min="6422" max="6422" width="14.42578125" customWidth="1"/>
    <col min="6424" max="6424" width="11.42578125" bestFit="1" customWidth="1"/>
    <col min="6659" max="6659" width="20" customWidth="1"/>
    <col min="6660" max="6660" width="18.140625" bestFit="1" customWidth="1"/>
    <col min="6661" max="6661" width="15.5703125" bestFit="1" customWidth="1"/>
    <col min="6662" max="6662" width="17.42578125" bestFit="1" customWidth="1"/>
    <col min="6663" max="6663" width="0" hidden="1" customWidth="1"/>
    <col min="6664" max="6664" width="18" bestFit="1" customWidth="1"/>
    <col min="6665" max="6665" width="15.42578125" bestFit="1" customWidth="1"/>
    <col min="6666" max="6666" width="17.42578125" bestFit="1" customWidth="1"/>
    <col min="6667" max="6667" width="5.5703125" bestFit="1" customWidth="1"/>
    <col min="6668" max="6668" width="18.5703125" bestFit="1" customWidth="1"/>
    <col min="6669" max="6669" width="0" hidden="1" customWidth="1"/>
    <col min="6670" max="6670" width="15" bestFit="1" customWidth="1"/>
    <col min="6671" max="6671" width="15.140625" bestFit="1" customWidth="1"/>
    <col min="6672" max="6672" width="18.5703125" bestFit="1" customWidth="1"/>
    <col min="6673" max="6673" width="15.5703125" bestFit="1" customWidth="1"/>
    <col min="6674" max="6674" width="5.5703125" bestFit="1" customWidth="1"/>
    <col min="6675" max="6675" width="16" bestFit="1" customWidth="1"/>
    <col min="6676" max="6676" width="10.5703125" bestFit="1" customWidth="1"/>
    <col min="6677" max="6677" width="15.140625" bestFit="1" customWidth="1"/>
    <col min="6678" max="6678" width="14.42578125" customWidth="1"/>
    <col min="6680" max="6680" width="11.42578125" bestFit="1" customWidth="1"/>
    <col min="6915" max="6915" width="20" customWidth="1"/>
    <col min="6916" max="6916" width="18.140625" bestFit="1" customWidth="1"/>
    <col min="6917" max="6917" width="15.5703125" bestFit="1" customWidth="1"/>
    <col min="6918" max="6918" width="17.42578125" bestFit="1" customWidth="1"/>
    <col min="6919" max="6919" width="0" hidden="1" customWidth="1"/>
    <col min="6920" max="6920" width="18" bestFit="1" customWidth="1"/>
    <col min="6921" max="6921" width="15.42578125" bestFit="1" customWidth="1"/>
    <col min="6922" max="6922" width="17.42578125" bestFit="1" customWidth="1"/>
    <col min="6923" max="6923" width="5.5703125" bestFit="1" customWidth="1"/>
    <col min="6924" max="6924" width="18.5703125" bestFit="1" customWidth="1"/>
    <col min="6925" max="6925" width="0" hidden="1" customWidth="1"/>
    <col min="6926" max="6926" width="15" bestFit="1" customWidth="1"/>
    <col min="6927" max="6927" width="15.140625" bestFit="1" customWidth="1"/>
    <col min="6928" max="6928" width="18.5703125" bestFit="1" customWidth="1"/>
    <col min="6929" max="6929" width="15.5703125" bestFit="1" customWidth="1"/>
    <col min="6930" max="6930" width="5.5703125" bestFit="1" customWidth="1"/>
    <col min="6931" max="6931" width="16" bestFit="1" customWidth="1"/>
    <col min="6932" max="6932" width="10.5703125" bestFit="1" customWidth="1"/>
    <col min="6933" max="6933" width="15.140625" bestFit="1" customWidth="1"/>
    <col min="6934" max="6934" width="14.42578125" customWidth="1"/>
    <col min="6936" max="6936" width="11.42578125" bestFit="1" customWidth="1"/>
    <col min="7171" max="7171" width="20" customWidth="1"/>
    <col min="7172" max="7172" width="18.140625" bestFit="1" customWidth="1"/>
    <col min="7173" max="7173" width="15.5703125" bestFit="1" customWidth="1"/>
    <col min="7174" max="7174" width="17.42578125" bestFit="1" customWidth="1"/>
    <col min="7175" max="7175" width="0" hidden="1" customWidth="1"/>
    <col min="7176" max="7176" width="18" bestFit="1" customWidth="1"/>
    <col min="7177" max="7177" width="15.42578125" bestFit="1" customWidth="1"/>
    <col min="7178" max="7178" width="17.42578125" bestFit="1" customWidth="1"/>
    <col min="7179" max="7179" width="5.5703125" bestFit="1" customWidth="1"/>
    <col min="7180" max="7180" width="18.5703125" bestFit="1" customWidth="1"/>
    <col min="7181" max="7181" width="0" hidden="1" customWidth="1"/>
    <col min="7182" max="7182" width="15" bestFit="1" customWidth="1"/>
    <col min="7183" max="7183" width="15.140625" bestFit="1" customWidth="1"/>
    <col min="7184" max="7184" width="18.5703125" bestFit="1" customWidth="1"/>
    <col min="7185" max="7185" width="15.5703125" bestFit="1" customWidth="1"/>
    <col min="7186" max="7186" width="5.5703125" bestFit="1" customWidth="1"/>
    <col min="7187" max="7187" width="16" bestFit="1" customWidth="1"/>
    <col min="7188" max="7188" width="10.5703125" bestFit="1" customWidth="1"/>
    <col min="7189" max="7189" width="15.140625" bestFit="1" customWidth="1"/>
    <col min="7190" max="7190" width="14.42578125" customWidth="1"/>
    <col min="7192" max="7192" width="11.42578125" bestFit="1" customWidth="1"/>
    <col min="7427" max="7427" width="20" customWidth="1"/>
    <col min="7428" max="7428" width="18.140625" bestFit="1" customWidth="1"/>
    <col min="7429" max="7429" width="15.5703125" bestFit="1" customWidth="1"/>
    <col min="7430" max="7430" width="17.42578125" bestFit="1" customWidth="1"/>
    <col min="7431" max="7431" width="0" hidden="1" customWidth="1"/>
    <col min="7432" max="7432" width="18" bestFit="1" customWidth="1"/>
    <col min="7433" max="7433" width="15.42578125" bestFit="1" customWidth="1"/>
    <col min="7434" max="7434" width="17.42578125" bestFit="1" customWidth="1"/>
    <col min="7435" max="7435" width="5.5703125" bestFit="1" customWidth="1"/>
    <col min="7436" max="7436" width="18.5703125" bestFit="1" customWidth="1"/>
    <col min="7437" max="7437" width="0" hidden="1" customWidth="1"/>
    <col min="7438" max="7438" width="15" bestFit="1" customWidth="1"/>
    <col min="7439" max="7439" width="15.140625" bestFit="1" customWidth="1"/>
    <col min="7440" max="7440" width="18.5703125" bestFit="1" customWidth="1"/>
    <col min="7441" max="7441" width="15.5703125" bestFit="1" customWidth="1"/>
    <col min="7442" max="7442" width="5.5703125" bestFit="1" customWidth="1"/>
    <col min="7443" max="7443" width="16" bestFit="1" customWidth="1"/>
    <col min="7444" max="7444" width="10.5703125" bestFit="1" customWidth="1"/>
    <col min="7445" max="7445" width="15.140625" bestFit="1" customWidth="1"/>
    <col min="7446" max="7446" width="14.42578125" customWidth="1"/>
    <col min="7448" max="7448" width="11.42578125" bestFit="1" customWidth="1"/>
    <col min="7683" max="7683" width="20" customWidth="1"/>
    <col min="7684" max="7684" width="18.140625" bestFit="1" customWidth="1"/>
    <col min="7685" max="7685" width="15.5703125" bestFit="1" customWidth="1"/>
    <col min="7686" max="7686" width="17.42578125" bestFit="1" customWidth="1"/>
    <col min="7687" max="7687" width="0" hidden="1" customWidth="1"/>
    <col min="7688" max="7688" width="18" bestFit="1" customWidth="1"/>
    <col min="7689" max="7689" width="15.42578125" bestFit="1" customWidth="1"/>
    <col min="7690" max="7690" width="17.42578125" bestFit="1" customWidth="1"/>
    <col min="7691" max="7691" width="5.5703125" bestFit="1" customWidth="1"/>
    <col min="7692" max="7692" width="18.5703125" bestFit="1" customWidth="1"/>
    <col min="7693" max="7693" width="0" hidden="1" customWidth="1"/>
    <col min="7694" max="7694" width="15" bestFit="1" customWidth="1"/>
    <col min="7695" max="7695" width="15.140625" bestFit="1" customWidth="1"/>
    <col min="7696" max="7696" width="18.5703125" bestFit="1" customWidth="1"/>
    <col min="7697" max="7697" width="15.5703125" bestFit="1" customWidth="1"/>
    <col min="7698" max="7698" width="5.5703125" bestFit="1" customWidth="1"/>
    <col min="7699" max="7699" width="16" bestFit="1" customWidth="1"/>
    <col min="7700" max="7700" width="10.5703125" bestFit="1" customWidth="1"/>
    <col min="7701" max="7701" width="15.140625" bestFit="1" customWidth="1"/>
    <col min="7702" max="7702" width="14.42578125" customWidth="1"/>
    <col min="7704" max="7704" width="11.42578125" bestFit="1" customWidth="1"/>
    <col min="7939" max="7939" width="20" customWidth="1"/>
    <col min="7940" max="7940" width="18.140625" bestFit="1" customWidth="1"/>
    <col min="7941" max="7941" width="15.5703125" bestFit="1" customWidth="1"/>
    <col min="7942" max="7942" width="17.42578125" bestFit="1" customWidth="1"/>
    <col min="7943" max="7943" width="0" hidden="1" customWidth="1"/>
    <col min="7944" max="7944" width="18" bestFit="1" customWidth="1"/>
    <col min="7945" max="7945" width="15.42578125" bestFit="1" customWidth="1"/>
    <col min="7946" max="7946" width="17.42578125" bestFit="1" customWidth="1"/>
    <col min="7947" max="7947" width="5.5703125" bestFit="1" customWidth="1"/>
    <col min="7948" max="7948" width="18.5703125" bestFit="1" customWidth="1"/>
    <col min="7949" max="7949" width="0" hidden="1" customWidth="1"/>
    <col min="7950" max="7950" width="15" bestFit="1" customWidth="1"/>
    <col min="7951" max="7951" width="15.140625" bestFit="1" customWidth="1"/>
    <col min="7952" max="7952" width="18.5703125" bestFit="1" customWidth="1"/>
    <col min="7953" max="7953" width="15.5703125" bestFit="1" customWidth="1"/>
    <col min="7954" max="7954" width="5.5703125" bestFit="1" customWidth="1"/>
    <col min="7955" max="7955" width="16" bestFit="1" customWidth="1"/>
    <col min="7956" max="7956" width="10.5703125" bestFit="1" customWidth="1"/>
    <col min="7957" max="7957" width="15.140625" bestFit="1" customWidth="1"/>
    <col min="7958" max="7958" width="14.42578125" customWidth="1"/>
    <col min="7960" max="7960" width="11.42578125" bestFit="1" customWidth="1"/>
    <col min="8195" max="8195" width="20" customWidth="1"/>
    <col min="8196" max="8196" width="18.140625" bestFit="1" customWidth="1"/>
    <col min="8197" max="8197" width="15.5703125" bestFit="1" customWidth="1"/>
    <col min="8198" max="8198" width="17.42578125" bestFit="1" customWidth="1"/>
    <col min="8199" max="8199" width="0" hidden="1" customWidth="1"/>
    <col min="8200" max="8200" width="18" bestFit="1" customWidth="1"/>
    <col min="8201" max="8201" width="15.42578125" bestFit="1" customWidth="1"/>
    <col min="8202" max="8202" width="17.42578125" bestFit="1" customWidth="1"/>
    <col min="8203" max="8203" width="5.5703125" bestFit="1" customWidth="1"/>
    <col min="8204" max="8204" width="18.5703125" bestFit="1" customWidth="1"/>
    <col min="8205" max="8205" width="0" hidden="1" customWidth="1"/>
    <col min="8206" max="8206" width="15" bestFit="1" customWidth="1"/>
    <col min="8207" max="8207" width="15.140625" bestFit="1" customWidth="1"/>
    <col min="8208" max="8208" width="18.5703125" bestFit="1" customWidth="1"/>
    <col min="8209" max="8209" width="15.5703125" bestFit="1" customWidth="1"/>
    <col min="8210" max="8210" width="5.5703125" bestFit="1" customWidth="1"/>
    <col min="8211" max="8211" width="16" bestFit="1" customWidth="1"/>
    <col min="8212" max="8212" width="10.5703125" bestFit="1" customWidth="1"/>
    <col min="8213" max="8213" width="15.140625" bestFit="1" customWidth="1"/>
    <col min="8214" max="8214" width="14.42578125" customWidth="1"/>
    <col min="8216" max="8216" width="11.42578125" bestFit="1" customWidth="1"/>
    <col min="8451" max="8451" width="20" customWidth="1"/>
    <col min="8452" max="8452" width="18.140625" bestFit="1" customWidth="1"/>
    <col min="8453" max="8453" width="15.5703125" bestFit="1" customWidth="1"/>
    <col min="8454" max="8454" width="17.42578125" bestFit="1" customWidth="1"/>
    <col min="8455" max="8455" width="0" hidden="1" customWidth="1"/>
    <col min="8456" max="8456" width="18" bestFit="1" customWidth="1"/>
    <col min="8457" max="8457" width="15.42578125" bestFit="1" customWidth="1"/>
    <col min="8458" max="8458" width="17.42578125" bestFit="1" customWidth="1"/>
    <col min="8459" max="8459" width="5.5703125" bestFit="1" customWidth="1"/>
    <col min="8460" max="8460" width="18.5703125" bestFit="1" customWidth="1"/>
    <col min="8461" max="8461" width="0" hidden="1" customWidth="1"/>
    <col min="8462" max="8462" width="15" bestFit="1" customWidth="1"/>
    <col min="8463" max="8463" width="15.140625" bestFit="1" customWidth="1"/>
    <col min="8464" max="8464" width="18.5703125" bestFit="1" customWidth="1"/>
    <col min="8465" max="8465" width="15.5703125" bestFit="1" customWidth="1"/>
    <col min="8466" max="8466" width="5.5703125" bestFit="1" customWidth="1"/>
    <col min="8467" max="8467" width="16" bestFit="1" customWidth="1"/>
    <col min="8468" max="8468" width="10.5703125" bestFit="1" customWidth="1"/>
    <col min="8469" max="8469" width="15.140625" bestFit="1" customWidth="1"/>
    <col min="8470" max="8470" width="14.42578125" customWidth="1"/>
    <col min="8472" max="8472" width="11.42578125" bestFit="1" customWidth="1"/>
    <col min="8707" max="8707" width="20" customWidth="1"/>
    <col min="8708" max="8708" width="18.140625" bestFit="1" customWidth="1"/>
    <col min="8709" max="8709" width="15.5703125" bestFit="1" customWidth="1"/>
    <col min="8710" max="8710" width="17.42578125" bestFit="1" customWidth="1"/>
    <col min="8711" max="8711" width="0" hidden="1" customWidth="1"/>
    <col min="8712" max="8712" width="18" bestFit="1" customWidth="1"/>
    <col min="8713" max="8713" width="15.42578125" bestFit="1" customWidth="1"/>
    <col min="8714" max="8714" width="17.42578125" bestFit="1" customWidth="1"/>
    <col min="8715" max="8715" width="5.5703125" bestFit="1" customWidth="1"/>
    <col min="8716" max="8716" width="18.5703125" bestFit="1" customWidth="1"/>
    <col min="8717" max="8717" width="0" hidden="1" customWidth="1"/>
    <col min="8718" max="8718" width="15" bestFit="1" customWidth="1"/>
    <col min="8719" max="8719" width="15.140625" bestFit="1" customWidth="1"/>
    <col min="8720" max="8720" width="18.5703125" bestFit="1" customWidth="1"/>
    <col min="8721" max="8721" width="15.5703125" bestFit="1" customWidth="1"/>
    <col min="8722" max="8722" width="5.5703125" bestFit="1" customWidth="1"/>
    <col min="8723" max="8723" width="16" bestFit="1" customWidth="1"/>
    <col min="8724" max="8724" width="10.5703125" bestFit="1" customWidth="1"/>
    <col min="8725" max="8725" width="15.140625" bestFit="1" customWidth="1"/>
    <col min="8726" max="8726" width="14.42578125" customWidth="1"/>
    <col min="8728" max="8728" width="11.42578125" bestFit="1" customWidth="1"/>
    <col min="8963" max="8963" width="20" customWidth="1"/>
    <col min="8964" max="8964" width="18.140625" bestFit="1" customWidth="1"/>
    <col min="8965" max="8965" width="15.5703125" bestFit="1" customWidth="1"/>
    <col min="8966" max="8966" width="17.42578125" bestFit="1" customWidth="1"/>
    <col min="8967" max="8967" width="0" hidden="1" customWidth="1"/>
    <col min="8968" max="8968" width="18" bestFit="1" customWidth="1"/>
    <col min="8969" max="8969" width="15.42578125" bestFit="1" customWidth="1"/>
    <col min="8970" max="8970" width="17.42578125" bestFit="1" customWidth="1"/>
    <col min="8971" max="8971" width="5.5703125" bestFit="1" customWidth="1"/>
    <col min="8972" max="8972" width="18.5703125" bestFit="1" customWidth="1"/>
    <col min="8973" max="8973" width="0" hidden="1" customWidth="1"/>
    <col min="8974" max="8974" width="15" bestFit="1" customWidth="1"/>
    <col min="8975" max="8975" width="15.140625" bestFit="1" customWidth="1"/>
    <col min="8976" max="8976" width="18.5703125" bestFit="1" customWidth="1"/>
    <col min="8977" max="8977" width="15.5703125" bestFit="1" customWidth="1"/>
    <col min="8978" max="8978" width="5.5703125" bestFit="1" customWidth="1"/>
    <col min="8979" max="8979" width="16" bestFit="1" customWidth="1"/>
    <col min="8980" max="8980" width="10.5703125" bestFit="1" customWidth="1"/>
    <col min="8981" max="8981" width="15.140625" bestFit="1" customWidth="1"/>
    <col min="8982" max="8982" width="14.42578125" customWidth="1"/>
    <col min="8984" max="8984" width="11.42578125" bestFit="1" customWidth="1"/>
    <col min="9219" max="9219" width="20" customWidth="1"/>
    <col min="9220" max="9220" width="18.140625" bestFit="1" customWidth="1"/>
    <col min="9221" max="9221" width="15.5703125" bestFit="1" customWidth="1"/>
    <col min="9222" max="9222" width="17.42578125" bestFit="1" customWidth="1"/>
    <col min="9223" max="9223" width="0" hidden="1" customWidth="1"/>
    <col min="9224" max="9224" width="18" bestFit="1" customWidth="1"/>
    <col min="9225" max="9225" width="15.42578125" bestFit="1" customWidth="1"/>
    <col min="9226" max="9226" width="17.42578125" bestFit="1" customWidth="1"/>
    <col min="9227" max="9227" width="5.5703125" bestFit="1" customWidth="1"/>
    <col min="9228" max="9228" width="18.5703125" bestFit="1" customWidth="1"/>
    <col min="9229" max="9229" width="0" hidden="1" customWidth="1"/>
    <col min="9230" max="9230" width="15" bestFit="1" customWidth="1"/>
    <col min="9231" max="9231" width="15.140625" bestFit="1" customWidth="1"/>
    <col min="9232" max="9232" width="18.5703125" bestFit="1" customWidth="1"/>
    <col min="9233" max="9233" width="15.5703125" bestFit="1" customWidth="1"/>
    <col min="9234" max="9234" width="5.5703125" bestFit="1" customWidth="1"/>
    <col min="9235" max="9235" width="16" bestFit="1" customWidth="1"/>
    <col min="9236" max="9236" width="10.5703125" bestFit="1" customWidth="1"/>
    <col min="9237" max="9237" width="15.140625" bestFit="1" customWidth="1"/>
    <col min="9238" max="9238" width="14.42578125" customWidth="1"/>
    <col min="9240" max="9240" width="11.42578125" bestFit="1" customWidth="1"/>
    <col min="9475" max="9475" width="20" customWidth="1"/>
    <col min="9476" max="9476" width="18.140625" bestFit="1" customWidth="1"/>
    <col min="9477" max="9477" width="15.5703125" bestFit="1" customWidth="1"/>
    <col min="9478" max="9478" width="17.42578125" bestFit="1" customWidth="1"/>
    <col min="9479" max="9479" width="0" hidden="1" customWidth="1"/>
    <col min="9480" max="9480" width="18" bestFit="1" customWidth="1"/>
    <col min="9481" max="9481" width="15.42578125" bestFit="1" customWidth="1"/>
    <col min="9482" max="9482" width="17.42578125" bestFit="1" customWidth="1"/>
    <col min="9483" max="9483" width="5.5703125" bestFit="1" customWidth="1"/>
    <col min="9484" max="9484" width="18.5703125" bestFit="1" customWidth="1"/>
    <col min="9485" max="9485" width="0" hidden="1" customWidth="1"/>
    <col min="9486" max="9486" width="15" bestFit="1" customWidth="1"/>
    <col min="9487" max="9487" width="15.140625" bestFit="1" customWidth="1"/>
    <col min="9488" max="9488" width="18.5703125" bestFit="1" customWidth="1"/>
    <col min="9489" max="9489" width="15.5703125" bestFit="1" customWidth="1"/>
    <col min="9490" max="9490" width="5.5703125" bestFit="1" customWidth="1"/>
    <col min="9491" max="9491" width="16" bestFit="1" customWidth="1"/>
    <col min="9492" max="9492" width="10.5703125" bestFit="1" customWidth="1"/>
    <col min="9493" max="9493" width="15.140625" bestFit="1" customWidth="1"/>
    <col min="9494" max="9494" width="14.42578125" customWidth="1"/>
    <col min="9496" max="9496" width="11.42578125" bestFit="1" customWidth="1"/>
    <col min="9731" max="9731" width="20" customWidth="1"/>
    <col min="9732" max="9732" width="18.140625" bestFit="1" customWidth="1"/>
    <col min="9733" max="9733" width="15.5703125" bestFit="1" customWidth="1"/>
    <col min="9734" max="9734" width="17.42578125" bestFit="1" customWidth="1"/>
    <col min="9735" max="9735" width="0" hidden="1" customWidth="1"/>
    <col min="9736" max="9736" width="18" bestFit="1" customWidth="1"/>
    <col min="9737" max="9737" width="15.42578125" bestFit="1" customWidth="1"/>
    <col min="9738" max="9738" width="17.42578125" bestFit="1" customWidth="1"/>
    <col min="9739" max="9739" width="5.5703125" bestFit="1" customWidth="1"/>
    <col min="9740" max="9740" width="18.5703125" bestFit="1" customWidth="1"/>
    <col min="9741" max="9741" width="0" hidden="1" customWidth="1"/>
    <col min="9742" max="9742" width="15" bestFit="1" customWidth="1"/>
    <col min="9743" max="9743" width="15.140625" bestFit="1" customWidth="1"/>
    <col min="9744" max="9744" width="18.5703125" bestFit="1" customWidth="1"/>
    <col min="9745" max="9745" width="15.5703125" bestFit="1" customWidth="1"/>
    <col min="9746" max="9746" width="5.5703125" bestFit="1" customWidth="1"/>
    <col min="9747" max="9747" width="16" bestFit="1" customWidth="1"/>
    <col min="9748" max="9748" width="10.5703125" bestFit="1" customWidth="1"/>
    <col min="9749" max="9749" width="15.140625" bestFit="1" customWidth="1"/>
    <col min="9750" max="9750" width="14.42578125" customWidth="1"/>
    <col min="9752" max="9752" width="11.42578125" bestFit="1" customWidth="1"/>
    <col min="9987" max="9987" width="20" customWidth="1"/>
    <col min="9988" max="9988" width="18.140625" bestFit="1" customWidth="1"/>
    <col min="9989" max="9989" width="15.5703125" bestFit="1" customWidth="1"/>
    <col min="9990" max="9990" width="17.42578125" bestFit="1" customWidth="1"/>
    <col min="9991" max="9991" width="0" hidden="1" customWidth="1"/>
    <col min="9992" max="9992" width="18" bestFit="1" customWidth="1"/>
    <col min="9993" max="9993" width="15.42578125" bestFit="1" customWidth="1"/>
    <col min="9994" max="9994" width="17.42578125" bestFit="1" customWidth="1"/>
    <col min="9995" max="9995" width="5.5703125" bestFit="1" customWidth="1"/>
    <col min="9996" max="9996" width="18.5703125" bestFit="1" customWidth="1"/>
    <col min="9997" max="9997" width="0" hidden="1" customWidth="1"/>
    <col min="9998" max="9998" width="15" bestFit="1" customWidth="1"/>
    <col min="9999" max="9999" width="15.140625" bestFit="1" customWidth="1"/>
    <col min="10000" max="10000" width="18.5703125" bestFit="1" customWidth="1"/>
    <col min="10001" max="10001" width="15.5703125" bestFit="1" customWidth="1"/>
    <col min="10002" max="10002" width="5.5703125" bestFit="1" customWidth="1"/>
    <col min="10003" max="10003" width="16" bestFit="1" customWidth="1"/>
    <col min="10004" max="10004" width="10.5703125" bestFit="1" customWidth="1"/>
    <col min="10005" max="10005" width="15.140625" bestFit="1" customWidth="1"/>
    <col min="10006" max="10006" width="14.42578125" customWidth="1"/>
    <col min="10008" max="10008" width="11.42578125" bestFit="1" customWidth="1"/>
    <col min="10243" max="10243" width="20" customWidth="1"/>
    <col min="10244" max="10244" width="18.140625" bestFit="1" customWidth="1"/>
    <col min="10245" max="10245" width="15.5703125" bestFit="1" customWidth="1"/>
    <col min="10246" max="10246" width="17.42578125" bestFit="1" customWidth="1"/>
    <col min="10247" max="10247" width="0" hidden="1" customWidth="1"/>
    <col min="10248" max="10248" width="18" bestFit="1" customWidth="1"/>
    <col min="10249" max="10249" width="15.42578125" bestFit="1" customWidth="1"/>
    <col min="10250" max="10250" width="17.42578125" bestFit="1" customWidth="1"/>
    <col min="10251" max="10251" width="5.5703125" bestFit="1" customWidth="1"/>
    <col min="10252" max="10252" width="18.5703125" bestFit="1" customWidth="1"/>
    <col min="10253" max="10253" width="0" hidden="1" customWidth="1"/>
    <col min="10254" max="10254" width="15" bestFit="1" customWidth="1"/>
    <col min="10255" max="10255" width="15.140625" bestFit="1" customWidth="1"/>
    <col min="10256" max="10256" width="18.5703125" bestFit="1" customWidth="1"/>
    <col min="10257" max="10257" width="15.5703125" bestFit="1" customWidth="1"/>
    <col min="10258" max="10258" width="5.5703125" bestFit="1" customWidth="1"/>
    <col min="10259" max="10259" width="16" bestFit="1" customWidth="1"/>
    <col min="10260" max="10260" width="10.5703125" bestFit="1" customWidth="1"/>
    <col min="10261" max="10261" width="15.140625" bestFit="1" customWidth="1"/>
    <col min="10262" max="10262" width="14.42578125" customWidth="1"/>
    <col min="10264" max="10264" width="11.42578125" bestFit="1" customWidth="1"/>
    <col min="10499" max="10499" width="20" customWidth="1"/>
    <col min="10500" max="10500" width="18.140625" bestFit="1" customWidth="1"/>
    <col min="10501" max="10501" width="15.5703125" bestFit="1" customWidth="1"/>
    <col min="10502" max="10502" width="17.42578125" bestFit="1" customWidth="1"/>
    <col min="10503" max="10503" width="0" hidden="1" customWidth="1"/>
    <col min="10504" max="10504" width="18" bestFit="1" customWidth="1"/>
    <col min="10505" max="10505" width="15.42578125" bestFit="1" customWidth="1"/>
    <col min="10506" max="10506" width="17.42578125" bestFit="1" customWidth="1"/>
    <col min="10507" max="10507" width="5.5703125" bestFit="1" customWidth="1"/>
    <col min="10508" max="10508" width="18.5703125" bestFit="1" customWidth="1"/>
    <col min="10509" max="10509" width="0" hidden="1" customWidth="1"/>
    <col min="10510" max="10510" width="15" bestFit="1" customWidth="1"/>
    <col min="10511" max="10511" width="15.140625" bestFit="1" customWidth="1"/>
    <col min="10512" max="10512" width="18.5703125" bestFit="1" customWidth="1"/>
    <col min="10513" max="10513" width="15.5703125" bestFit="1" customWidth="1"/>
    <col min="10514" max="10514" width="5.5703125" bestFit="1" customWidth="1"/>
    <col min="10515" max="10515" width="16" bestFit="1" customWidth="1"/>
    <col min="10516" max="10516" width="10.5703125" bestFit="1" customWidth="1"/>
    <col min="10517" max="10517" width="15.140625" bestFit="1" customWidth="1"/>
    <col min="10518" max="10518" width="14.42578125" customWidth="1"/>
    <col min="10520" max="10520" width="11.42578125" bestFit="1" customWidth="1"/>
    <col min="10755" max="10755" width="20" customWidth="1"/>
    <col min="10756" max="10756" width="18.140625" bestFit="1" customWidth="1"/>
    <col min="10757" max="10757" width="15.5703125" bestFit="1" customWidth="1"/>
    <col min="10758" max="10758" width="17.42578125" bestFit="1" customWidth="1"/>
    <col min="10759" max="10759" width="0" hidden="1" customWidth="1"/>
    <col min="10760" max="10760" width="18" bestFit="1" customWidth="1"/>
    <col min="10761" max="10761" width="15.42578125" bestFit="1" customWidth="1"/>
    <col min="10762" max="10762" width="17.42578125" bestFit="1" customWidth="1"/>
    <col min="10763" max="10763" width="5.5703125" bestFit="1" customWidth="1"/>
    <col min="10764" max="10764" width="18.5703125" bestFit="1" customWidth="1"/>
    <col min="10765" max="10765" width="0" hidden="1" customWidth="1"/>
    <col min="10766" max="10766" width="15" bestFit="1" customWidth="1"/>
    <col min="10767" max="10767" width="15.140625" bestFit="1" customWidth="1"/>
    <col min="10768" max="10768" width="18.5703125" bestFit="1" customWidth="1"/>
    <col min="10769" max="10769" width="15.5703125" bestFit="1" customWidth="1"/>
    <col min="10770" max="10770" width="5.5703125" bestFit="1" customWidth="1"/>
    <col min="10771" max="10771" width="16" bestFit="1" customWidth="1"/>
    <col min="10772" max="10772" width="10.5703125" bestFit="1" customWidth="1"/>
    <col min="10773" max="10773" width="15.140625" bestFit="1" customWidth="1"/>
    <col min="10774" max="10774" width="14.42578125" customWidth="1"/>
    <col min="10776" max="10776" width="11.42578125" bestFit="1" customWidth="1"/>
    <col min="11011" max="11011" width="20" customWidth="1"/>
    <col min="11012" max="11012" width="18.140625" bestFit="1" customWidth="1"/>
    <col min="11013" max="11013" width="15.5703125" bestFit="1" customWidth="1"/>
    <col min="11014" max="11014" width="17.42578125" bestFit="1" customWidth="1"/>
    <col min="11015" max="11015" width="0" hidden="1" customWidth="1"/>
    <col min="11016" max="11016" width="18" bestFit="1" customWidth="1"/>
    <col min="11017" max="11017" width="15.42578125" bestFit="1" customWidth="1"/>
    <col min="11018" max="11018" width="17.42578125" bestFit="1" customWidth="1"/>
    <col min="11019" max="11019" width="5.5703125" bestFit="1" customWidth="1"/>
    <col min="11020" max="11020" width="18.5703125" bestFit="1" customWidth="1"/>
    <col min="11021" max="11021" width="0" hidden="1" customWidth="1"/>
    <col min="11022" max="11022" width="15" bestFit="1" customWidth="1"/>
    <col min="11023" max="11023" width="15.140625" bestFit="1" customWidth="1"/>
    <col min="11024" max="11024" width="18.5703125" bestFit="1" customWidth="1"/>
    <col min="11025" max="11025" width="15.5703125" bestFit="1" customWidth="1"/>
    <col min="11026" max="11026" width="5.5703125" bestFit="1" customWidth="1"/>
    <col min="11027" max="11027" width="16" bestFit="1" customWidth="1"/>
    <col min="11028" max="11028" width="10.5703125" bestFit="1" customWidth="1"/>
    <col min="11029" max="11029" width="15.140625" bestFit="1" customWidth="1"/>
    <col min="11030" max="11030" width="14.42578125" customWidth="1"/>
    <col min="11032" max="11032" width="11.42578125" bestFit="1" customWidth="1"/>
    <col min="11267" max="11267" width="20" customWidth="1"/>
    <col min="11268" max="11268" width="18.140625" bestFit="1" customWidth="1"/>
    <col min="11269" max="11269" width="15.5703125" bestFit="1" customWidth="1"/>
    <col min="11270" max="11270" width="17.42578125" bestFit="1" customWidth="1"/>
    <col min="11271" max="11271" width="0" hidden="1" customWidth="1"/>
    <col min="11272" max="11272" width="18" bestFit="1" customWidth="1"/>
    <col min="11273" max="11273" width="15.42578125" bestFit="1" customWidth="1"/>
    <col min="11274" max="11274" width="17.42578125" bestFit="1" customWidth="1"/>
    <col min="11275" max="11275" width="5.5703125" bestFit="1" customWidth="1"/>
    <col min="11276" max="11276" width="18.5703125" bestFit="1" customWidth="1"/>
    <col min="11277" max="11277" width="0" hidden="1" customWidth="1"/>
    <col min="11278" max="11278" width="15" bestFit="1" customWidth="1"/>
    <col min="11279" max="11279" width="15.140625" bestFit="1" customWidth="1"/>
    <col min="11280" max="11280" width="18.5703125" bestFit="1" customWidth="1"/>
    <col min="11281" max="11281" width="15.5703125" bestFit="1" customWidth="1"/>
    <col min="11282" max="11282" width="5.5703125" bestFit="1" customWidth="1"/>
    <col min="11283" max="11283" width="16" bestFit="1" customWidth="1"/>
    <col min="11284" max="11284" width="10.5703125" bestFit="1" customWidth="1"/>
    <col min="11285" max="11285" width="15.140625" bestFit="1" customWidth="1"/>
    <col min="11286" max="11286" width="14.42578125" customWidth="1"/>
    <col min="11288" max="11288" width="11.42578125" bestFit="1" customWidth="1"/>
    <col min="11523" max="11523" width="20" customWidth="1"/>
    <col min="11524" max="11524" width="18.140625" bestFit="1" customWidth="1"/>
    <col min="11525" max="11525" width="15.5703125" bestFit="1" customWidth="1"/>
    <col min="11526" max="11526" width="17.42578125" bestFit="1" customWidth="1"/>
    <col min="11527" max="11527" width="0" hidden="1" customWidth="1"/>
    <col min="11528" max="11528" width="18" bestFit="1" customWidth="1"/>
    <col min="11529" max="11529" width="15.42578125" bestFit="1" customWidth="1"/>
    <col min="11530" max="11530" width="17.42578125" bestFit="1" customWidth="1"/>
    <col min="11531" max="11531" width="5.5703125" bestFit="1" customWidth="1"/>
    <col min="11532" max="11532" width="18.5703125" bestFit="1" customWidth="1"/>
    <col min="11533" max="11533" width="0" hidden="1" customWidth="1"/>
    <col min="11534" max="11534" width="15" bestFit="1" customWidth="1"/>
    <col min="11535" max="11535" width="15.140625" bestFit="1" customWidth="1"/>
    <col min="11536" max="11536" width="18.5703125" bestFit="1" customWidth="1"/>
    <col min="11537" max="11537" width="15.5703125" bestFit="1" customWidth="1"/>
    <col min="11538" max="11538" width="5.5703125" bestFit="1" customWidth="1"/>
    <col min="11539" max="11539" width="16" bestFit="1" customWidth="1"/>
    <col min="11540" max="11540" width="10.5703125" bestFit="1" customWidth="1"/>
    <col min="11541" max="11541" width="15.140625" bestFit="1" customWidth="1"/>
    <col min="11542" max="11542" width="14.42578125" customWidth="1"/>
    <col min="11544" max="11544" width="11.42578125" bestFit="1" customWidth="1"/>
    <col min="11779" max="11779" width="20" customWidth="1"/>
    <col min="11780" max="11780" width="18.140625" bestFit="1" customWidth="1"/>
    <col min="11781" max="11781" width="15.5703125" bestFit="1" customWidth="1"/>
    <col min="11782" max="11782" width="17.42578125" bestFit="1" customWidth="1"/>
    <col min="11783" max="11783" width="0" hidden="1" customWidth="1"/>
    <col min="11784" max="11784" width="18" bestFit="1" customWidth="1"/>
    <col min="11785" max="11785" width="15.42578125" bestFit="1" customWidth="1"/>
    <col min="11786" max="11786" width="17.42578125" bestFit="1" customWidth="1"/>
    <col min="11787" max="11787" width="5.5703125" bestFit="1" customWidth="1"/>
    <col min="11788" max="11788" width="18.5703125" bestFit="1" customWidth="1"/>
    <col min="11789" max="11789" width="0" hidden="1" customWidth="1"/>
    <col min="11790" max="11790" width="15" bestFit="1" customWidth="1"/>
    <col min="11791" max="11791" width="15.140625" bestFit="1" customWidth="1"/>
    <col min="11792" max="11792" width="18.5703125" bestFit="1" customWidth="1"/>
    <col min="11793" max="11793" width="15.5703125" bestFit="1" customWidth="1"/>
    <col min="11794" max="11794" width="5.5703125" bestFit="1" customWidth="1"/>
    <col min="11795" max="11795" width="16" bestFit="1" customWidth="1"/>
    <col min="11796" max="11796" width="10.5703125" bestFit="1" customWidth="1"/>
    <col min="11797" max="11797" width="15.140625" bestFit="1" customWidth="1"/>
    <col min="11798" max="11798" width="14.42578125" customWidth="1"/>
    <col min="11800" max="11800" width="11.42578125" bestFit="1" customWidth="1"/>
    <col min="12035" max="12035" width="20" customWidth="1"/>
    <col min="12036" max="12036" width="18.140625" bestFit="1" customWidth="1"/>
    <col min="12037" max="12037" width="15.5703125" bestFit="1" customWidth="1"/>
    <col min="12038" max="12038" width="17.42578125" bestFit="1" customWidth="1"/>
    <col min="12039" max="12039" width="0" hidden="1" customWidth="1"/>
    <col min="12040" max="12040" width="18" bestFit="1" customWidth="1"/>
    <col min="12041" max="12041" width="15.42578125" bestFit="1" customWidth="1"/>
    <col min="12042" max="12042" width="17.42578125" bestFit="1" customWidth="1"/>
    <col min="12043" max="12043" width="5.5703125" bestFit="1" customWidth="1"/>
    <col min="12044" max="12044" width="18.5703125" bestFit="1" customWidth="1"/>
    <col min="12045" max="12045" width="0" hidden="1" customWidth="1"/>
    <col min="12046" max="12046" width="15" bestFit="1" customWidth="1"/>
    <col min="12047" max="12047" width="15.140625" bestFit="1" customWidth="1"/>
    <col min="12048" max="12048" width="18.5703125" bestFit="1" customWidth="1"/>
    <col min="12049" max="12049" width="15.5703125" bestFit="1" customWidth="1"/>
    <col min="12050" max="12050" width="5.5703125" bestFit="1" customWidth="1"/>
    <col min="12051" max="12051" width="16" bestFit="1" customWidth="1"/>
    <col min="12052" max="12052" width="10.5703125" bestFit="1" customWidth="1"/>
    <col min="12053" max="12053" width="15.140625" bestFit="1" customWidth="1"/>
    <col min="12054" max="12054" width="14.42578125" customWidth="1"/>
    <col min="12056" max="12056" width="11.42578125" bestFit="1" customWidth="1"/>
    <col min="12291" max="12291" width="20" customWidth="1"/>
    <col min="12292" max="12292" width="18.140625" bestFit="1" customWidth="1"/>
    <col min="12293" max="12293" width="15.5703125" bestFit="1" customWidth="1"/>
    <col min="12294" max="12294" width="17.42578125" bestFit="1" customWidth="1"/>
    <col min="12295" max="12295" width="0" hidden="1" customWidth="1"/>
    <col min="12296" max="12296" width="18" bestFit="1" customWidth="1"/>
    <col min="12297" max="12297" width="15.42578125" bestFit="1" customWidth="1"/>
    <col min="12298" max="12298" width="17.42578125" bestFit="1" customWidth="1"/>
    <col min="12299" max="12299" width="5.5703125" bestFit="1" customWidth="1"/>
    <col min="12300" max="12300" width="18.5703125" bestFit="1" customWidth="1"/>
    <col min="12301" max="12301" width="0" hidden="1" customWidth="1"/>
    <col min="12302" max="12302" width="15" bestFit="1" customWidth="1"/>
    <col min="12303" max="12303" width="15.140625" bestFit="1" customWidth="1"/>
    <col min="12304" max="12304" width="18.5703125" bestFit="1" customWidth="1"/>
    <col min="12305" max="12305" width="15.5703125" bestFit="1" customWidth="1"/>
    <col min="12306" max="12306" width="5.5703125" bestFit="1" customWidth="1"/>
    <col min="12307" max="12307" width="16" bestFit="1" customWidth="1"/>
    <col min="12308" max="12308" width="10.5703125" bestFit="1" customWidth="1"/>
    <col min="12309" max="12309" width="15.140625" bestFit="1" customWidth="1"/>
    <col min="12310" max="12310" width="14.42578125" customWidth="1"/>
    <col min="12312" max="12312" width="11.42578125" bestFit="1" customWidth="1"/>
    <col min="12547" max="12547" width="20" customWidth="1"/>
    <col min="12548" max="12548" width="18.140625" bestFit="1" customWidth="1"/>
    <col min="12549" max="12549" width="15.5703125" bestFit="1" customWidth="1"/>
    <col min="12550" max="12550" width="17.42578125" bestFit="1" customWidth="1"/>
    <col min="12551" max="12551" width="0" hidden="1" customWidth="1"/>
    <col min="12552" max="12552" width="18" bestFit="1" customWidth="1"/>
    <col min="12553" max="12553" width="15.42578125" bestFit="1" customWidth="1"/>
    <col min="12554" max="12554" width="17.42578125" bestFit="1" customWidth="1"/>
    <col min="12555" max="12555" width="5.5703125" bestFit="1" customWidth="1"/>
    <col min="12556" max="12556" width="18.5703125" bestFit="1" customWidth="1"/>
    <col min="12557" max="12557" width="0" hidden="1" customWidth="1"/>
    <col min="12558" max="12558" width="15" bestFit="1" customWidth="1"/>
    <col min="12559" max="12559" width="15.140625" bestFit="1" customWidth="1"/>
    <col min="12560" max="12560" width="18.5703125" bestFit="1" customWidth="1"/>
    <col min="12561" max="12561" width="15.5703125" bestFit="1" customWidth="1"/>
    <col min="12562" max="12562" width="5.5703125" bestFit="1" customWidth="1"/>
    <col min="12563" max="12563" width="16" bestFit="1" customWidth="1"/>
    <col min="12564" max="12564" width="10.5703125" bestFit="1" customWidth="1"/>
    <col min="12565" max="12565" width="15.140625" bestFit="1" customWidth="1"/>
    <col min="12566" max="12566" width="14.42578125" customWidth="1"/>
    <col min="12568" max="12568" width="11.42578125" bestFit="1" customWidth="1"/>
    <col min="12803" max="12803" width="20" customWidth="1"/>
    <col min="12804" max="12804" width="18.140625" bestFit="1" customWidth="1"/>
    <col min="12805" max="12805" width="15.5703125" bestFit="1" customWidth="1"/>
    <col min="12806" max="12806" width="17.42578125" bestFit="1" customWidth="1"/>
    <col min="12807" max="12807" width="0" hidden="1" customWidth="1"/>
    <col min="12808" max="12808" width="18" bestFit="1" customWidth="1"/>
    <col min="12809" max="12809" width="15.42578125" bestFit="1" customWidth="1"/>
    <col min="12810" max="12810" width="17.42578125" bestFit="1" customWidth="1"/>
    <col min="12811" max="12811" width="5.5703125" bestFit="1" customWidth="1"/>
    <col min="12812" max="12812" width="18.5703125" bestFit="1" customWidth="1"/>
    <col min="12813" max="12813" width="0" hidden="1" customWidth="1"/>
    <col min="12814" max="12814" width="15" bestFit="1" customWidth="1"/>
    <col min="12815" max="12815" width="15.140625" bestFit="1" customWidth="1"/>
    <col min="12816" max="12816" width="18.5703125" bestFit="1" customWidth="1"/>
    <col min="12817" max="12817" width="15.5703125" bestFit="1" customWidth="1"/>
    <col min="12818" max="12818" width="5.5703125" bestFit="1" customWidth="1"/>
    <col min="12819" max="12819" width="16" bestFit="1" customWidth="1"/>
    <col min="12820" max="12820" width="10.5703125" bestFit="1" customWidth="1"/>
    <col min="12821" max="12821" width="15.140625" bestFit="1" customWidth="1"/>
    <col min="12822" max="12822" width="14.42578125" customWidth="1"/>
    <col min="12824" max="12824" width="11.42578125" bestFit="1" customWidth="1"/>
    <col min="13059" max="13059" width="20" customWidth="1"/>
    <col min="13060" max="13060" width="18.140625" bestFit="1" customWidth="1"/>
    <col min="13061" max="13061" width="15.5703125" bestFit="1" customWidth="1"/>
    <col min="13062" max="13062" width="17.42578125" bestFit="1" customWidth="1"/>
    <col min="13063" max="13063" width="0" hidden="1" customWidth="1"/>
    <col min="13064" max="13064" width="18" bestFit="1" customWidth="1"/>
    <col min="13065" max="13065" width="15.42578125" bestFit="1" customWidth="1"/>
    <col min="13066" max="13066" width="17.42578125" bestFit="1" customWidth="1"/>
    <col min="13067" max="13067" width="5.5703125" bestFit="1" customWidth="1"/>
    <col min="13068" max="13068" width="18.5703125" bestFit="1" customWidth="1"/>
    <col min="13069" max="13069" width="0" hidden="1" customWidth="1"/>
    <col min="13070" max="13070" width="15" bestFit="1" customWidth="1"/>
    <col min="13071" max="13071" width="15.140625" bestFit="1" customWidth="1"/>
    <col min="13072" max="13072" width="18.5703125" bestFit="1" customWidth="1"/>
    <col min="13073" max="13073" width="15.5703125" bestFit="1" customWidth="1"/>
    <col min="13074" max="13074" width="5.5703125" bestFit="1" customWidth="1"/>
    <col min="13075" max="13075" width="16" bestFit="1" customWidth="1"/>
    <col min="13076" max="13076" width="10.5703125" bestFit="1" customWidth="1"/>
    <col min="13077" max="13077" width="15.140625" bestFit="1" customWidth="1"/>
    <col min="13078" max="13078" width="14.42578125" customWidth="1"/>
    <col min="13080" max="13080" width="11.42578125" bestFit="1" customWidth="1"/>
    <col min="13315" max="13315" width="20" customWidth="1"/>
    <col min="13316" max="13316" width="18.140625" bestFit="1" customWidth="1"/>
    <col min="13317" max="13317" width="15.5703125" bestFit="1" customWidth="1"/>
    <col min="13318" max="13318" width="17.42578125" bestFit="1" customWidth="1"/>
    <col min="13319" max="13319" width="0" hidden="1" customWidth="1"/>
    <col min="13320" max="13320" width="18" bestFit="1" customWidth="1"/>
    <col min="13321" max="13321" width="15.42578125" bestFit="1" customWidth="1"/>
    <col min="13322" max="13322" width="17.42578125" bestFit="1" customWidth="1"/>
    <col min="13323" max="13323" width="5.5703125" bestFit="1" customWidth="1"/>
    <col min="13324" max="13324" width="18.5703125" bestFit="1" customWidth="1"/>
    <col min="13325" max="13325" width="0" hidden="1" customWidth="1"/>
    <col min="13326" max="13326" width="15" bestFit="1" customWidth="1"/>
    <col min="13327" max="13327" width="15.140625" bestFit="1" customWidth="1"/>
    <col min="13328" max="13328" width="18.5703125" bestFit="1" customWidth="1"/>
    <col min="13329" max="13329" width="15.5703125" bestFit="1" customWidth="1"/>
    <col min="13330" max="13330" width="5.5703125" bestFit="1" customWidth="1"/>
    <col min="13331" max="13331" width="16" bestFit="1" customWidth="1"/>
    <col min="13332" max="13332" width="10.5703125" bestFit="1" customWidth="1"/>
    <col min="13333" max="13333" width="15.140625" bestFit="1" customWidth="1"/>
    <col min="13334" max="13334" width="14.42578125" customWidth="1"/>
    <col min="13336" max="13336" width="11.42578125" bestFit="1" customWidth="1"/>
    <col min="13571" max="13571" width="20" customWidth="1"/>
    <col min="13572" max="13572" width="18.140625" bestFit="1" customWidth="1"/>
    <col min="13573" max="13573" width="15.5703125" bestFit="1" customWidth="1"/>
    <col min="13574" max="13574" width="17.42578125" bestFit="1" customWidth="1"/>
    <col min="13575" max="13575" width="0" hidden="1" customWidth="1"/>
    <col min="13576" max="13576" width="18" bestFit="1" customWidth="1"/>
    <col min="13577" max="13577" width="15.42578125" bestFit="1" customWidth="1"/>
    <col min="13578" max="13578" width="17.42578125" bestFit="1" customWidth="1"/>
    <col min="13579" max="13579" width="5.5703125" bestFit="1" customWidth="1"/>
    <col min="13580" max="13580" width="18.5703125" bestFit="1" customWidth="1"/>
    <col min="13581" max="13581" width="0" hidden="1" customWidth="1"/>
    <col min="13582" max="13582" width="15" bestFit="1" customWidth="1"/>
    <col min="13583" max="13583" width="15.140625" bestFit="1" customWidth="1"/>
    <col min="13584" max="13584" width="18.5703125" bestFit="1" customWidth="1"/>
    <col min="13585" max="13585" width="15.5703125" bestFit="1" customWidth="1"/>
    <col min="13586" max="13586" width="5.5703125" bestFit="1" customWidth="1"/>
    <col min="13587" max="13587" width="16" bestFit="1" customWidth="1"/>
    <col min="13588" max="13588" width="10.5703125" bestFit="1" customWidth="1"/>
    <col min="13589" max="13589" width="15.140625" bestFit="1" customWidth="1"/>
    <col min="13590" max="13590" width="14.42578125" customWidth="1"/>
    <col min="13592" max="13592" width="11.42578125" bestFit="1" customWidth="1"/>
    <col min="13827" max="13827" width="20" customWidth="1"/>
    <col min="13828" max="13828" width="18.140625" bestFit="1" customWidth="1"/>
    <col min="13829" max="13829" width="15.5703125" bestFit="1" customWidth="1"/>
    <col min="13830" max="13830" width="17.42578125" bestFit="1" customWidth="1"/>
    <col min="13831" max="13831" width="0" hidden="1" customWidth="1"/>
    <col min="13832" max="13832" width="18" bestFit="1" customWidth="1"/>
    <col min="13833" max="13833" width="15.42578125" bestFit="1" customWidth="1"/>
    <col min="13834" max="13834" width="17.42578125" bestFit="1" customWidth="1"/>
    <col min="13835" max="13835" width="5.5703125" bestFit="1" customWidth="1"/>
    <col min="13836" max="13836" width="18.5703125" bestFit="1" customWidth="1"/>
    <col min="13837" max="13837" width="0" hidden="1" customWidth="1"/>
    <col min="13838" max="13838" width="15" bestFit="1" customWidth="1"/>
    <col min="13839" max="13839" width="15.140625" bestFit="1" customWidth="1"/>
    <col min="13840" max="13840" width="18.5703125" bestFit="1" customWidth="1"/>
    <col min="13841" max="13841" width="15.5703125" bestFit="1" customWidth="1"/>
    <col min="13842" max="13842" width="5.5703125" bestFit="1" customWidth="1"/>
    <col min="13843" max="13843" width="16" bestFit="1" customWidth="1"/>
    <col min="13844" max="13844" width="10.5703125" bestFit="1" customWidth="1"/>
    <col min="13845" max="13845" width="15.140625" bestFit="1" customWidth="1"/>
    <col min="13846" max="13846" width="14.42578125" customWidth="1"/>
    <col min="13848" max="13848" width="11.42578125" bestFit="1" customWidth="1"/>
    <col min="14083" max="14083" width="20" customWidth="1"/>
    <col min="14084" max="14084" width="18.140625" bestFit="1" customWidth="1"/>
    <col min="14085" max="14085" width="15.5703125" bestFit="1" customWidth="1"/>
    <col min="14086" max="14086" width="17.42578125" bestFit="1" customWidth="1"/>
    <col min="14087" max="14087" width="0" hidden="1" customWidth="1"/>
    <col min="14088" max="14088" width="18" bestFit="1" customWidth="1"/>
    <col min="14089" max="14089" width="15.42578125" bestFit="1" customWidth="1"/>
    <col min="14090" max="14090" width="17.42578125" bestFit="1" customWidth="1"/>
    <col min="14091" max="14091" width="5.5703125" bestFit="1" customWidth="1"/>
    <col min="14092" max="14092" width="18.5703125" bestFit="1" customWidth="1"/>
    <col min="14093" max="14093" width="0" hidden="1" customWidth="1"/>
    <col min="14094" max="14094" width="15" bestFit="1" customWidth="1"/>
    <col min="14095" max="14095" width="15.140625" bestFit="1" customWidth="1"/>
    <col min="14096" max="14096" width="18.5703125" bestFit="1" customWidth="1"/>
    <col min="14097" max="14097" width="15.5703125" bestFit="1" customWidth="1"/>
    <col min="14098" max="14098" width="5.5703125" bestFit="1" customWidth="1"/>
    <col min="14099" max="14099" width="16" bestFit="1" customWidth="1"/>
    <col min="14100" max="14100" width="10.5703125" bestFit="1" customWidth="1"/>
    <col min="14101" max="14101" width="15.140625" bestFit="1" customWidth="1"/>
    <col min="14102" max="14102" width="14.42578125" customWidth="1"/>
    <col min="14104" max="14104" width="11.42578125" bestFit="1" customWidth="1"/>
    <col min="14339" max="14339" width="20" customWidth="1"/>
    <col min="14340" max="14340" width="18.140625" bestFit="1" customWidth="1"/>
    <col min="14341" max="14341" width="15.5703125" bestFit="1" customWidth="1"/>
    <col min="14342" max="14342" width="17.42578125" bestFit="1" customWidth="1"/>
    <col min="14343" max="14343" width="0" hidden="1" customWidth="1"/>
    <col min="14344" max="14344" width="18" bestFit="1" customWidth="1"/>
    <col min="14345" max="14345" width="15.42578125" bestFit="1" customWidth="1"/>
    <col min="14346" max="14346" width="17.42578125" bestFit="1" customWidth="1"/>
    <col min="14347" max="14347" width="5.5703125" bestFit="1" customWidth="1"/>
    <col min="14348" max="14348" width="18.5703125" bestFit="1" customWidth="1"/>
    <col min="14349" max="14349" width="0" hidden="1" customWidth="1"/>
    <col min="14350" max="14350" width="15" bestFit="1" customWidth="1"/>
    <col min="14351" max="14351" width="15.140625" bestFit="1" customWidth="1"/>
    <col min="14352" max="14352" width="18.5703125" bestFit="1" customWidth="1"/>
    <col min="14353" max="14353" width="15.5703125" bestFit="1" customWidth="1"/>
    <col min="14354" max="14354" width="5.5703125" bestFit="1" customWidth="1"/>
    <col min="14355" max="14355" width="16" bestFit="1" customWidth="1"/>
    <col min="14356" max="14356" width="10.5703125" bestFit="1" customWidth="1"/>
    <col min="14357" max="14357" width="15.140625" bestFit="1" customWidth="1"/>
    <col min="14358" max="14358" width="14.42578125" customWidth="1"/>
    <col min="14360" max="14360" width="11.42578125" bestFit="1" customWidth="1"/>
    <col min="14595" max="14595" width="20" customWidth="1"/>
    <col min="14596" max="14596" width="18.140625" bestFit="1" customWidth="1"/>
    <col min="14597" max="14597" width="15.5703125" bestFit="1" customWidth="1"/>
    <col min="14598" max="14598" width="17.42578125" bestFit="1" customWidth="1"/>
    <col min="14599" max="14599" width="0" hidden="1" customWidth="1"/>
    <col min="14600" max="14600" width="18" bestFit="1" customWidth="1"/>
    <col min="14601" max="14601" width="15.42578125" bestFit="1" customWidth="1"/>
    <col min="14602" max="14602" width="17.42578125" bestFit="1" customWidth="1"/>
    <col min="14603" max="14603" width="5.5703125" bestFit="1" customWidth="1"/>
    <col min="14604" max="14604" width="18.5703125" bestFit="1" customWidth="1"/>
    <col min="14605" max="14605" width="0" hidden="1" customWidth="1"/>
    <col min="14606" max="14606" width="15" bestFit="1" customWidth="1"/>
    <col min="14607" max="14607" width="15.140625" bestFit="1" customWidth="1"/>
    <col min="14608" max="14608" width="18.5703125" bestFit="1" customWidth="1"/>
    <col min="14609" max="14609" width="15.5703125" bestFit="1" customWidth="1"/>
    <col min="14610" max="14610" width="5.5703125" bestFit="1" customWidth="1"/>
    <col min="14611" max="14611" width="16" bestFit="1" customWidth="1"/>
    <col min="14612" max="14612" width="10.5703125" bestFit="1" customWidth="1"/>
    <col min="14613" max="14613" width="15.140625" bestFit="1" customWidth="1"/>
    <col min="14614" max="14614" width="14.42578125" customWidth="1"/>
    <col min="14616" max="14616" width="11.42578125" bestFit="1" customWidth="1"/>
    <col min="14851" max="14851" width="20" customWidth="1"/>
    <col min="14852" max="14852" width="18.140625" bestFit="1" customWidth="1"/>
    <col min="14853" max="14853" width="15.5703125" bestFit="1" customWidth="1"/>
    <col min="14854" max="14854" width="17.42578125" bestFit="1" customWidth="1"/>
    <col min="14855" max="14855" width="0" hidden="1" customWidth="1"/>
    <col min="14856" max="14856" width="18" bestFit="1" customWidth="1"/>
    <col min="14857" max="14857" width="15.42578125" bestFit="1" customWidth="1"/>
    <col min="14858" max="14858" width="17.42578125" bestFit="1" customWidth="1"/>
    <col min="14859" max="14859" width="5.5703125" bestFit="1" customWidth="1"/>
    <col min="14860" max="14860" width="18.5703125" bestFit="1" customWidth="1"/>
    <col min="14861" max="14861" width="0" hidden="1" customWidth="1"/>
    <col min="14862" max="14862" width="15" bestFit="1" customWidth="1"/>
    <col min="14863" max="14863" width="15.140625" bestFit="1" customWidth="1"/>
    <col min="14864" max="14864" width="18.5703125" bestFit="1" customWidth="1"/>
    <col min="14865" max="14865" width="15.5703125" bestFit="1" customWidth="1"/>
    <col min="14866" max="14866" width="5.5703125" bestFit="1" customWidth="1"/>
    <col min="14867" max="14867" width="16" bestFit="1" customWidth="1"/>
    <col min="14868" max="14868" width="10.5703125" bestFit="1" customWidth="1"/>
    <col min="14869" max="14869" width="15.140625" bestFit="1" customWidth="1"/>
    <col min="14870" max="14870" width="14.42578125" customWidth="1"/>
    <col min="14872" max="14872" width="11.42578125" bestFit="1" customWidth="1"/>
    <col min="15107" max="15107" width="20" customWidth="1"/>
    <col min="15108" max="15108" width="18.140625" bestFit="1" customWidth="1"/>
    <col min="15109" max="15109" width="15.5703125" bestFit="1" customWidth="1"/>
    <col min="15110" max="15110" width="17.42578125" bestFit="1" customWidth="1"/>
    <col min="15111" max="15111" width="0" hidden="1" customWidth="1"/>
    <col min="15112" max="15112" width="18" bestFit="1" customWidth="1"/>
    <col min="15113" max="15113" width="15.42578125" bestFit="1" customWidth="1"/>
    <col min="15114" max="15114" width="17.42578125" bestFit="1" customWidth="1"/>
    <col min="15115" max="15115" width="5.5703125" bestFit="1" customWidth="1"/>
    <col min="15116" max="15116" width="18.5703125" bestFit="1" customWidth="1"/>
    <col min="15117" max="15117" width="0" hidden="1" customWidth="1"/>
    <col min="15118" max="15118" width="15" bestFit="1" customWidth="1"/>
    <col min="15119" max="15119" width="15.140625" bestFit="1" customWidth="1"/>
    <col min="15120" max="15120" width="18.5703125" bestFit="1" customWidth="1"/>
    <col min="15121" max="15121" width="15.5703125" bestFit="1" customWidth="1"/>
    <col min="15122" max="15122" width="5.5703125" bestFit="1" customWidth="1"/>
    <col min="15123" max="15123" width="16" bestFit="1" customWidth="1"/>
    <col min="15124" max="15124" width="10.5703125" bestFit="1" customWidth="1"/>
    <col min="15125" max="15125" width="15.140625" bestFit="1" customWidth="1"/>
    <col min="15126" max="15126" width="14.42578125" customWidth="1"/>
    <col min="15128" max="15128" width="11.42578125" bestFit="1" customWidth="1"/>
    <col min="15363" max="15363" width="20" customWidth="1"/>
    <col min="15364" max="15364" width="18.140625" bestFit="1" customWidth="1"/>
    <col min="15365" max="15365" width="15.5703125" bestFit="1" customWidth="1"/>
    <col min="15366" max="15366" width="17.42578125" bestFit="1" customWidth="1"/>
    <col min="15367" max="15367" width="0" hidden="1" customWidth="1"/>
    <col min="15368" max="15368" width="18" bestFit="1" customWidth="1"/>
    <col min="15369" max="15369" width="15.42578125" bestFit="1" customWidth="1"/>
    <col min="15370" max="15370" width="17.42578125" bestFit="1" customWidth="1"/>
    <col min="15371" max="15371" width="5.5703125" bestFit="1" customWidth="1"/>
    <col min="15372" max="15372" width="18.5703125" bestFit="1" customWidth="1"/>
    <col min="15373" max="15373" width="0" hidden="1" customWidth="1"/>
    <col min="15374" max="15374" width="15" bestFit="1" customWidth="1"/>
    <col min="15375" max="15375" width="15.140625" bestFit="1" customWidth="1"/>
    <col min="15376" max="15376" width="18.5703125" bestFit="1" customWidth="1"/>
    <col min="15377" max="15377" width="15.5703125" bestFit="1" customWidth="1"/>
    <col min="15378" max="15378" width="5.5703125" bestFit="1" customWidth="1"/>
    <col min="15379" max="15379" width="16" bestFit="1" customWidth="1"/>
    <col min="15380" max="15380" width="10.5703125" bestFit="1" customWidth="1"/>
    <col min="15381" max="15381" width="15.140625" bestFit="1" customWidth="1"/>
    <col min="15382" max="15382" width="14.42578125" customWidth="1"/>
    <col min="15384" max="15384" width="11.42578125" bestFit="1" customWidth="1"/>
    <col min="15619" max="15619" width="20" customWidth="1"/>
    <col min="15620" max="15620" width="18.140625" bestFit="1" customWidth="1"/>
    <col min="15621" max="15621" width="15.5703125" bestFit="1" customWidth="1"/>
    <col min="15622" max="15622" width="17.42578125" bestFit="1" customWidth="1"/>
    <col min="15623" max="15623" width="0" hidden="1" customWidth="1"/>
    <col min="15624" max="15624" width="18" bestFit="1" customWidth="1"/>
    <col min="15625" max="15625" width="15.42578125" bestFit="1" customWidth="1"/>
    <col min="15626" max="15626" width="17.42578125" bestFit="1" customWidth="1"/>
    <col min="15627" max="15627" width="5.5703125" bestFit="1" customWidth="1"/>
    <col min="15628" max="15628" width="18.5703125" bestFit="1" customWidth="1"/>
    <col min="15629" max="15629" width="0" hidden="1" customWidth="1"/>
    <col min="15630" max="15630" width="15" bestFit="1" customWidth="1"/>
    <col min="15631" max="15631" width="15.140625" bestFit="1" customWidth="1"/>
    <col min="15632" max="15632" width="18.5703125" bestFit="1" customWidth="1"/>
    <col min="15633" max="15633" width="15.5703125" bestFit="1" customWidth="1"/>
    <col min="15634" max="15634" width="5.5703125" bestFit="1" customWidth="1"/>
    <col min="15635" max="15635" width="16" bestFit="1" customWidth="1"/>
    <col min="15636" max="15636" width="10.5703125" bestFit="1" customWidth="1"/>
    <col min="15637" max="15637" width="15.140625" bestFit="1" customWidth="1"/>
    <col min="15638" max="15638" width="14.42578125" customWidth="1"/>
    <col min="15640" max="15640" width="11.42578125" bestFit="1" customWidth="1"/>
    <col min="15875" max="15875" width="20" customWidth="1"/>
    <col min="15876" max="15876" width="18.140625" bestFit="1" customWidth="1"/>
    <col min="15877" max="15877" width="15.5703125" bestFit="1" customWidth="1"/>
    <col min="15878" max="15878" width="17.42578125" bestFit="1" customWidth="1"/>
    <col min="15879" max="15879" width="0" hidden="1" customWidth="1"/>
    <col min="15880" max="15880" width="18" bestFit="1" customWidth="1"/>
    <col min="15881" max="15881" width="15.42578125" bestFit="1" customWidth="1"/>
    <col min="15882" max="15882" width="17.42578125" bestFit="1" customWidth="1"/>
    <col min="15883" max="15883" width="5.5703125" bestFit="1" customWidth="1"/>
    <col min="15884" max="15884" width="18.5703125" bestFit="1" customWidth="1"/>
    <col min="15885" max="15885" width="0" hidden="1" customWidth="1"/>
    <col min="15886" max="15886" width="15" bestFit="1" customWidth="1"/>
    <col min="15887" max="15887" width="15.140625" bestFit="1" customWidth="1"/>
    <col min="15888" max="15888" width="18.5703125" bestFit="1" customWidth="1"/>
    <col min="15889" max="15889" width="15.5703125" bestFit="1" customWidth="1"/>
    <col min="15890" max="15890" width="5.5703125" bestFit="1" customWidth="1"/>
    <col min="15891" max="15891" width="16" bestFit="1" customWidth="1"/>
    <col min="15892" max="15892" width="10.5703125" bestFit="1" customWidth="1"/>
    <col min="15893" max="15893" width="15.140625" bestFit="1" customWidth="1"/>
    <col min="15894" max="15894" width="14.42578125" customWidth="1"/>
    <col min="15896" max="15896" width="11.42578125" bestFit="1" customWidth="1"/>
    <col min="16131" max="16131" width="20" customWidth="1"/>
    <col min="16132" max="16132" width="18.140625" bestFit="1" customWidth="1"/>
    <col min="16133" max="16133" width="15.5703125" bestFit="1" customWidth="1"/>
    <col min="16134" max="16134" width="17.42578125" bestFit="1" customWidth="1"/>
    <col min="16135" max="16135" width="0" hidden="1" customWidth="1"/>
    <col min="16136" max="16136" width="18" bestFit="1" customWidth="1"/>
    <col min="16137" max="16137" width="15.42578125" bestFit="1" customWidth="1"/>
    <col min="16138" max="16138" width="17.42578125" bestFit="1" customWidth="1"/>
    <col min="16139" max="16139" width="5.5703125" bestFit="1" customWidth="1"/>
    <col min="16140" max="16140" width="18.5703125" bestFit="1" customWidth="1"/>
    <col min="16141" max="16141" width="0" hidden="1" customWidth="1"/>
    <col min="16142" max="16142" width="15" bestFit="1" customWidth="1"/>
    <col min="16143" max="16143" width="15.140625" bestFit="1" customWidth="1"/>
    <col min="16144" max="16144" width="18.5703125" bestFit="1" customWidth="1"/>
    <col min="16145" max="16145" width="15.5703125" bestFit="1" customWidth="1"/>
    <col min="16146" max="16146" width="5.5703125" bestFit="1" customWidth="1"/>
    <col min="16147" max="16147" width="16" bestFit="1" customWidth="1"/>
    <col min="16148" max="16148" width="10.5703125" bestFit="1" customWidth="1"/>
    <col min="16149" max="16149" width="15.140625" bestFit="1" customWidth="1"/>
    <col min="16150" max="16150" width="14.42578125" customWidth="1"/>
    <col min="16152" max="16152" width="11.42578125" bestFit="1" customWidth="1"/>
  </cols>
  <sheetData>
    <row r="1" spans="2:18" s="327" customFormat="1" ht="15" x14ac:dyDescent="0.25">
      <c r="B1" s="360" t="str">
        <f ca="1">MID(CELL("filename",B1),FIND("]",CELL("filename",B1))+1,255)</f>
        <v>G3. Leased asset</v>
      </c>
      <c r="H1" s="382" t="s">
        <v>810</v>
      </c>
      <c r="I1" s="382"/>
      <c r="J1" s="382"/>
      <c r="K1" s="382"/>
      <c r="L1" s="382"/>
    </row>
    <row r="2" spans="2:18" s="327" customFormat="1" x14ac:dyDescent="0.2"/>
    <row r="3" spans="2:18" s="327" customFormat="1" outlineLevel="1" x14ac:dyDescent="0.2">
      <c r="B3" s="327" t="s">
        <v>811</v>
      </c>
    </row>
    <row r="4" spans="2:18" s="327" customFormat="1" outlineLevel="1" x14ac:dyDescent="0.2">
      <c r="B4" s="320" t="s">
        <v>812</v>
      </c>
    </row>
    <row r="5" spans="2:18" outlineLevel="1" x14ac:dyDescent="0.2"/>
    <row r="6" spans="2:18" ht="90" outlineLevel="1" x14ac:dyDescent="0.25">
      <c r="B6" s="361"/>
      <c r="C6" s="361"/>
      <c r="D6" s="362" t="s">
        <v>813</v>
      </c>
      <c r="E6" s="363" t="s">
        <v>838</v>
      </c>
      <c r="F6" s="363" t="s">
        <v>1170</v>
      </c>
      <c r="G6" s="363" t="s">
        <v>1171</v>
      </c>
      <c r="H6" s="363" t="s">
        <v>1172</v>
      </c>
      <c r="I6" s="363" t="s">
        <v>1173</v>
      </c>
      <c r="J6" s="363" t="s">
        <v>1174</v>
      </c>
      <c r="K6" s="364"/>
      <c r="L6" s="363" t="s">
        <v>1175</v>
      </c>
      <c r="M6" s="363" t="s">
        <v>1176</v>
      </c>
      <c r="N6" s="363" t="s">
        <v>1173</v>
      </c>
      <c r="O6" s="363" t="s">
        <v>1177</v>
      </c>
      <c r="P6" s="363" t="s">
        <v>1178</v>
      </c>
      <c r="Q6" s="363" t="s">
        <v>1179</v>
      </c>
    </row>
    <row r="7" spans="2:18" s="375" customFormat="1" ht="15" outlineLevel="1" x14ac:dyDescent="0.25">
      <c r="B7" s="371" t="s">
        <v>839</v>
      </c>
      <c r="C7" s="371" t="s">
        <v>752</v>
      </c>
      <c r="D7" s="372">
        <v>396265.19999999995</v>
      </c>
      <c r="E7" s="372">
        <v>0</v>
      </c>
      <c r="F7" s="372">
        <v>396265.19999999995</v>
      </c>
      <c r="G7" s="372">
        <v>444445.48</v>
      </c>
      <c r="H7" s="372">
        <v>94.13</v>
      </c>
      <c r="I7" s="372">
        <v>0</v>
      </c>
      <c r="J7" s="372">
        <v>444539.61</v>
      </c>
      <c r="K7" s="373"/>
      <c r="L7" s="372">
        <v>-48180.28000000005</v>
      </c>
      <c r="M7" s="372">
        <v>-13671</v>
      </c>
      <c r="N7" s="372">
        <v>0</v>
      </c>
      <c r="O7" s="372">
        <v>-61851.28000000005</v>
      </c>
      <c r="P7" s="372">
        <f t="shared" ref="P7" si="0">J7+O7</f>
        <v>382688.32999999996</v>
      </c>
      <c r="Q7" s="372">
        <v>-11727.27</v>
      </c>
    </row>
    <row r="8" spans="2:18" ht="15" outlineLevel="1" x14ac:dyDescent="0.25">
      <c r="B8" s="361" t="s">
        <v>840</v>
      </c>
      <c r="C8" s="361" t="s">
        <v>753</v>
      </c>
      <c r="D8" s="367">
        <v>0</v>
      </c>
      <c r="E8" s="367">
        <v>0</v>
      </c>
      <c r="F8" s="367">
        <v>0</v>
      </c>
      <c r="G8" s="367">
        <v>0</v>
      </c>
      <c r="H8" s="367">
        <v>0</v>
      </c>
      <c r="I8" s="367">
        <v>0</v>
      </c>
      <c r="J8" s="367">
        <v>0</v>
      </c>
      <c r="K8" s="368"/>
      <c r="L8" s="367">
        <v>0</v>
      </c>
      <c r="M8" s="367">
        <v>0</v>
      </c>
      <c r="N8" s="367">
        <v>0</v>
      </c>
      <c r="O8" s="367">
        <v>0</v>
      </c>
      <c r="P8" s="369">
        <f t="shared" ref="P8:P9" si="1">J8+O8</f>
        <v>0</v>
      </c>
      <c r="Q8" s="367">
        <v>0</v>
      </c>
    </row>
    <row r="9" spans="2:18" ht="15" outlineLevel="1" x14ac:dyDescent="0.25">
      <c r="B9" s="361" t="s">
        <v>841</v>
      </c>
      <c r="C9" s="361" t="s">
        <v>755</v>
      </c>
      <c r="D9" s="367">
        <v>0</v>
      </c>
      <c r="E9" s="367">
        <v>0</v>
      </c>
      <c r="F9" s="367">
        <v>0</v>
      </c>
      <c r="G9" s="367">
        <v>0</v>
      </c>
      <c r="H9" s="367">
        <v>0</v>
      </c>
      <c r="I9" s="367">
        <v>0</v>
      </c>
      <c r="J9" s="367">
        <v>0</v>
      </c>
      <c r="K9" s="368"/>
      <c r="L9" s="367">
        <v>0</v>
      </c>
      <c r="M9" s="367">
        <v>0</v>
      </c>
      <c r="N9" s="367">
        <v>0</v>
      </c>
      <c r="O9" s="367">
        <v>0</v>
      </c>
      <c r="P9" s="369">
        <f t="shared" si="1"/>
        <v>0</v>
      </c>
      <c r="Q9" s="367">
        <v>0</v>
      </c>
    </row>
    <row r="10" spans="2:18" ht="15" outlineLevel="1" x14ac:dyDescent="0.25">
      <c r="B10" s="361" t="s">
        <v>842</v>
      </c>
      <c r="C10" s="361" t="s">
        <v>750</v>
      </c>
      <c r="D10" s="367">
        <v>1593942.8</v>
      </c>
      <c r="E10" s="367">
        <v>1814.8900000001304</v>
      </c>
      <c r="F10" s="320" t="s">
        <v>858</v>
      </c>
      <c r="G10" s="367">
        <v>2521839.1100000003</v>
      </c>
      <c r="H10" s="367">
        <v>236675.78999999998</v>
      </c>
      <c r="I10" s="367">
        <v>-67944.36</v>
      </c>
      <c r="J10" s="367">
        <v>2690570.5400000005</v>
      </c>
      <c r="K10" s="368"/>
      <c r="L10" s="367">
        <v>-926081.42</v>
      </c>
      <c r="M10" s="367">
        <v>-474450.54999999993</v>
      </c>
      <c r="N10" s="367">
        <v>67944.36</v>
      </c>
      <c r="O10" s="367">
        <v>-1332587.6099999999</v>
      </c>
      <c r="P10" s="367">
        <v>1357982.9300000006</v>
      </c>
      <c r="Q10" s="367">
        <v>-76657.249999999985</v>
      </c>
    </row>
    <row r="11" spans="2:18" ht="15" outlineLevel="1" x14ac:dyDescent="0.25">
      <c r="B11" s="361" t="s">
        <v>843</v>
      </c>
      <c r="C11" s="361" t="s">
        <v>754</v>
      </c>
      <c r="D11" s="370">
        <v>281973.92000000004</v>
      </c>
      <c r="E11" s="370">
        <v>-298541.75</v>
      </c>
      <c r="F11" s="370">
        <v>-16567.829999999958</v>
      </c>
      <c r="G11" s="370">
        <v>492968.54000000004</v>
      </c>
      <c r="H11" s="370">
        <v>72998.490000000005</v>
      </c>
      <c r="I11" s="370">
        <v>298541.75</v>
      </c>
      <c r="J11" s="370">
        <v>864508.78</v>
      </c>
      <c r="K11" s="368"/>
      <c r="L11" s="370">
        <v>-509536.37</v>
      </c>
      <c r="M11" s="370">
        <v>-115241.89</v>
      </c>
      <c r="N11" s="370">
        <v>0</v>
      </c>
      <c r="O11" s="370">
        <v>-624778.26</v>
      </c>
      <c r="P11" s="370">
        <v>239730.52000000002</v>
      </c>
      <c r="Q11" s="370">
        <v>-5507.43</v>
      </c>
    </row>
    <row r="12" spans="2:18" ht="15" outlineLevel="1" x14ac:dyDescent="0.25">
      <c r="B12" s="361" t="s">
        <v>844</v>
      </c>
      <c r="C12" s="361" t="s">
        <v>809</v>
      </c>
      <c r="D12" s="368">
        <v>143115.36000000002</v>
      </c>
      <c r="E12" s="368">
        <v>0</v>
      </c>
      <c r="F12" s="368">
        <v>143115.36000000002</v>
      </c>
      <c r="G12" s="368">
        <v>625400.92999999993</v>
      </c>
      <c r="H12" s="368">
        <v>190208.71000000002</v>
      </c>
      <c r="I12" s="368">
        <v>-66876.539999999994</v>
      </c>
      <c r="J12" s="368">
        <v>748733.09999999986</v>
      </c>
      <c r="L12" s="368">
        <v>-482285.56999999995</v>
      </c>
      <c r="M12" s="368">
        <v>-112589.16</v>
      </c>
      <c r="N12" s="368">
        <v>66876.539999999994</v>
      </c>
      <c r="O12" s="368">
        <v>-527998.18999999994</v>
      </c>
      <c r="P12" s="368">
        <v>220734.90999999992</v>
      </c>
      <c r="Q12" s="368">
        <v>-13718.23</v>
      </c>
    </row>
    <row r="13" spans="2:18" outlineLevel="1" x14ac:dyDescent="0.2"/>
    <row r="14" spans="2:18" x14ac:dyDescent="0.2">
      <c r="B14" s="321" t="s">
        <v>419</v>
      </c>
    </row>
    <row r="15" spans="2:18" x14ac:dyDescent="0.2">
      <c r="B15" s="327" t="s">
        <v>822</v>
      </c>
      <c r="C15" s="327"/>
      <c r="D15" s="327"/>
      <c r="E15" s="327"/>
      <c r="F15" s="327"/>
      <c r="G15" s="327"/>
      <c r="H15" s="327"/>
      <c r="I15" s="327"/>
      <c r="J15" s="327"/>
      <c r="K15" s="327"/>
      <c r="L15" s="327"/>
      <c r="M15" s="327"/>
      <c r="N15" s="327"/>
      <c r="O15" s="327"/>
      <c r="P15" s="327"/>
      <c r="Q15" s="327"/>
      <c r="R15" s="327"/>
    </row>
    <row r="16" spans="2:18" x14ac:dyDescent="0.2">
      <c r="B16" s="316" t="s">
        <v>823</v>
      </c>
      <c r="C16" s="320"/>
      <c r="D16" s="327"/>
      <c r="E16" s="327"/>
      <c r="F16" s="327"/>
      <c r="G16" s="327"/>
      <c r="H16" s="327"/>
      <c r="I16" s="327"/>
      <c r="J16" s="327"/>
      <c r="K16" s="327"/>
      <c r="L16" s="327"/>
      <c r="M16" s="327"/>
      <c r="N16" s="327"/>
      <c r="O16" s="327"/>
      <c r="P16" s="327"/>
      <c r="Q16" s="327"/>
      <c r="R16" s="327"/>
    </row>
    <row r="17" spans="2:25" x14ac:dyDescent="0.2">
      <c r="B17" s="327" t="s">
        <v>824</v>
      </c>
      <c r="C17" s="320" t="s">
        <v>825</v>
      </c>
      <c r="D17" s="327"/>
      <c r="E17" s="327"/>
      <c r="F17" s="327"/>
      <c r="G17" s="327"/>
      <c r="H17" s="327"/>
      <c r="I17" s="327"/>
      <c r="J17" s="327"/>
      <c r="K17" s="327"/>
      <c r="L17" s="327"/>
      <c r="M17" s="327"/>
      <c r="N17" s="327"/>
      <c r="O17" s="327"/>
      <c r="P17" s="327"/>
      <c r="Q17" s="327"/>
      <c r="R17" s="327"/>
    </row>
    <row r="18" spans="2:25" x14ac:dyDescent="0.2">
      <c r="B18" s="316" t="s">
        <v>826</v>
      </c>
      <c r="C18" s="320" t="s">
        <v>827</v>
      </c>
      <c r="D18" s="327"/>
      <c r="E18" s="327"/>
      <c r="F18" s="327"/>
      <c r="G18" s="327"/>
      <c r="H18" s="327"/>
      <c r="I18" s="327"/>
      <c r="J18" s="327"/>
      <c r="K18" s="327"/>
      <c r="L18" s="327"/>
      <c r="M18" s="327"/>
      <c r="N18" s="327"/>
      <c r="O18" s="327"/>
      <c r="P18" s="327"/>
      <c r="Q18" s="327"/>
      <c r="R18" s="327"/>
    </row>
    <row r="19" spans="2:25" s="327" customFormat="1" x14ac:dyDescent="0.2">
      <c r="B19" s="316" t="s">
        <v>828</v>
      </c>
      <c r="C19" s="320" t="s">
        <v>829</v>
      </c>
    </row>
    <row r="20" spans="2:25" s="327" customFormat="1" x14ac:dyDescent="0.2">
      <c r="B20" s="316" t="s">
        <v>830</v>
      </c>
      <c r="C20" s="320" t="s">
        <v>831</v>
      </c>
    </row>
    <row r="21" spans="2:25" x14ac:dyDescent="0.2">
      <c r="B21" s="316" t="s">
        <v>832</v>
      </c>
      <c r="C21" s="320" t="s">
        <v>833</v>
      </c>
    </row>
    <row r="22" spans="2:25" ht="105" x14ac:dyDescent="0.25">
      <c r="B22" s="361"/>
      <c r="C22" s="361"/>
      <c r="D22" s="362" t="s">
        <v>846</v>
      </c>
      <c r="E22" s="362" t="s">
        <v>847</v>
      </c>
      <c r="F22" s="362"/>
      <c r="G22" s="364" t="s">
        <v>814</v>
      </c>
      <c r="H22" s="364" t="s">
        <v>815</v>
      </c>
      <c r="I22" s="364" t="s">
        <v>816</v>
      </c>
      <c r="J22" s="389" t="s">
        <v>817</v>
      </c>
      <c r="L22" s="364" t="s">
        <v>818</v>
      </c>
      <c r="M22" s="364" t="s">
        <v>850</v>
      </c>
      <c r="N22" s="364" t="s">
        <v>819</v>
      </c>
      <c r="O22" s="364" t="s">
        <v>816</v>
      </c>
      <c r="P22" s="389" t="s">
        <v>820</v>
      </c>
      <c r="Q22" s="390" t="s">
        <v>845</v>
      </c>
      <c r="R22" s="365"/>
      <c r="S22" s="366" t="s">
        <v>821</v>
      </c>
    </row>
    <row r="23" spans="2:25" ht="15" x14ac:dyDescent="0.25">
      <c r="B23" s="385" t="s">
        <v>1137</v>
      </c>
      <c r="C23" s="361" t="s">
        <v>751</v>
      </c>
      <c r="D23" s="386">
        <v>0</v>
      </c>
      <c r="E23" s="386"/>
      <c r="F23" s="386"/>
      <c r="G23" s="387">
        <v>0</v>
      </c>
      <c r="H23" s="387">
        <v>183375.09</v>
      </c>
      <c r="I23" s="387">
        <v>0</v>
      </c>
      <c r="J23" s="369">
        <f t="shared" ref="J23:J28" si="2">SUM(G23:I23)</f>
        <v>183375.09</v>
      </c>
      <c r="L23" s="387">
        <v>0</v>
      </c>
      <c r="N23" s="387">
        <v>-5137.83</v>
      </c>
      <c r="O23" s="387">
        <v>0</v>
      </c>
      <c r="P23" s="387">
        <f t="shared" ref="P23:P28" si="3">SUM(L23:O23)</f>
        <v>-5137.83</v>
      </c>
      <c r="Q23" s="387">
        <f t="shared" ref="Q23:Q28" si="4">SUM(J23,P23)</f>
        <v>178237.26</v>
      </c>
      <c r="R23" s="387"/>
      <c r="S23" s="388">
        <v>-1853.59</v>
      </c>
      <c r="U23" t="s">
        <v>834</v>
      </c>
      <c r="X23" s="388"/>
    </row>
    <row r="24" spans="2:25" ht="15" x14ac:dyDescent="0.25">
      <c r="B24" s="385" t="s">
        <v>1137</v>
      </c>
      <c r="C24" s="361" t="s">
        <v>751</v>
      </c>
      <c r="D24" s="386">
        <v>178237.26</v>
      </c>
      <c r="E24" s="384"/>
      <c r="F24" s="384"/>
      <c r="G24" s="387">
        <v>183375.09</v>
      </c>
      <c r="H24" s="387">
        <v>0</v>
      </c>
      <c r="I24" s="387">
        <v>0</v>
      </c>
      <c r="J24" s="369">
        <f t="shared" si="2"/>
        <v>183375.09</v>
      </c>
      <c r="L24" s="387">
        <v>-5137.83</v>
      </c>
      <c r="N24" s="387">
        <v>-6040.8</v>
      </c>
      <c r="O24" s="387">
        <v>0</v>
      </c>
      <c r="P24" s="387">
        <f t="shared" si="3"/>
        <v>-11178.630000000001</v>
      </c>
      <c r="Q24" s="387">
        <f t="shared" si="4"/>
        <v>172196.46</v>
      </c>
      <c r="R24" s="384"/>
      <c r="S24" s="388">
        <v>-4860.25</v>
      </c>
      <c r="U24" t="s">
        <v>835</v>
      </c>
      <c r="X24" s="388"/>
    </row>
    <row r="25" spans="2:25" ht="15" x14ac:dyDescent="0.25">
      <c r="B25" s="385" t="s">
        <v>1137</v>
      </c>
      <c r="C25" s="361" t="s">
        <v>751</v>
      </c>
      <c r="D25" s="386">
        <v>172196.46000000002</v>
      </c>
      <c r="E25" s="386"/>
      <c r="F25" s="386"/>
      <c r="G25" s="386">
        <f>J24</f>
        <v>183375.09</v>
      </c>
      <c r="H25" s="386">
        <v>0</v>
      </c>
      <c r="I25" s="386">
        <v>0</v>
      </c>
      <c r="J25" s="369">
        <f t="shared" si="2"/>
        <v>183375.09</v>
      </c>
      <c r="K25" s="386">
        <v>0</v>
      </c>
      <c r="L25" s="386">
        <f>P24</f>
        <v>-11178.630000000001</v>
      </c>
      <c r="M25" s="386">
        <v>-4967.7600000000093</v>
      </c>
      <c r="N25" s="386">
        <v>-11008.56</v>
      </c>
      <c r="O25" s="386">
        <v>0</v>
      </c>
      <c r="P25" s="387">
        <f t="shared" si="3"/>
        <v>-27154.950000000012</v>
      </c>
      <c r="Q25" s="387">
        <f t="shared" si="4"/>
        <v>156220.13999999998</v>
      </c>
      <c r="R25" s="384"/>
      <c r="S25" s="388">
        <v>-4648.4400000000005</v>
      </c>
      <c r="U25" t="s">
        <v>836</v>
      </c>
      <c r="X25" s="388"/>
    </row>
    <row r="26" spans="2:25" ht="15" x14ac:dyDescent="0.25">
      <c r="B26" s="385" t="s">
        <v>1137</v>
      </c>
      <c r="C26" s="361" t="s">
        <v>751</v>
      </c>
      <c r="D26" s="386">
        <f>Q25</f>
        <v>156220.13999999998</v>
      </c>
      <c r="E26" s="384"/>
      <c r="F26" s="384"/>
      <c r="G26" s="387">
        <f>J25</f>
        <v>183375.09</v>
      </c>
      <c r="H26" s="387">
        <v>-39302.540000000008</v>
      </c>
      <c r="I26" s="387">
        <v>0</v>
      </c>
      <c r="J26" s="369">
        <f t="shared" si="2"/>
        <v>144072.54999999999</v>
      </c>
      <c r="L26" s="387">
        <f>P25</f>
        <v>-27154.950000000012</v>
      </c>
      <c r="N26" s="387">
        <v>-10698.57</v>
      </c>
      <c r="O26" s="387">
        <v>0</v>
      </c>
      <c r="P26" s="387">
        <f t="shared" si="3"/>
        <v>-37853.520000000011</v>
      </c>
      <c r="Q26" s="387">
        <f t="shared" si="4"/>
        <v>106219.02999999997</v>
      </c>
      <c r="R26" s="384"/>
      <c r="S26" s="388">
        <v>-4091.1499999999996</v>
      </c>
      <c r="U26" t="s">
        <v>837</v>
      </c>
      <c r="V26" s="343" t="str">
        <f>$B$35</f>
        <v>Note 1</v>
      </c>
      <c r="X26" s="388"/>
    </row>
    <row r="27" spans="2:25" ht="15" x14ac:dyDescent="0.25">
      <c r="B27" s="385" t="s">
        <v>1137</v>
      </c>
      <c r="C27" s="361" t="s">
        <v>751</v>
      </c>
      <c r="D27" s="386">
        <f>Q26</f>
        <v>106219.02999999997</v>
      </c>
      <c r="E27" s="384"/>
      <c r="F27" s="384"/>
      <c r="G27" s="387">
        <f>J26</f>
        <v>144072.54999999999</v>
      </c>
      <c r="H27" s="387">
        <v>300372.93</v>
      </c>
      <c r="I27" s="387">
        <v>0</v>
      </c>
      <c r="J27" s="369">
        <f t="shared" si="2"/>
        <v>444445.48</v>
      </c>
      <c r="L27" s="387">
        <f>P26</f>
        <v>-37853.520000000011</v>
      </c>
      <c r="N27" s="387">
        <v>-10326.76</v>
      </c>
      <c r="O27" s="387">
        <v>0</v>
      </c>
      <c r="P27" s="387">
        <f t="shared" si="3"/>
        <v>-48180.280000000013</v>
      </c>
      <c r="Q27" s="387">
        <f t="shared" si="4"/>
        <v>396265.19999999995</v>
      </c>
      <c r="R27" s="384"/>
      <c r="S27" s="388">
        <v>-4852.0599999999995</v>
      </c>
      <c r="U27" t="s">
        <v>730</v>
      </c>
      <c r="X27" s="388"/>
      <c r="Y27" s="343"/>
    </row>
    <row r="28" spans="2:25" ht="15" x14ac:dyDescent="0.25">
      <c r="B28" s="376" t="s">
        <v>1137</v>
      </c>
      <c r="C28" s="371" t="s">
        <v>751</v>
      </c>
      <c r="D28" s="378">
        <f>Q27</f>
        <v>396265.19999999995</v>
      </c>
      <c r="E28" s="378"/>
      <c r="F28" s="378"/>
      <c r="G28" s="378">
        <f>J27</f>
        <v>444445.48</v>
      </c>
      <c r="H28" s="378">
        <f>H7</f>
        <v>94.13</v>
      </c>
      <c r="I28" s="378">
        <f>I7</f>
        <v>0</v>
      </c>
      <c r="J28" s="374">
        <f t="shared" si="2"/>
        <v>444539.61</v>
      </c>
      <c r="L28" s="378">
        <f>P27</f>
        <v>-48180.280000000013</v>
      </c>
      <c r="M28" s="375"/>
      <c r="N28" s="378">
        <f>M7</f>
        <v>-13671</v>
      </c>
      <c r="O28" s="378">
        <f>N11</f>
        <v>0</v>
      </c>
      <c r="P28" s="378">
        <f t="shared" si="3"/>
        <v>-61851.280000000013</v>
      </c>
      <c r="Q28" s="377">
        <f t="shared" si="4"/>
        <v>382688.32999999996</v>
      </c>
      <c r="R28" s="378"/>
      <c r="S28" s="378">
        <f>Q11</f>
        <v>-5507.43</v>
      </c>
      <c r="T28" s="375"/>
      <c r="U28" s="375" t="s">
        <v>804</v>
      </c>
    </row>
    <row r="30" spans="2:25" ht="13.5" thickBot="1" x14ac:dyDescent="0.25">
      <c r="B30" s="321" t="s">
        <v>56</v>
      </c>
      <c r="D30" s="379">
        <f>D23</f>
        <v>0</v>
      </c>
      <c r="E30" s="379"/>
      <c r="F30" s="379"/>
      <c r="G30" s="380"/>
      <c r="H30" s="381">
        <f>SUM(H23:H29)</f>
        <v>444539.61</v>
      </c>
      <c r="I30" s="381">
        <f>SUM(I23:I29)</f>
        <v>0</v>
      </c>
      <c r="J30" s="379">
        <f>SUM(D30:I30)</f>
        <v>444539.61</v>
      </c>
      <c r="L30" s="380"/>
      <c r="M30" s="381">
        <f>SUM(M23:M28)</f>
        <v>-4967.7600000000093</v>
      </c>
      <c r="N30" s="381">
        <f>SUM(N23:N29)</f>
        <v>-56883.520000000004</v>
      </c>
      <c r="O30" s="381">
        <f>SUM(O23:O29)</f>
        <v>0</v>
      </c>
      <c r="P30" s="380"/>
      <c r="Q30" s="379">
        <f>SUM(J30,M30:O30)</f>
        <v>382688.32999999996</v>
      </c>
      <c r="R30" s="380"/>
      <c r="S30" s="379"/>
      <c r="T30" s="379">
        <f t="shared" ref="T30" si="5">SUM(M30,Q30:R30)</f>
        <v>377720.56999999995</v>
      </c>
      <c r="U30" t="s">
        <v>56</v>
      </c>
      <c r="X30" s="321"/>
    </row>
    <row r="31" spans="2:25" ht="13.5" thickTop="1" x14ac:dyDescent="0.2">
      <c r="P31" s="393" t="s">
        <v>699</v>
      </c>
      <c r="Q31" s="394">
        <f>Q30-Q28</f>
        <v>0</v>
      </c>
      <c r="S31" s="343"/>
    </row>
    <row r="32" spans="2:25" x14ac:dyDescent="0.2">
      <c r="D32" s="321"/>
      <c r="E32" s="321"/>
      <c r="F32" s="321"/>
    </row>
    <row r="33" spans="2:21" x14ac:dyDescent="0.2">
      <c r="B33" s="316" t="s">
        <v>857</v>
      </c>
      <c r="D33" s="321"/>
      <c r="E33" s="321"/>
      <c r="F33" s="321"/>
      <c r="Q33" s="383"/>
    </row>
    <row r="34" spans="2:21" x14ac:dyDescent="0.2">
      <c r="D34" s="321"/>
      <c r="E34" s="321"/>
      <c r="F34" s="321"/>
      <c r="Q34" s="359"/>
      <c r="U34" s="359"/>
    </row>
    <row r="35" spans="2:21" x14ac:dyDescent="0.2">
      <c r="B35" s="343" t="s">
        <v>851</v>
      </c>
      <c r="C35" s="316" t="s">
        <v>852</v>
      </c>
    </row>
    <row r="36" spans="2:21" x14ac:dyDescent="0.2">
      <c r="B36" s="316"/>
    </row>
    <row r="37" spans="2:21" x14ac:dyDescent="0.2">
      <c r="C37" t="s">
        <v>853</v>
      </c>
      <c r="D37" t="s">
        <v>854</v>
      </c>
      <c r="J37" s="383">
        <f>-J38</f>
        <v>39302.540000000008</v>
      </c>
    </row>
    <row r="38" spans="2:21" x14ac:dyDescent="0.2">
      <c r="C38" t="s">
        <v>855</v>
      </c>
      <c r="D38" t="s">
        <v>774</v>
      </c>
      <c r="J38" s="383">
        <f>H26</f>
        <v>-39302.540000000008</v>
      </c>
    </row>
    <row r="39" spans="2:21" ht="13.5" thickBot="1" x14ac:dyDescent="0.25">
      <c r="J39" s="395">
        <f>SUM(J37:J38)</f>
        <v>0</v>
      </c>
    </row>
    <row r="40" spans="2:21" ht="13.5" thickTop="1" x14ac:dyDescent="0.2"/>
    <row r="41" spans="2:21" x14ac:dyDescent="0.2">
      <c r="C41" s="316" t="s">
        <v>856</v>
      </c>
    </row>
  </sheetData>
  <hyperlinks>
    <hyperlink ref="C21" r:id="rId1" xr:uid="{2573B37B-E085-47C9-81CA-F1A9ABDFEACD}"/>
    <hyperlink ref="C20" r:id="rId2" xr:uid="{91CDE58A-5C4A-4192-B897-18FE80654289}"/>
    <hyperlink ref="C19" r:id="rId3" xr:uid="{3F8FE801-8721-4EEF-B569-6C6BB749ACAA}"/>
    <hyperlink ref="C18" r:id="rId4" xr:uid="{FAC24EF1-9F17-4C0A-A2D6-54B060FB8261}"/>
    <hyperlink ref="C17" r:id="rId5" xr:uid="{71BFAD7A-719D-4A81-947A-CE29CEEEB5AD}"/>
    <hyperlink ref="F10" r:id="rId6" display="https://connectonline.asic.gov.au/RegistrySearch/faces/landing/panelSearch.jspx?searchTab=search&amp;searchText=apt+pipelines+%28nsw%29+pty+ltd&amp;searchType=OrgAndBusNm" xr:uid="{16E1D926-CC3F-407A-AAFF-FC3E8817ED3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591D-3012-49AF-87C8-6F1EC4380197}">
  <sheetPr>
    <tabColor rgb="FF92D050"/>
  </sheetPr>
  <dimension ref="A1"/>
  <sheetViews>
    <sheetView showGridLines="0" zoomScaleNormal="100" workbookViewId="0"/>
  </sheetViews>
  <sheetFormatPr defaultColWidth="8.85546875" defaultRowHeight="15" x14ac:dyDescent="0.25"/>
  <cols>
    <col min="1" max="16384" width="8.85546875" style="331"/>
  </cols>
  <sheetData/>
  <pageMargins left="0.7" right="0.7" top="0.75" bottom="0.75" header="0.3" footer="0.3"/>
  <headerFooter>
    <oddFooter>&amp;C_x000D_&amp;1#&amp;"Calibri"&amp;10&amp;K008000 APA-INTERNAL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DB4A-B8D4-4664-BF9F-E9B99C9F4C4C}">
  <sheetPr codeName="Sheet6">
    <pageSetUpPr fitToPage="1"/>
  </sheetPr>
  <dimension ref="A1:H17"/>
  <sheetViews>
    <sheetView workbookViewId="0">
      <selection activeCell="G4" sqref="G4"/>
    </sheetView>
  </sheetViews>
  <sheetFormatPr defaultColWidth="9.140625" defaultRowHeight="15" customHeight="1" x14ac:dyDescent="0.2"/>
  <cols>
    <col min="1" max="6" width="9.140625" style="170"/>
    <col min="7" max="7" width="28" style="170" bestFit="1" customWidth="1"/>
    <col min="8" max="8" width="18.140625" style="170" bestFit="1" customWidth="1"/>
    <col min="9" max="16384" width="9.140625" style="170"/>
  </cols>
  <sheetData>
    <row r="1" spans="1:8" ht="15" customHeight="1" x14ac:dyDescent="0.2">
      <c r="A1" s="170" t="s">
        <v>480</v>
      </c>
      <c r="G1" s="170" t="s">
        <v>481</v>
      </c>
      <c r="H1" s="170" t="s">
        <v>481</v>
      </c>
    </row>
    <row r="3" spans="1:8" ht="15" customHeight="1" x14ac:dyDescent="0.2">
      <c r="A3" s="171" t="s">
        <v>203</v>
      </c>
      <c r="G3" s="170" t="s">
        <v>482</v>
      </c>
      <c r="H3" s="170" t="s">
        <v>483</v>
      </c>
    </row>
    <row r="4" spans="1:8" ht="15" customHeight="1" x14ac:dyDescent="0.2">
      <c r="A4" s="171" t="s">
        <v>212</v>
      </c>
      <c r="G4" s="170" t="s">
        <v>484</v>
      </c>
      <c r="H4" s="170" t="s">
        <v>485</v>
      </c>
    </row>
    <row r="5" spans="1:8" ht="15" customHeight="1" x14ac:dyDescent="0.2">
      <c r="A5" s="171" t="s">
        <v>214</v>
      </c>
      <c r="G5" s="170" t="s">
        <v>486</v>
      </c>
      <c r="H5" s="170" t="s">
        <v>487</v>
      </c>
    </row>
    <row r="6" spans="1:8" ht="15" customHeight="1" x14ac:dyDescent="0.2">
      <c r="A6" s="171" t="s">
        <v>216</v>
      </c>
    </row>
    <row r="7" spans="1:8" ht="15" customHeight="1" x14ac:dyDescent="0.2">
      <c r="A7" s="171" t="s">
        <v>219</v>
      </c>
    </row>
    <row r="8" spans="1:8" ht="15" customHeight="1" x14ac:dyDescent="0.2">
      <c r="A8" s="171" t="s">
        <v>221</v>
      </c>
    </row>
    <row r="9" spans="1:8" ht="15" customHeight="1" x14ac:dyDescent="0.2">
      <c r="A9" s="171" t="s">
        <v>223</v>
      </c>
    </row>
    <row r="10" spans="1:8" ht="15" customHeight="1" x14ac:dyDescent="0.2">
      <c r="A10" s="171" t="s">
        <v>225</v>
      </c>
    </row>
    <row r="11" spans="1:8" ht="15" customHeight="1" x14ac:dyDescent="0.2">
      <c r="A11" s="171" t="s">
        <v>227</v>
      </c>
    </row>
    <row r="12" spans="1:8" ht="15" customHeight="1" x14ac:dyDescent="0.2">
      <c r="A12" s="170" t="s">
        <v>229</v>
      </c>
    </row>
    <row r="13" spans="1:8" ht="15" customHeight="1" x14ac:dyDescent="0.2">
      <c r="A13" s="170" t="s">
        <v>236</v>
      </c>
    </row>
    <row r="14" spans="1:8" ht="15" customHeight="1" x14ac:dyDescent="0.2">
      <c r="A14" s="170" t="s">
        <v>238</v>
      </c>
    </row>
    <row r="15" spans="1:8" ht="15" customHeight="1" x14ac:dyDescent="0.2">
      <c r="A15" s="170" t="s">
        <v>488</v>
      </c>
    </row>
    <row r="16" spans="1:8" ht="15" customHeight="1" x14ac:dyDescent="0.2">
      <c r="A16" s="170" t="s">
        <v>241</v>
      </c>
    </row>
    <row r="17" spans="1:1" ht="15" customHeight="1" x14ac:dyDescent="0.2">
      <c r="A17" s="170" t="s">
        <v>489</v>
      </c>
    </row>
  </sheetData>
  <pageMargins left="0.7" right="0.7" top="0.75" bottom="0.75" header="0.3" footer="0.3"/>
  <pageSetup paperSize="9" orientation="landscape" r:id="rId1"/>
  <headerFooter>
    <oddFooter>&amp;L&amp;8&amp;F&amp;D&amp;T&amp;C&amp;8&amp;A&amp;R&amp;8Page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zoomScaleNormal="100" workbookViewId="0"/>
  </sheetViews>
  <sheetFormatPr defaultRowHeight="12.75" x14ac:dyDescent="0.2"/>
  <cols>
    <col min="1" max="1" width="10.855468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460</v>
      </c>
      <c r="B1" s="7" t="s">
        <v>461</v>
      </c>
      <c r="C1" s="6" t="s">
        <v>462</v>
      </c>
      <c r="D1" s="7" t="s">
        <v>463</v>
      </c>
      <c r="E1" s="6" t="s">
        <v>464</v>
      </c>
      <c r="F1" s="6" t="s">
        <v>465</v>
      </c>
      <c r="G1" s="6" t="s">
        <v>466</v>
      </c>
    </row>
    <row r="2" spans="1:9" s="10" customFormat="1" ht="25.5" x14ac:dyDescent="0.2">
      <c r="A2" s="8">
        <v>43314</v>
      </c>
      <c r="B2" s="9">
        <v>1</v>
      </c>
      <c r="C2" s="10" t="s">
        <v>490</v>
      </c>
      <c r="D2" s="9"/>
      <c r="F2" s="11" t="s">
        <v>491</v>
      </c>
      <c r="G2" s="11" t="s">
        <v>492</v>
      </c>
    </row>
    <row r="3" spans="1:9" s="10" customFormat="1" ht="25.5" x14ac:dyDescent="0.2">
      <c r="A3" s="8">
        <v>43318</v>
      </c>
      <c r="B3" s="9">
        <v>2</v>
      </c>
      <c r="C3" s="10" t="s">
        <v>475</v>
      </c>
      <c r="D3" s="9">
        <v>2.1</v>
      </c>
      <c r="E3" s="10" t="s">
        <v>493</v>
      </c>
      <c r="F3" s="10" t="s">
        <v>494</v>
      </c>
      <c r="G3" s="11" t="s">
        <v>495</v>
      </c>
      <c r="I3" s="13"/>
    </row>
    <row r="4" spans="1:9" s="10" customFormat="1" ht="25.5" x14ac:dyDescent="0.2">
      <c r="A4" s="8">
        <v>43314</v>
      </c>
      <c r="B4" s="9">
        <v>3</v>
      </c>
      <c r="C4" s="10" t="s">
        <v>496</v>
      </c>
      <c r="D4" s="9">
        <v>3.1</v>
      </c>
      <c r="E4" s="10" t="s">
        <v>497</v>
      </c>
      <c r="F4" s="10" t="s">
        <v>498</v>
      </c>
      <c r="G4" s="11" t="s">
        <v>499</v>
      </c>
      <c r="I4" s="13"/>
    </row>
    <row r="5" spans="1:9" s="10" customFormat="1" ht="26.25" customHeight="1" x14ac:dyDescent="0.2">
      <c r="A5" s="8">
        <v>43314</v>
      </c>
      <c r="B5" s="9">
        <v>4</v>
      </c>
      <c r="C5" s="10" t="s">
        <v>500</v>
      </c>
      <c r="D5" s="9" t="s">
        <v>501</v>
      </c>
      <c r="E5" s="10" t="s">
        <v>502</v>
      </c>
      <c r="F5" s="10" t="s">
        <v>503</v>
      </c>
      <c r="G5" s="11" t="s">
        <v>504</v>
      </c>
      <c r="I5" s="13"/>
    </row>
    <row r="6" spans="1:9" s="10" customFormat="1" ht="38.25" x14ac:dyDescent="0.2">
      <c r="A6" s="8">
        <v>43318</v>
      </c>
      <c r="B6" s="9">
        <v>5</v>
      </c>
      <c r="C6" s="10" t="s">
        <v>500</v>
      </c>
      <c r="D6" s="9" t="s">
        <v>501</v>
      </c>
      <c r="E6" s="10" t="s">
        <v>505</v>
      </c>
      <c r="F6" s="10" t="s">
        <v>506</v>
      </c>
      <c r="G6" s="11" t="s">
        <v>507</v>
      </c>
      <c r="I6" s="13"/>
    </row>
    <row r="7" spans="1:9" s="10" customFormat="1" ht="89.25" x14ac:dyDescent="0.2">
      <c r="A7" s="8">
        <v>43318</v>
      </c>
      <c r="B7" s="9">
        <v>6</v>
      </c>
      <c r="C7" s="10" t="s">
        <v>500</v>
      </c>
      <c r="D7" s="12" t="s">
        <v>501</v>
      </c>
      <c r="E7" s="13" t="s">
        <v>508</v>
      </c>
      <c r="F7" s="13" t="s">
        <v>509</v>
      </c>
      <c r="G7" s="14" t="s">
        <v>510</v>
      </c>
      <c r="I7" s="13"/>
    </row>
    <row r="8" spans="1:9" x14ac:dyDescent="0.2">
      <c r="A8" s="8">
        <v>43318</v>
      </c>
      <c r="B8" s="9">
        <v>7</v>
      </c>
      <c r="C8" s="10" t="s">
        <v>500</v>
      </c>
      <c r="D8" s="12" t="s">
        <v>501</v>
      </c>
      <c r="E8" s="10" t="s">
        <v>511</v>
      </c>
      <c r="F8" s="10" t="s">
        <v>512</v>
      </c>
      <c r="G8" s="10" t="s">
        <v>513</v>
      </c>
      <c r="I8" s="13"/>
    </row>
    <row r="9" spans="1:9" x14ac:dyDescent="0.2">
      <c r="A9" s="8">
        <v>43991</v>
      </c>
      <c r="B9" s="9">
        <v>8</v>
      </c>
      <c r="C9" s="10" t="s">
        <v>496</v>
      </c>
      <c r="D9" s="9">
        <v>3.1</v>
      </c>
      <c r="E9" s="10" t="s">
        <v>514</v>
      </c>
      <c r="F9" s="10" t="s">
        <v>515</v>
      </c>
      <c r="G9" s="10" t="s">
        <v>516</v>
      </c>
      <c r="I9" s="13"/>
    </row>
    <row r="10" spans="1:9" x14ac:dyDescent="0.2">
      <c r="A10" s="8">
        <v>43991</v>
      </c>
      <c r="B10" s="9">
        <v>9</v>
      </c>
      <c r="C10" s="10" t="s">
        <v>496</v>
      </c>
      <c r="D10" s="9">
        <v>3.1</v>
      </c>
      <c r="E10" s="10" t="s">
        <v>517</v>
      </c>
      <c r="F10" s="10" t="s">
        <v>512</v>
      </c>
      <c r="G10" s="13" t="s">
        <v>518</v>
      </c>
      <c r="I10" s="13"/>
    </row>
    <row r="11" spans="1:9" ht="38.25" x14ac:dyDescent="0.2">
      <c r="A11" s="8">
        <v>43991</v>
      </c>
      <c r="B11" s="9">
        <v>10</v>
      </c>
      <c r="C11" s="10" t="s">
        <v>496</v>
      </c>
      <c r="D11" s="9">
        <v>3.1</v>
      </c>
      <c r="E11" s="11" t="s">
        <v>519</v>
      </c>
      <c r="F11" s="10" t="s">
        <v>520</v>
      </c>
      <c r="G11" s="11" t="s">
        <v>521</v>
      </c>
      <c r="I11" s="13"/>
    </row>
    <row r="12" spans="1:9" x14ac:dyDescent="0.2">
      <c r="A12" s="8">
        <v>43991</v>
      </c>
      <c r="B12" s="9">
        <v>11</v>
      </c>
      <c r="C12" s="10" t="s">
        <v>522</v>
      </c>
      <c r="D12" s="12" t="s">
        <v>523</v>
      </c>
      <c r="E12" s="13" t="s">
        <v>524</v>
      </c>
      <c r="F12" s="13" t="s">
        <v>515</v>
      </c>
      <c r="G12" s="13" t="s">
        <v>525</v>
      </c>
      <c r="I12" s="13"/>
    </row>
    <row r="13" spans="1:9" ht="38.25" x14ac:dyDescent="0.2">
      <c r="A13" s="8">
        <v>44028</v>
      </c>
      <c r="B13" s="9">
        <v>12</v>
      </c>
      <c r="C13" s="13" t="s">
        <v>467</v>
      </c>
      <c r="D13" s="9" t="s">
        <v>526</v>
      </c>
      <c r="E13" s="13" t="s">
        <v>527</v>
      </c>
      <c r="F13" s="14" t="s">
        <v>528</v>
      </c>
      <c r="G13" s="14" t="s">
        <v>529</v>
      </c>
      <c r="I13" s="13"/>
    </row>
    <row r="14" spans="1:9" ht="51" x14ac:dyDescent="0.2">
      <c r="A14" s="8">
        <v>43999</v>
      </c>
      <c r="B14" s="9">
        <v>13</v>
      </c>
      <c r="C14" s="13" t="s">
        <v>530</v>
      </c>
      <c r="D14" s="12" t="s">
        <v>531</v>
      </c>
      <c r="E14" s="13" t="s">
        <v>532</v>
      </c>
      <c r="F14" s="14" t="s">
        <v>533</v>
      </c>
      <c r="G14" s="14" t="s">
        <v>534</v>
      </c>
      <c r="I14" s="13"/>
    </row>
    <row r="15" spans="1:9" x14ac:dyDescent="0.2">
      <c r="A15" s="8">
        <v>43991</v>
      </c>
      <c r="B15" s="9">
        <v>14</v>
      </c>
      <c r="C15" s="10" t="s">
        <v>500</v>
      </c>
      <c r="D15" s="9"/>
      <c r="E15" s="10"/>
      <c r="F15" s="10"/>
      <c r="G15" s="10" t="s">
        <v>535</v>
      </c>
      <c r="I15" s="13"/>
    </row>
    <row r="16" spans="1:9" x14ac:dyDescent="0.2">
      <c r="A16" s="8">
        <v>44038</v>
      </c>
      <c r="B16" s="9">
        <v>15</v>
      </c>
      <c r="C16" s="10" t="s">
        <v>536</v>
      </c>
      <c r="D16" s="12" t="s">
        <v>537</v>
      </c>
      <c r="E16" s="13" t="s">
        <v>538</v>
      </c>
      <c r="F16" s="13" t="s">
        <v>539</v>
      </c>
      <c r="G16" s="14" t="s">
        <v>540</v>
      </c>
      <c r="I16" s="13"/>
    </row>
    <row r="17" spans="1:9" x14ac:dyDescent="0.2">
      <c r="A17" s="16">
        <v>44038</v>
      </c>
      <c r="B17" s="9">
        <v>16</v>
      </c>
      <c r="C17" s="10" t="s">
        <v>496</v>
      </c>
      <c r="D17" s="9">
        <v>3.1</v>
      </c>
      <c r="E17" s="13" t="s">
        <v>541</v>
      </c>
      <c r="F17" s="10" t="s">
        <v>515</v>
      </c>
      <c r="G17" s="13" t="s">
        <v>542</v>
      </c>
      <c r="I17" s="13"/>
    </row>
    <row r="18" spans="1:9" x14ac:dyDescent="0.2">
      <c r="A18" s="16">
        <v>44038</v>
      </c>
      <c r="B18" s="9">
        <v>17</v>
      </c>
      <c r="C18" s="10" t="s">
        <v>496</v>
      </c>
      <c r="D18" s="9">
        <v>3.1</v>
      </c>
      <c r="E18" s="13" t="s">
        <v>543</v>
      </c>
      <c r="F18" s="10" t="s">
        <v>512</v>
      </c>
      <c r="G18" s="13" t="s">
        <v>544</v>
      </c>
      <c r="I18" s="13"/>
    </row>
    <row r="19" spans="1:9" x14ac:dyDescent="0.2">
      <c r="A19" s="8">
        <v>44038</v>
      </c>
      <c r="B19" s="9">
        <v>18</v>
      </c>
      <c r="C19" s="10" t="s">
        <v>536</v>
      </c>
      <c r="D19" s="12" t="s">
        <v>501</v>
      </c>
      <c r="E19" s="13" t="s">
        <v>545</v>
      </c>
      <c r="F19" s="13" t="s">
        <v>546</v>
      </c>
      <c r="G19" s="14" t="s">
        <v>547</v>
      </c>
    </row>
    <row r="20" spans="1:9" x14ac:dyDescent="0.2">
      <c r="A20" s="8">
        <v>44038</v>
      </c>
      <c r="B20" s="9">
        <v>19</v>
      </c>
      <c r="C20" s="16" t="s">
        <v>536</v>
      </c>
      <c r="D20" s="12" t="s">
        <v>537</v>
      </c>
      <c r="E20" s="13" t="s">
        <v>548</v>
      </c>
      <c r="F20" s="13" t="s">
        <v>546</v>
      </c>
      <c r="G20" s="14" t="s">
        <v>549</v>
      </c>
    </row>
    <row r="21" spans="1:9" x14ac:dyDescent="0.2">
      <c r="A21" s="8">
        <v>44038</v>
      </c>
      <c r="B21" s="9">
        <v>20</v>
      </c>
      <c r="C21" s="13" t="s">
        <v>550</v>
      </c>
      <c r="D21" s="9">
        <v>4.0999999999999996</v>
      </c>
      <c r="E21" s="13" t="s">
        <v>551</v>
      </c>
      <c r="F21" s="13" t="s">
        <v>515</v>
      </c>
      <c r="G21" s="13" t="s">
        <v>552</v>
      </c>
      <c r="I21" s="13"/>
    </row>
    <row r="22" spans="1:9" x14ac:dyDescent="0.2">
      <c r="A22" s="8">
        <v>44038</v>
      </c>
      <c r="B22" s="9">
        <v>21</v>
      </c>
      <c r="C22" s="13" t="s">
        <v>550</v>
      </c>
      <c r="D22" s="9">
        <v>4.0999999999999996</v>
      </c>
      <c r="E22" s="13" t="s">
        <v>553</v>
      </c>
      <c r="F22" s="13" t="s">
        <v>554</v>
      </c>
      <c r="G22" s="13" t="s">
        <v>555</v>
      </c>
    </row>
    <row r="23" spans="1:9" ht="25.5" x14ac:dyDescent="0.2">
      <c r="A23" s="8">
        <v>44038</v>
      </c>
      <c r="B23" s="9">
        <v>22</v>
      </c>
      <c r="C23" s="13" t="s">
        <v>550</v>
      </c>
      <c r="D23" s="9">
        <v>4.0999999999999996</v>
      </c>
      <c r="E23" s="14" t="s">
        <v>556</v>
      </c>
      <c r="F23" s="13" t="s">
        <v>512</v>
      </c>
      <c r="G23" s="14" t="s">
        <v>557</v>
      </c>
    </row>
    <row r="24" spans="1:9" ht="25.5" x14ac:dyDescent="0.2">
      <c r="A24" s="8">
        <v>44038</v>
      </c>
      <c r="B24" s="9">
        <v>23</v>
      </c>
      <c r="C24" s="16" t="s">
        <v>536</v>
      </c>
      <c r="D24" s="12" t="s">
        <v>558</v>
      </c>
      <c r="E24" s="14" t="s">
        <v>559</v>
      </c>
      <c r="F24" s="10" t="s">
        <v>506</v>
      </c>
      <c r="G24" s="14" t="s">
        <v>560</v>
      </c>
    </row>
    <row r="25" spans="1:9" x14ac:dyDescent="0.2">
      <c r="A25" s="8">
        <v>44326</v>
      </c>
      <c r="B25" s="9">
        <v>24</v>
      </c>
      <c r="C25" s="16" t="s">
        <v>467</v>
      </c>
      <c r="D25" s="12"/>
      <c r="E25" s="14" t="s">
        <v>561</v>
      </c>
      <c r="F25" s="14" t="s">
        <v>562</v>
      </c>
      <c r="G25" s="11" t="s">
        <v>563</v>
      </c>
    </row>
    <row r="26" spans="1:9" x14ac:dyDescent="0.2">
      <c r="A26" s="8">
        <v>44326</v>
      </c>
      <c r="B26" s="9">
        <v>25</v>
      </c>
      <c r="C26" s="8" t="s">
        <v>564</v>
      </c>
      <c r="D26" s="9"/>
      <c r="E26" s="11" t="s">
        <v>565</v>
      </c>
      <c r="F26" s="10" t="s">
        <v>566</v>
      </c>
      <c r="G26" s="11" t="s">
        <v>567</v>
      </c>
    </row>
    <row r="27" spans="1:9" x14ac:dyDescent="0.2">
      <c r="A27" s="8">
        <v>44326</v>
      </c>
      <c r="B27" s="9">
        <v>26</v>
      </c>
      <c r="C27" s="8" t="s">
        <v>564</v>
      </c>
      <c r="D27" s="9"/>
      <c r="E27" s="11" t="s">
        <v>568</v>
      </c>
      <c r="F27" s="10" t="s">
        <v>566</v>
      </c>
      <c r="G27" s="11" t="s">
        <v>569</v>
      </c>
    </row>
    <row r="28" spans="1:9" ht="25.5" x14ac:dyDescent="0.2">
      <c r="A28" s="8">
        <v>44326</v>
      </c>
      <c r="B28" s="9">
        <v>27</v>
      </c>
      <c r="C28" s="8" t="s">
        <v>564</v>
      </c>
      <c r="D28" s="9"/>
      <c r="E28" s="11" t="s">
        <v>570</v>
      </c>
      <c r="F28" s="10" t="s">
        <v>566</v>
      </c>
      <c r="G28" s="11" t="s">
        <v>571</v>
      </c>
    </row>
    <row r="29" spans="1:9" x14ac:dyDescent="0.2">
      <c r="A29" s="8">
        <v>44326</v>
      </c>
      <c r="B29" s="9">
        <v>28</v>
      </c>
      <c r="C29" s="8" t="s">
        <v>572</v>
      </c>
      <c r="D29" s="9"/>
      <c r="E29" s="11" t="s">
        <v>532</v>
      </c>
      <c r="F29" s="10" t="s">
        <v>573</v>
      </c>
      <c r="G29" s="11" t="s">
        <v>574</v>
      </c>
    </row>
    <row r="30" spans="1:9" ht="38.25" x14ac:dyDescent="0.2">
      <c r="A30" s="8">
        <v>44326</v>
      </c>
      <c r="B30" s="9">
        <v>29</v>
      </c>
      <c r="C30" s="8" t="s">
        <v>419</v>
      </c>
      <c r="D30" s="12"/>
      <c r="E30" s="14"/>
      <c r="F30" s="10" t="s">
        <v>575</v>
      </c>
      <c r="G30" s="11" t="s">
        <v>576</v>
      </c>
    </row>
    <row r="31" spans="1:9" ht="25.5" x14ac:dyDescent="0.2">
      <c r="A31" s="8">
        <v>44326</v>
      </c>
      <c r="B31" s="9">
        <v>30</v>
      </c>
      <c r="C31" s="13" t="s">
        <v>471</v>
      </c>
      <c r="D31" s="9">
        <v>1.2</v>
      </c>
      <c r="E31" s="13" t="s">
        <v>577</v>
      </c>
      <c r="F31" s="13" t="s">
        <v>506</v>
      </c>
      <c r="G31" s="19" t="s">
        <v>578</v>
      </c>
    </row>
    <row r="32" spans="1:9" ht="102" x14ac:dyDescent="0.2">
      <c r="A32" s="8">
        <v>44326</v>
      </c>
      <c r="B32" s="9">
        <v>31</v>
      </c>
      <c r="C32" s="13" t="s">
        <v>579</v>
      </c>
      <c r="D32" s="9">
        <v>2.1</v>
      </c>
      <c r="E32" s="11" t="s">
        <v>580</v>
      </c>
      <c r="F32" s="13" t="s">
        <v>581</v>
      </c>
      <c r="G32" s="14" t="s">
        <v>582</v>
      </c>
    </row>
    <row r="33" spans="1:7" ht="25.5" x14ac:dyDescent="0.2">
      <c r="A33" s="8">
        <v>44326</v>
      </c>
      <c r="B33" s="9">
        <v>32</v>
      </c>
      <c r="C33" s="13" t="s">
        <v>579</v>
      </c>
      <c r="D33" s="9">
        <v>2.1</v>
      </c>
      <c r="E33" s="11" t="s">
        <v>583</v>
      </c>
      <c r="F33" s="13" t="s">
        <v>512</v>
      </c>
      <c r="G33" s="14" t="s">
        <v>584</v>
      </c>
    </row>
    <row r="34" spans="1:7" ht="25.5" x14ac:dyDescent="0.2">
      <c r="A34" s="8">
        <v>44326</v>
      </c>
      <c r="B34" s="9">
        <v>33</v>
      </c>
      <c r="C34" s="13" t="s">
        <v>579</v>
      </c>
      <c r="D34" s="9">
        <v>2.1</v>
      </c>
      <c r="E34" s="10" t="s">
        <v>585</v>
      </c>
      <c r="F34" s="10" t="s">
        <v>512</v>
      </c>
      <c r="G34" s="11" t="s">
        <v>586</v>
      </c>
    </row>
    <row r="35" spans="1:7" x14ac:dyDescent="0.2">
      <c r="A35" s="8">
        <v>44326</v>
      </c>
      <c r="B35" s="9">
        <v>34</v>
      </c>
      <c r="C35" s="13" t="s">
        <v>579</v>
      </c>
      <c r="D35" s="9">
        <v>2.1</v>
      </c>
      <c r="E35" s="10" t="s">
        <v>587</v>
      </c>
      <c r="F35" s="10" t="s">
        <v>588</v>
      </c>
      <c r="G35" s="11" t="s">
        <v>589</v>
      </c>
    </row>
    <row r="36" spans="1:7" x14ac:dyDescent="0.2">
      <c r="A36" s="8">
        <v>44326</v>
      </c>
      <c r="B36" s="9">
        <v>35</v>
      </c>
      <c r="C36" s="13" t="s">
        <v>579</v>
      </c>
      <c r="D36" s="9">
        <v>2.1</v>
      </c>
      <c r="E36" s="10" t="s">
        <v>590</v>
      </c>
      <c r="F36" s="10" t="s">
        <v>506</v>
      </c>
      <c r="G36" s="11" t="s">
        <v>591</v>
      </c>
    </row>
    <row r="37" spans="1:7" ht="25.5" x14ac:dyDescent="0.2">
      <c r="A37" s="8">
        <v>44326</v>
      </c>
      <c r="B37" s="9">
        <v>36</v>
      </c>
      <c r="C37" s="13" t="s">
        <v>579</v>
      </c>
      <c r="D37" s="9">
        <v>2.1</v>
      </c>
      <c r="E37" s="10" t="s">
        <v>592</v>
      </c>
      <c r="F37" s="10" t="s">
        <v>512</v>
      </c>
      <c r="G37" s="11" t="s">
        <v>593</v>
      </c>
    </row>
    <row r="38" spans="1:7" ht="25.5" x14ac:dyDescent="0.2">
      <c r="A38" s="8">
        <v>44326</v>
      </c>
      <c r="B38" s="9">
        <v>37</v>
      </c>
      <c r="C38" s="13" t="s">
        <v>594</v>
      </c>
      <c r="D38" s="9" t="s">
        <v>595</v>
      </c>
      <c r="E38" s="10" t="s">
        <v>596</v>
      </c>
      <c r="F38" s="13" t="s">
        <v>506</v>
      </c>
      <c r="G38" s="14" t="s">
        <v>597</v>
      </c>
    </row>
    <row r="39" spans="1:7" ht="25.5" x14ac:dyDescent="0.2">
      <c r="A39" s="8">
        <v>44326</v>
      </c>
      <c r="B39" s="9">
        <v>38</v>
      </c>
      <c r="C39" s="13" t="s">
        <v>594</v>
      </c>
      <c r="D39" s="9" t="s">
        <v>595</v>
      </c>
      <c r="E39" s="13"/>
      <c r="F39" s="14" t="s">
        <v>598</v>
      </c>
      <c r="G39" s="11" t="s">
        <v>599</v>
      </c>
    </row>
    <row r="40" spans="1:7" ht="38.25" x14ac:dyDescent="0.2">
      <c r="A40" s="8">
        <v>44326</v>
      </c>
      <c r="B40" s="9">
        <v>39</v>
      </c>
      <c r="C40" s="10" t="s">
        <v>594</v>
      </c>
      <c r="D40" s="9" t="s">
        <v>595</v>
      </c>
      <c r="E40" s="10" t="s">
        <v>600</v>
      </c>
      <c r="F40" s="14" t="s">
        <v>601</v>
      </c>
      <c r="G40" s="11" t="s">
        <v>602</v>
      </c>
    </row>
    <row r="41" spans="1:7" ht="38.25" x14ac:dyDescent="0.2">
      <c r="A41" s="8">
        <v>44326</v>
      </c>
      <c r="B41" s="9">
        <v>40</v>
      </c>
      <c r="C41" s="10" t="s">
        <v>594</v>
      </c>
      <c r="D41" s="9" t="s">
        <v>595</v>
      </c>
      <c r="E41" s="10" t="s">
        <v>603</v>
      </c>
      <c r="F41" s="14" t="s">
        <v>562</v>
      </c>
      <c r="G41" s="11" t="s">
        <v>604</v>
      </c>
    </row>
    <row r="42" spans="1:7" x14ac:dyDescent="0.2">
      <c r="A42" s="8">
        <v>44326</v>
      </c>
      <c r="B42" s="9">
        <v>41</v>
      </c>
      <c r="C42" s="10" t="s">
        <v>594</v>
      </c>
      <c r="D42" s="9" t="s">
        <v>595</v>
      </c>
      <c r="E42" s="10" t="s">
        <v>605</v>
      </c>
      <c r="F42" s="11" t="s">
        <v>512</v>
      </c>
      <c r="G42" s="11" t="s">
        <v>606</v>
      </c>
    </row>
    <row r="43" spans="1:7" ht="25.5" x14ac:dyDescent="0.2">
      <c r="A43" s="8">
        <v>44326</v>
      </c>
      <c r="B43" s="9">
        <v>42</v>
      </c>
      <c r="C43" s="10" t="s">
        <v>607</v>
      </c>
      <c r="D43" s="12" t="s">
        <v>608</v>
      </c>
      <c r="E43" s="10" t="s">
        <v>609</v>
      </c>
      <c r="F43" s="14" t="s">
        <v>610</v>
      </c>
      <c r="G43" s="14" t="s">
        <v>611</v>
      </c>
    </row>
    <row r="44" spans="1:7" ht="51" x14ac:dyDescent="0.2">
      <c r="A44" s="8">
        <v>44326</v>
      </c>
      <c r="B44" s="9">
        <v>43</v>
      </c>
      <c r="C44" s="10" t="s">
        <v>612</v>
      </c>
      <c r="D44" s="9" t="s">
        <v>613</v>
      </c>
      <c r="E44" s="10" t="s">
        <v>614</v>
      </c>
      <c r="F44" s="11" t="s">
        <v>509</v>
      </c>
      <c r="G44" s="11" t="s">
        <v>615</v>
      </c>
    </row>
    <row r="45" spans="1:7" x14ac:dyDescent="0.2">
      <c r="A45" s="8">
        <v>44326</v>
      </c>
      <c r="B45" s="9">
        <v>44</v>
      </c>
      <c r="C45" s="10" t="s">
        <v>616</v>
      </c>
      <c r="D45" s="9" t="s">
        <v>617</v>
      </c>
      <c r="E45" s="10" t="s">
        <v>614</v>
      </c>
      <c r="F45" s="11" t="s">
        <v>509</v>
      </c>
      <c r="G45" s="11" t="s">
        <v>618</v>
      </c>
    </row>
    <row r="46" spans="1:7" x14ac:dyDescent="0.2">
      <c r="A46" s="8">
        <v>44326</v>
      </c>
      <c r="B46" s="9">
        <v>45</v>
      </c>
      <c r="C46" s="10" t="s">
        <v>619</v>
      </c>
      <c r="D46" s="9" t="s">
        <v>617</v>
      </c>
      <c r="E46" s="10" t="s">
        <v>620</v>
      </c>
      <c r="F46" s="11" t="s">
        <v>512</v>
      </c>
      <c r="G46" s="11" t="s">
        <v>621</v>
      </c>
    </row>
    <row r="47" spans="1:7" x14ac:dyDescent="0.2">
      <c r="A47" s="8">
        <v>44326</v>
      </c>
      <c r="B47" s="9">
        <v>46</v>
      </c>
      <c r="C47" s="10" t="s">
        <v>619</v>
      </c>
      <c r="D47" s="9" t="s">
        <v>617</v>
      </c>
      <c r="E47" s="10" t="s">
        <v>622</v>
      </c>
      <c r="F47" s="11" t="s">
        <v>623</v>
      </c>
      <c r="G47" s="11" t="s">
        <v>624</v>
      </c>
    </row>
    <row r="48" spans="1:7" x14ac:dyDescent="0.2">
      <c r="A48" s="8">
        <v>44326</v>
      </c>
      <c r="B48" s="9">
        <v>47</v>
      </c>
      <c r="C48" s="10" t="s">
        <v>625</v>
      </c>
      <c r="D48" s="9"/>
      <c r="E48" s="10" t="s">
        <v>626</v>
      </c>
      <c r="F48" s="14" t="s">
        <v>562</v>
      </c>
      <c r="G48" s="11" t="s">
        <v>627</v>
      </c>
    </row>
    <row r="49" spans="1:7" x14ac:dyDescent="0.2">
      <c r="A49" s="8">
        <v>44326</v>
      </c>
      <c r="B49" s="9">
        <v>48</v>
      </c>
      <c r="C49" s="10" t="s">
        <v>625</v>
      </c>
      <c r="D49" s="9">
        <v>3.1</v>
      </c>
      <c r="E49" s="10" t="s">
        <v>628</v>
      </c>
      <c r="F49" s="11" t="s">
        <v>629</v>
      </c>
      <c r="G49" s="11" t="s">
        <v>630</v>
      </c>
    </row>
    <row r="50" spans="1:7" x14ac:dyDescent="0.2">
      <c r="A50" s="8">
        <v>44326</v>
      </c>
      <c r="B50" s="9">
        <v>49</v>
      </c>
      <c r="C50" s="10" t="s">
        <v>625</v>
      </c>
      <c r="D50" s="9">
        <v>3.1</v>
      </c>
      <c r="E50" s="10" t="s">
        <v>631</v>
      </c>
      <c r="F50" s="11" t="s">
        <v>506</v>
      </c>
      <c r="G50" s="11" t="s">
        <v>632</v>
      </c>
    </row>
    <row r="51" spans="1:7" ht="140.25" x14ac:dyDescent="0.2">
      <c r="A51" s="8">
        <v>44326</v>
      </c>
      <c r="B51" s="9">
        <v>50</v>
      </c>
      <c r="C51" s="10" t="s">
        <v>625</v>
      </c>
      <c r="D51" s="9">
        <v>3.1</v>
      </c>
      <c r="E51" s="10" t="s">
        <v>633</v>
      </c>
      <c r="F51" s="11" t="s">
        <v>634</v>
      </c>
      <c r="G51" s="11" t="s">
        <v>635</v>
      </c>
    </row>
    <row r="52" spans="1:7" ht="25.5" x14ac:dyDescent="0.2">
      <c r="A52" s="8">
        <v>44326</v>
      </c>
      <c r="B52" s="9">
        <v>51</v>
      </c>
      <c r="C52" s="10" t="s">
        <v>625</v>
      </c>
      <c r="D52" s="9">
        <v>3.1</v>
      </c>
      <c r="E52" s="10" t="s">
        <v>636</v>
      </c>
      <c r="F52" s="11" t="s">
        <v>512</v>
      </c>
      <c r="G52" s="11" t="s">
        <v>637</v>
      </c>
    </row>
    <row r="53" spans="1:7" ht="38.25" x14ac:dyDescent="0.2">
      <c r="A53" s="8">
        <v>44326</v>
      </c>
      <c r="B53" s="9">
        <v>52</v>
      </c>
      <c r="C53" s="10" t="s">
        <v>625</v>
      </c>
      <c r="D53" s="9">
        <v>3.1</v>
      </c>
      <c r="E53" s="10" t="s">
        <v>638</v>
      </c>
      <c r="F53" s="11" t="s">
        <v>512</v>
      </c>
      <c r="G53" s="11" t="s">
        <v>639</v>
      </c>
    </row>
    <row r="54" spans="1:7" ht="51" x14ac:dyDescent="0.2">
      <c r="A54" s="8">
        <v>44326</v>
      </c>
      <c r="B54" s="9">
        <v>53</v>
      </c>
      <c r="C54" s="10" t="s">
        <v>640</v>
      </c>
      <c r="D54" s="9"/>
      <c r="E54" s="10"/>
      <c r="F54" s="11" t="s">
        <v>641</v>
      </c>
      <c r="G54" s="11" t="s">
        <v>642</v>
      </c>
    </row>
    <row r="55" spans="1:7" x14ac:dyDescent="0.2">
      <c r="A55" s="8">
        <v>44326</v>
      </c>
      <c r="B55" s="9">
        <v>54</v>
      </c>
      <c r="C55" s="10" t="s">
        <v>640</v>
      </c>
      <c r="D55" s="9" t="s">
        <v>523</v>
      </c>
      <c r="E55" s="10" t="s">
        <v>643</v>
      </c>
      <c r="F55" s="11" t="s">
        <v>644</v>
      </c>
      <c r="G55" s="11" t="s">
        <v>645</v>
      </c>
    </row>
    <row r="56" spans="1:7" x14ac:dyDescent="0.2">
      <c r="A56" s="8">
        <v>44326</v>
      </c>
      <c r="B56" s="9">
        <v>55</v>
      </c>
      <c r="C56" s="10" t="s">
        <v>640</v>
      </c>
      <c r="D56" s="9"/>
      <c r="E56" s="10" t="s">
        <v>646</v>
      </c>
      <c r="F56" s="11" t="s">
        <v>506</v>
      </c>
      <c r="G56" s="11" t="s">
        <v>647</v>
      </c>
    </row>
    <row r="57" spans="1:7" ht="51" x14ac:dyDescent="0.2">
      <c r="A57" s="8">
        <v>44326</v>
      </c>
      <c r="B57" s="9">
        <v>56</v>
      </c>
      <c r="C57" s="10" t="s">
        <v>648</v>
      </c>
      <c r="D57" s="9"/>
      <c r="E57" s="10"/>
      <c r="F57" s="11" t="s">
        <v>641</v>
      </c>
      <c r="G57" s="11" t="s">
        <v>649</v>
      </c>
    </row>
    <row r="58" spans="1:7" ht="25.5" x14ac:dyDescent="0.2">
      <c r="A58" s="8">
        <v>44326</v>
      </c>
      <c r="B58" s="9">
        <v>57</v>
      </c>
      <c r="C58" s="10" t="s">
        <v>648</v>
      </c>
      <c r="D58" s="9" t="s">
        <v>650</v>
      </c>
      <c r="E58" s="11" t="s">
        <v>651</v>
      </c>
      <c r="F58" s="11" t="s">
        <v>644</v>
      </c>
      <c r="G58" s="11" t="s">
        <v>645</v>
      </c>
    </row>
    <row r="59" spans="1:7" x14ac:dyDescent="0.2">
      <c r="A59" s="8">
        <v>44326</v>
      </c>
      <c r="B59" s="9">
        <v>58</v>
      </c>
      <c r="C59" s="10" t="s">
        <v>536</v>
      </c>
      <c r="D59" s="9" t="s">
        <v>501</v>
      </c>
      <c r="E59" s="10" t="s">
        <v>652</v>
      </c>
      <c r="F59" s="11" t="s">
        <v>562</v>
      </c>
      <c r="G59" s="11" t="s">
        <v>632</v>
      </c>
    </row>
    <row r="60" spans="1:7" x14ac:dyDescent="0.2">
      <c r="A60" s="8">
        <v>44326</v>
      </c>
      <c r="B60" s="9">
        <v>59</v>
      </c>
      <c r="C60" s="10" t="s">
        <v>536</v>
      </c>
      <c r="D60" s="9" t="s">
        <v>501</v>
      </c>
      <c r="E60" s="10" t="s">
        <v>653</v>
      </c>
      <c r="F60" s="11" t="s">
        <v>562</v>
      </c>
      <c r="G60" s="11" t="s">
        <v>632</v>
      </c>
    </row>
    <row r="61" spans="1:7" x14ac:dyDescent="0.2">
      <c r="A61" s="8">
        <v>44326</v>
      </c>
      <c r="B61" s="9">
        <v>60</v>
      </c>
      <c r="C61" s="10" t="s">
        <v>536</v>
      </c>
      <c r="D61" s="9" t="s">
        <v>501</v>
      </c>
      <c r="E61" t="s">
        <v>654</v>
      </c>
      <c r="F61" s="11" t="s">
        <v>498</v>
      </c>
      <c r="G61" s="11" t="s">
        <v>655</v>
      </c>
    </row>
    <row r="62" spans="1:7" x14ac:dyDescent="0.2">
      <c r="A62" s="8">
        <v>44326</v>
      </c>
      <c r="B62" s="9">
        <v>61</v>
      </c>
      <c r="C62" s="10" t="s">
        <v>536</v>
      </c>
      <c r="D62" s="9" t="s">
        <v>558</v>
      </c>
      <c r="E62" s="10" t="s">
        <v>656</v>
      </c>
      <c r="F62" s="11" t="s">
        <v>644</v>
      </c>
      <c r="G62" s="11" t="s">
        <v>657</v>
      </c>
    </row>
    <row r="63" spans="1:7" ht="38.25" x14ac:dyDescent="0.2">
      <c r="A63" s="8">
        <v>44326</v>
      </c>
      <c r="B63" s="9">
        <v>62</v>
      </c>
      <c r="C63" s="10" t="s">
        <v>536</v>
      </c>
      <c r="D63" s="9" t="s">
        <v>558</v>
      </c>
      <c r="E63" s="10" t="s">
        <v>658</v>
      </c>
      <c r="F63" s="11" t="s">
        <v>623</v>
      </c>
      <c r="G63" s="11" t="s">
        <v>659</v>
      </c>
    </row>
    <row r="64" spans="1:7" ht="25.5" x14ac:dyDescent="0.2">
      <c r="A64" s="8">
        <v>44326</v>
      </c>
      <c r="B64" s="9">
        <v>63</v>
      </c>
      <c r="C64" s="10" t="s">
        <v>536</v>
      </c>
      <c r="D64" s="9" t="s">
        <v>501</v>
      </c>
      <c r="E64" s="10" t="s">
        <v>545</v>
      </c>
      <c r="F64" s="11" t="s">
        <v>546</v>
      </c>
      <c r="G64" s="11" t="s">
        <v>660</v>
      </c>
    </row>
    <row r="65" spans="1:7" ht="25.5" x14ac:dyDescent="0.2">
      <c r="A65" s="8">
        <v>44326</v>
      </c>
      <c r="B65" s="9">
        <v>64</v>
      </c>
      <c r="C65" s="10" t="s">
        <v>536</v>
      </c>
      <c r="D65" s="9" t="s">
        <v>537</v>
      </c>
      <c r="E65" s="10" t="s">
        <v>661</v>
      </c>
      <c r="F65" s="11" t="s">
        <v>546</v>
      </c>
      <c r="G65" s="11" t="s">
        <v>660</v>
      </c>
    </row>
    <row r="66" spans="1:7" ht="25.5" x14ac:dyDescent="0.2">
      <c r="A66" s="8">
        <v>44326</v>
      </c>
      <c r="B66" s="9">
        <v>65</v>
      </c>
      <c r="C66" s="10" t="s">
        <v>662</v>
      </c>
      <c r="D66" s="9" t="s">
        <v>663</v>
      </c>
      <c r="E66" s="10" t="s">
        <v>664</v>
      </c>
      <c r="F66" s="11" t="s">
        <v>546</v>
      </c>
      <c r="G66" s="11" t="s">
        <v>660</v>
      </c>
    </row>
    <row r="67" spans="1:7" ht="51" x14ac:dyDescent="0.2">
      <c r="A67" s="8">
        <v>44326</v>
      </c>
      <c r="B67" s="9">
        <v>66</v>
      </c>
      <c r="C67" s="10" t="s">
        <v>665</v>
      </c>
      <c r="D67" s="9" t="s">
        <v>663</v>
      </c>
      <c r="E67" s="10" t="s">
        <v>614</v>
      </c>
      <c r="F67" s="11" t="s">
        <v>509</v>
      </c>
      <c r="G67" s="11" t="s">
        <v>615</v>
      </c>
    </row>
    <row r="68" spans="1:7" x14ac:dyDescent="0.2">
      <c r="A68" s="8">
        <v>44326</v>
      </c>
      <c r="B68" s="9">
        <v>67</v>
      </c>
      <c r="C68" s="10" t="s">
        <v>666</v>
      </c>
      <c r="D68" s="9"/>
      <c r="E68" s="10"/>
      <c r="F68" s="11" t="s">
        <v>641</v>
      </c>
      <c r="G68" t="s">
        <v>667</v>
      </c>
    </row>
    <row r="69" spans="1:7" ht="25.5" x14ac:dyDescent="0.2">
      <c r="A69" s="8">
        <v>44326</v>
      </c>
      <c r="B69" s="9">
        <v>68</v>
      </c>
      <c r="C69" s="10" t="s">
        <v>666</v>
      </c>
      <c r="D69" s="9"/>
      <c r="E69" s="10"/>
      <c r="F69" s="11" t="s">
        <v>668</v>
      </c>
      <c r="G69" s="11" t="s">
        <v>669</v>
      </c>
    </row>
    <row r="70" spans="1:7" ht="25.5" x14ac:dyDescent="0.2">
      <c r="A70" s="8">
        <v>44326</v>
      </c>
      <c r="B70" s="9">
        <v>69</v>
      </c>
      <c r="C70" s="10" t="s">
        <v>666</v>
      </c>
      <c r="D70" s="9">
        <v>4.0999999999999996</v>
      </c>
      <c r="E70" s="10" t="s">
        <v>670</v>
      </c>
      <c r="F70" s="11" t="s">
        <v>512</v>
      </c>
      <c r="G70" s="11" t="s">
        <v>671</v>
      </c>
    </row>
    <row r="71" spans="1:7" ht="25.5" x14ac:dyDescent="0.2">
      <c r="A71" s="8">
        <v>44326</v>
      </c>
      <c r="B71" s="9">
        <v>70</v>
      </c>
      <c r="C71" s="10" t="s">
        <v>666</v>
      </c>
      <c r="D71" s="9">
        <v>4.0999999999999996</v>
      </c>
      <c r="E71" s="10" t="s">
        <v>672</v>
      </c>
      <c r="F71" s="11" t="s">
        <v>581</v>
      </c>
      <c r="G71" s="11" t="s">
        <v>673</v>
      </c>
    </row>
    <row r="72" spans="1:7" x14ac:dyDescent="0.2">
      <c r="A72" s="8">
        <v>44326</v>
      </c>
      <c r="B72" s="9">
        <v>71</v>
      </c>
      <c r="C72" s="10" t="s">
        <v>666</v>
      </c>
      <c r="D72" s="9">
        <v>4.0999999999999996</v>
      </c>
      <c r="E72" s="10" t="s">
        <v>674</v>
      </c>
      <c r="F72" s="11" t="s">
        <v>675</v>
      </c>
      <c r="G72" s="11" t="s">
        <v>676</v>
      </c>
    </row>
    <row r="73" spans="1:7" x14ac:dyDescent="0.2">
      <c r="A73" s="8">
        <v>44326</v>
      </c>
      <c r="B73" s="9">
        <v>72</v>
      </c>
      <c r="C73" s="10" t="s">
        <v>666</v>
      </c>
      <c r="D73" s="9">
        <v>4.0999999999999996</v>
      </c>
      <c r="E73" s="10" t="s">
        <v>677</v>
      </c>
      <c r="F73" s="11" t="s">
        <v>512</v>
      </c>
      <c r="G73" s="11" t="s">
        <v>678</v>
      </c>
    </row>
    <row r="74" spans="1:7" ht="25.5" x14ac:dyDescent="0.2">
      <c r="A74" s="8">
        <v>44326</v>
      </c>
      <c r="B74" s="9">
        <v>73</v>
      </c>
      <c r="C74" s="10" t="s">
        <v>666</v>
      </c>
      <c r="D74" s="9">
        <v>4.0999999999999996</v>
      </c>
      <c r="E74" s="10" t="s">
        <v>679</v>
      </c>
      <c r="F74" s="11" t="s">
        <v>512</v>
      </c>
      <c r="G74" s="11" t="s">
        <v>680</v>
      </c>
    </row>
    <row r="75" spans="1:7" x14ac:dyDescent="0.2">
      <c r="A75" s="8">
        <v>44326</v>
      </c>
      <c r="B75" s="9">
        <v>74</v>
      </c>
      <c r="C75" s="10" t="s">
        <v>666</v>
      </c>
      <c r="D75" s="9"/>
      <c r="E75" s="10" t="s">
        <v>681</v>
      </c>
      <c r="F75" s="11" t="s">
        <v>562</v>
      </c>
      <c r="G75" s="11" t="s">
        <v>682</v>
      </c>
    </row>
    <row r="76" spans="1:7" ht="38.25" x14ac:dyDescent="0.2">
      <c r="A76" s="8">
        <v>44326</v>
      </c>
      <c r="B76" s="9">
        <v>75</v>
      </c>
      <c r="C76" s="10" t="s">
        <v>683</v>
      </c>
      <c r="D76" s="9">
        <v>5.0999999999999996</v>
      </c>
      <c r="E76" s="10" t="s">
        <v>684</v>
      </c>
      <c r="F76" s="11" t="s">
        <v>685</v>
      </c>
      <c r="G76" s="11" t="s">
        <v>686</v>
      </c>
    </row>
    <row r="77" spans="1:7" ht="38.25" x14ac:dyDescent="0.2">
      <c r="A77" s="8">
        <v>44326</v>
      </c>
      <c r="B77" s="9">
        <v>76</v>
      </c>
      <c r="C77" s="10" t="s">
        <v>683</v>
      </c>
      <c r="D77" s="9">
        <v>5.0999999999999996</v>
      </c>
      <c r="E77" s="10" t="s">
        <v>687</v>
      </c>
      <c r="F77" s="11" t="s">
        <v>685</v>
      </c>
      <c r="G77" s="11" t="s">
        <v>688</v>
      </c>
    </row>
    <row r="78" spans="1:7" ht="25.5" x14ac:dyDescent="0.2">
      <c r="A78" s="8">
        <v>44326</v>
      </c>
      <c r="B78" s="9">
        <v>77</v>
      </c>
      <c r="C78" s="10" t="s">
        <v>683</v>
      </c>
      <c r="D78" s="9">
        <v>5.0999999999999996</v>
      </c>
      <c r="E78" s="10" t="s">
        <v>689</v>
      </c>
      <c r="F78" s="11" t="s">
        <v>629</v>
      </c>
      <c r="G78" s="11" t="s">
        <v>690</v>
      </c>
    </row>
    <row r="79" spans="1:7" ht="25.5" x14ac:dyDescent="0.2">
      <c r="A79" s="8">
        <v>44326</v>
      </c>
      <c r="B79" s="9">
        <v>78</v>
      </c>
      <c r="C79" s="10" t="s">
        <v>683</v>
      </c>
      <c r="D79" s="9">
        <v>5.0999999999999996</v>
      </c>
      <c r="E79" s="10" t="s">
        <v>691</v>
      </c>
      <c r="F79" s="11" t="s">
        <v>506</v>
      </c>
      <c r="G79" s="14" t="s">
        <v>692</v>
      </c>
    </row>
    <row r="80" spans="1:7" ht="38.25" x14ac:dyDescent="0.2">
      <c r="A80" s="8">
        <v>44326</v>
      </c>
      <c r="B80" s="9">
        <v>79</v>
      </c>
      <c r="C80" s="10" t="s">
        <v>683</v>
      </c>
      <c r="D80" s="9">
        <v>5.0999999999999996</v>
      </c>
      <c r="E80" s="14" t="s">
        <v>693</v>
      </c>
      <c r="F80" s="14" t="s">
        <v>694</v>
      </c>
      <c r="G80" s="14" t="s">
        <v>695</v>
      </c>
    </row>
    <row r="81" spans="1:7" ht="38.25" x14ac:dyDescent="0.2">
      <c r="A81" s="8">
        <v>44326</v>
      </c>
      <c r="B81" s="9">
        <v>80</v>
      </c>
      <c r="C81" s="10" t="s">
        <v>696</v>
      </c>
      <c r="D81" s="9"/>
      <c r="E81" s="10"/>
      <c r="F81" s="11" t="s">
        <v>644</v>
      </c>
      <c r="G81" s="11" t="s">
        <v>697</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0ACE1046-4239-45CD-BA68-738A847E5149}"/>
</file>

<file path=customXml/itemProps2.xml><?xml version="1.0" encoding="utf-8"?>
<ds:datastoreItem xmlns:ds="http://schemas.openxmlformats.org/officeDocument/2006/customXml" ds:itemID="{0E7A40E6-8044-4688-BC28-FC8D826490D7}">
  <ds:schemaRefs>
    <ds:schemaRef ds:uri="http://schemas.microsoft.com/sharepoint/v3/contenttype/forms"/>
  </ds:schemaRefs>
</ds:datastoreItem>
</file>

<file path=customXml/itemProps3.xml><?xml version="1.0" encoding="utf-8"?>
<ds:datastoreItem xmlns:ds="http://schemas.openxmlformats.org/officeDocument/2006/customXml" ds:itemID="{1EC77142-321F-43D5-9C77-D26397EBD3EF}">
  <ds:schemaRefs>
    <ds:schemaRef ds:uri="http://purl.org/dc/terms/"/>
    <ds:schemaRef ds:uri="http://purl.org/dc/elements/1.1/"/>
    <ds:schemaRef ds:uri="704da589-9a5f-45d1-b9c9-18eae98c3af3"/>
    <ds:schemaRef ds:uri="http://schemas.openxmlformats.org/package/2006/metadata/core-properties"/>
    <ds:schemaRef ds:uri="http://schemas.microsoft.com/office/infopath/2007/PartnerControls"/>
    <ds:schemaRef ds:uri="http://purl.org/dc/dcmitype/"/>
    <ds:schemaRef ds:uri="http://schemas.microsoft.com/sharepoint/v3"/>
    <ds:schemaRef ds:uri="http://schemas.microsoft.com/office/2006/documentManagement/types"/>
    <ds:schemaRef ds:uri="68339cd5-4ed0-4715-a10c-fb6cfca0aa9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33</vt:i4>
      </vt:variant>
      <vt:variant>
        <vt:lpstr>Named Ranges</vt:lpstr>
      </vt:variant>
      <vt:variant>
        <vt:i4>28</vt:i4>
      </vt:variant>
    </vt:vector>
  </HeadingPairs>
  <TitlesOfParts>
    <vt:vector size="61"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F2. PPE FY24</vt:lpstr>
      <vt:lpstr>F2. PPE Acquisition date</vt:lpstr>
      <vt:lpstr>G3. Leased asset</vt:lpstr>
      <vt:lpstr>L1. Spare</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cp:lastPrinted>2025-11-14T01:36:59Z</cp:lastPrinted>
  <dcterms:created xsi:type="dcterms:W3CDTF">2021-05-07T02:14:11Z</dcterms:created>
  <dcterms:modified xsi:type="dcterms:W3CDTF">2026-01-22T23:09:05Z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